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555" yWindow="-15" windowWidth="19950" windowHeight="9015" tabRatio="789"/>
  </bookViews>
  <sheets>
    <sheet name="Appendix A" sheetId="1" r:id="rId1"/>
    <sheet name="1 - ADIT" sheetId="12" r:id="rId2"/>
    <sheet name="2 - Other Taxes" sheetId="3" r:id="rId3"/>
    <sheet name="3 - Revenue Credits" sheetId="5" r:id="rId4"/>
    <sheet name="4 - 100 Basis Pt ROE" sheetId="6" r:id="rId5"/>
    <sheet name="5 - Cost Support" sheetId="7" r:id="rId6"/>
    <sheet name="6 - Est &amp; Reconcile WS" sheetId="27" r:id="rId7"/>
    <sheet name="7 - Cap Add WS" sheetId="26" r:id="rId8"/>
    <sheet name="8 - Securitization" sheetId="11" r:id="rId9"/>
    <sheet name="9 - Depr Rates" sheetId="28" r:id="rId10"/>
  </sheets>
  <definedNames>
    <definedName name="_p.choice" localSheetId="6">#REF!</definedName>
    <definedName name="AA.print" localSheetId="6">#REF!</definedName>
    <definedName name="AB.print" localSheetId="6">#REF!</definedName>
    <definedName name="AO.print" localSheetId="6">#REF!</definedName>
    <definedName name="AV.FM.1..adjusted..print" localSheetId="6">#REF!</definedName>
    <definedName name="AV.FM.1.print" localSheetId="6">#REF!</definedName>
    <definedName name="BA.print" localSheetId="6">#REF!</definedName>
    <definedName name="BB.print" localSheetId="6">#REF!</definedName>
    <definedName name="BG.print" localSheetId="6">#REF!</definedName>
    <definedName name="BK..FM1.Adjusted..print" localSheetId="6">#REF!</definedName>
    <definedName name="BK..FM1.ROR..print" localSheetId="6">#REF!</definedName>
    <definedName name="Levelized..FM1.ROR..print" localSheetId="6">#REF!</definedName>
    <definedName name="Print.selection.print" localSheetId="6">#REF!</definedName>
    <definedName name="_xlnm.Print_Area" localSheetId="1">'1 - ADIT'!$A$1:$I$191</definedName>
    <definedName name="_xlnm.Print_Area" localSheetId="3">'3 - Revenue Credits'!$A$1:$D$35</definedName>
    <definedName name="_xlnm.Print_Area" localSheetId="5">'5 - Cost Support'!$A$1:$R$181</definedName>
    <definedName name="_xlnm.Print_Area" localSheetId="6">'6 - Est &amp; Reconcile WS'!$A$1:$M$171</definedName>
    <definedName name="_xlnm.Print_Area" localSheetId="7">'7 - Cap Add WS'!$A$1:$AQ$80</definedName>
    <definedName name="_xlnm.Print_Area" localSheetId="0">'Appendix A'!$A$1:$H$325</definedName>
    <definedName name="_xlnm.Print_Titles" localSheetId="5">'5 - Cost Support'!$1:$3</definedName>
    <definedName name="_xlnm.Print_Titles" localSheetId="7">'7 - Cap Add WS'!$C:$D</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Z_28948E05_8F34_4F1E_96FB_A80A6A844600_.wvu.Cols" localSheetId="1" hidden="1">'1 - ADIT'!#REF!</definedName>
    <definedName name="Z_28948E05_8F34_4F1E_96FB_A80A6A844600_.wvu.Cols" localSheetId="7" hidden="1">'7 - Cap Add WS'!$Q:$AN</definedName>
    <definedName name="Z_28948E05_8F34_4F1E_96FB_A80A6A844600_.wvu.PrintArea" localSheetId="1" hidden="1">'1 - ADIT'!$A$1:$H$193</definedName>
    <definedName name="Z_28948E05_8F34_4F1E_96FB_A80A6A844600_.wvu.PrintArea" localSheetId="3" hidden="1">'3 - Revenue Credits'!$A$1:$D$42</definedName>
    <definedName name="Z_28948E05_8F34_4F1E_96FB_A80A6A844600_.wvu.PrintArea" localSheetId="0" hidden="1">'Appendix A'!$A$1:$H$317</definedName>
    <definedName name="Z_28948E05_8F34_4F1E_96FB_A80A6A844600_.wvu.PrintTitles" localSheetId="5" hidden="1">'5 - Cost Support'!$1:$3</definedName>
    <definedName name="Z_28948E05_8F34_4F1E_96FB_A80A6A844600_.wvu.PrintTitles" localSheetId="7" hidden="1">'7 - Cap Add WS'!$C:$D</definedName>
    <definedName name="Z_28948E05_8F34_4F1E_96FB_A80A6A844600_.wvu.Rows" localSheetId="4" hidden="1">'4 - 100 Basis Pt ROE'!#REF!,'4 - 100 Basis Pt ROE'!#REF!</definedName>
    <definedName name="Z_28948E05_8F34_4F1E_96FB_A80A6A844600_.wvu.Rows" localSheetId="5" hidden="1">'5 - Cost Support'!#REF!</definedName>
    <definedName name="Z_28948E05_8F34_4F1E_96FB_A80A6A844600_.wvu.Rows" localSheetId="0" hidden="1">'Appendix A'!#REF!</definedName>
    <definedName name="Z_3A38DF7A_C35E_4DD3_9893_26310A3EF836_.wvu.Cols" localSheetId="7" hidden="1">'7 - Cap Add WS'!$Q:$AN</definedName>
    <definedName name="Z_3A38DF7A_C35E_4DD3_9893_26310A3EF836_.wvu.PrintArea" localSheetId="3" hidden="1">'3 - Revenue Credits'!$A$1:$D$42</definedName>
    <definedName name="Z_3A38DF7A_C35E_4DD3_9893_26310A3EF836_.wvu.PrintArea" localSheetId="0" hidden="1">'Appendix A'!$A$1:$H$317</definedName>
    <definedName name="Z_3A38DF7A_C35E_4DD3_9893_26310A3EF836_.wvu.PrintTitles" localSheetId="5" hidden="1">'5 - Cost Support'!$1:$3</definedName>
    <definedName name="Z_3A38DF7A_C35E_4DD3_9893_26310A3EF836_.wvu.PrintTitles" localSheetId="7" hidden="1">'7 - Cap Add WS'!$C:$D</definedName>
    <definedName name="Z_3A38DF7A_C35E_4DD3_9893_26310A3EF836_.wvu.Rows" localSheetId="4" hidden="1">'4 - 100 Basis Pt ROE'!#REF!</definedName>
    <definedName name="Z_3A38DF7A_C35E_4DD3_9893_26310A3EF836_.wvu.Rows" localSheetId="5" hidden="1">'5 - Cost Support'!#REF!</definedName>
    <definedName name="Z_4C7C2344_134C_465A_ADEB_A5E96AAE2308_.wvu.Cols" localSheetId="7" hidden="1">'7 - Cap Add WS'!$Q:$AN</definedName>
    <definedName name="Z_4C7C2344_134C_465A_ADEB_A5E96AAE2308_.wvu.PrintArea" localSheetId="3" hidden="1">'3 - Revenue Credits'!$A$1:$D$42</definedName>
    <definedName name="Z_4C7C2344_134C_465A_ADEB_A5E96AAE2308_.wvu.PrintArea" localSheetId="0" hidden="1">'Appendix A'!$A$1:$H$317</definedName>
    <definedName name="Z_4C7C2344_134C_465A_ADEB_A5E96AAE2308_.wvu.PrintTitles" localSheetId="5" hidden="1">'5 - Cost Support'!$1:$3</definedName>
    <definedName name="Z_4C7C2344_134C_465A_ADEB_A5E96AAE2308_.wvu.PrintTitles" localSheetId="7" hidden="1">'7 - Cap Add WS'!$C:$D</definedName>
    <definedName name="Z_4C7C2344_134C_465A_ADEB_A5E96AAE2308_.wvu.Rows" localSheetId="4" hidden="1">'4 - 100 Basis Pt ROE'!#REF!</definedName>
    <definedName name="Z_4C7C2344_134C_465A_ADEB_A5E96AAE2308_.wvu.Rows" localSheetId="5" hidden="1">'5 - Cost Support'!#REF!</definedName>
    <definedName name="Z_63011E91_4609_4523_98FE_FD252E915668_.wvu.Cols" localSheetId="1" hidden="1">'1 - ADIT'!#REF!</definedName>
    <definedName name="Z_63011E91_4609_4523_98FE_FD252E915668_.wvu.PrintArea" localSheetId="1" hidden="1">'1 - ADIT'!$A$1:$H$193</definedName>
    <definedName name="Z_6928E596_79BD_4CEC_9F0D_07E62D69B2A5_.wvu.Cols" localSheetId="1" hidden="1">'1 - ADIT'!#REF!</definedName>
    <definedName name="Z_6928E596_79BD_4CEC_9F0D_07E62D69B2A5_.wvu.PrintArea" localSheetId="1" hidden="1">'1 - ADIT'!$A$1:$H$193</definedName>
    <definedName name="Z_71B42B22_A376_44B5_B0C1_23FC1AA3DBA2_.wvu.Cols" localSheetId="1" hidden="1">'1 - ADIT'!#REF!</definedName>
    <definedName name="Z_71B42B22_A376_44B5_B0C1_23FC1AA3DBA2_.wvu.Cols" localSheetId="7" hidden="1">'7 - Cap Add WS'!$Q:$AN</definedName>
    <definedName name="Z_71B42B22_A376_44B5_B0C1_23FC1AA3DBA2_.wvu.PrintArea" localSheetId="1" hidden="1">'1 - ADIT'!$A$1:$H$193</definedName>
    <definedName name="Z_71B42B22_A376_44B5_B0C1_23FC1AA3DBA2_.wvu.PrintArea" localSheetId="3" hidden="1">'3 - Revenue Credits'!$A$1:$D$42</definedName>
    <definedName name="Z_71B42B22_A376_44B5_B0C1_23FC1AA3DBA2_.wvu.PrintArea" localSheetId="0" hidden="1">'Appendix A'!$A$1:$H$317</definedName>
    <definedName name="Z_71B42B22_A376_44B5_B0C1_23FC1AA3DBA2_.wvu.PrintTitles" localSheetId="5" hidden="1">'5 - Cost Support'!$1:$3</definedName>
    <definedName name="Z_71B42B22_A376_44B5_B0C1_23FC1AA3DBA2_.wvu.PrintTitles" localSheetId="7" hidden="1">'7 - Cap Add WS'!$C:$D</definedName>
    <definedName name="Z_71B42B22_A376_44B5_B0C1_23FC1AA3DBA2_.wvu.Rows" localSheetId="4" hidden="1">'4 - 100 Basis Pt ROE'!#REF!,'4 - 100 Basis Pt ROE'!#REF!</definedName>
    <definedName name="Z_71B42B22_A376_44B5_B0C1_23FC1AA3DBA2_.wvu.Rows" localSheetId="5" hidden="1">'5 - Cost Support'!#REF!</definedName>
    <definedName name="Z_71B42B22_A376_44B5_B0C1_23FC1AA3DBA2_.wvu.Rows" localSheetId="0" hidden="1">'Appendix A'!#REF!</definedName>
    <definedName name="Z_8FBB4DC9_2D51_4AB9_80D8_F8474B404C29_.wvu.Cols" localSheetId="1" hidden="1">'1 - ADIT'!#REF!</definedName>
    <definedName name="Z_8FBB4DC9_2D51_4AB9_80D8_F8474B404C29_.wvu.PrintArea" localSheetId="1" hidden="1">'1 - ADIT'!$A$1:$H$193</definedName>
    <definedName name="Z_B647CB7F_C846_4278_B6B1_1EF7F3C004F5_.wvu.Cols" localSheetId="1" hidden="1">'1 - ADIT'!#REF!</definedName>
    <definedName name="Z_B647CB7F_C846_4278_B6B1_1EF7F3C004F5_.wvu.PrintArea" localSheetId="1" hidden="1">'1 - ADIT'!$A$1:$H$193</definedName>
    <definedName name="Z_DA967730_B71F_4038_B1B7_9D4790729C5D_.wvu.Cols" localSheetId="7" hidden="1">'7 - Cap Add WS'!$Q:$AN</definedName>
    <definedName name="Z_DA967730_B71F_4038_B1B7_9D4790729C5D_.wvu.PrintArea" localSheetId="3" hidden="1">'3 - Revenue Credits'!$A$1:$D$42</definedName>
    <definedName name="Z_DA967730_B71F_4038_B1B7_9D4790729C5D_.wvu.PrintArea" localSheetId="0" hidden="1">'Appendix A'!$A$1:$H$317</definedName>
    <definedName name="Z_DA967730_B71F_4038_B1B7_9D4790729C5D_.wvu.PrintTitles" localSheetId="5" hidden="1">'5 - Cost Support'!$1:$3</definedName>
    <definedName name="Z_DA967730_B71F_4038_B1B7_9D4790729C5D_.wvu.PrintTitles" localSheetId="7" hidden="1">'7 - Cap Add WS'!$C:$D</definedName>
    <definedName name="Z_DA967730_B71F_4038_B1B7_9D4790729C5D_.wvu.Rows" localSheetId="4" hidden="1">'4 - 100 Basis Pt ROE'!#REF!</definedName>
    <definedName name="Z_DA967730_B71F_4038_B1B7_9D4790729C5D_.wvu.Rows" localSheetId="5" hidden="1">'5 - Cost Support'!#REF!</definedName>
    <definedName name="Z_DC91DEF3_837B_4BB9_A81E_3B78C5914E6C_.wvu.Cols" localSheetId="1" hidden="1">'1 - ADIT'!#REF!</definedName>
    <definedName name="Z_DC91DEF3_837B_4BB9_A81E_3B78C5914E6C_.wvu.Cols" localSheetId="7" hidden="1">'7 - Cap Add WS'!$Q:$AN</definedName>
    <definedName name="Z_DC91DEF3_837B_4BB9_A81E_3B78C5914E6C_.wvu.PrintArea" localSheetId="1" hidden="1">'1 - ADIT'!$A$1:$H$193</definedName>
    <definedName name="Z_DC91DEF3_837B_4BB9_A81E_3B78C5914E6C_.wvu.PrintArea" localSheetId="3" hidden="1">'3 - Revenue Credits'!$A$1:$D$42</definedName>
    <definedName name="Z_DC91DEF3_837B_4BB9_A81E_3B78C5914E6C_.wvu.PrintArea" localSheetId="0" hidden="1">'Appendix A'!$A$1:$H$317</definedName>
    <definedName name="Z_DC91DEF3_837B_4BB9_A81E_3B78C5914E6C_.wvu.PrintTitles" localSheetId="5" hidden="1">'5 - Cost Support'!$1:$3</definedName>
    <definedName name="Z_DC91DEF3_837B_4BB9_A81E_3B78C5914E6C_.wvu.PrintTitles" localSheetId="7" hidden="1">'7 - Cap Add WS'!$C:$D</definedName>
    <definedName name="Z_DC91DEF3_837B_4BB9_A81E_3B78C5914E6C_.wvu.Rows" localSheetId="4" hidden="1">'4 - 100 Basis Pt ROE'!#REF!</definedName>
    <definedName name="Z_DC91DEF3_837B_4BB9_A81E_3B78C5914E6C_.wvu.Rows" localSheetId="5" hidden="1">'5 - Cost Support'!#REF!</definedName>
    <definedName name="Z_F96D6087_3330_4A81_95EC_26BA83722A49_.wvu.Cols" localSheetId="7" hidden="1">'7 - Cap Add WS'!$Q:$AN</definedName>
    <definedName name="Z_F96D6087_3330_4A81_95EC_26BA83722A49_.wvu.PrintArea" localSheetId="3" hidden="1">'3 - Revenue Credits'!$A$1:$D$42</definedName>
    <definedName name="Z_F96D6087_3330_4A81_95EC_26BA83722A49_.wvu.PrintArea" localSheetId="0" hidden="1">'Appendix A'!$A$1:$H$317</definedName>
    <definedName name="Z_F96D6087_3330_4A81_95EC_26BA83722A49_.wvu.PrintTitles" localSheetId="5" hidden="1">'5 - Cost Support'!$1:$3</definedName>
    <definedName name="Z_F96D6087_3330_4A81_95EC_26BA83722A49_.wvu.PrintTitles" localSheetId="7" hidden="1">'7 - Cap Add WS'!$C:$D</definedName>
    <definedName name="Z_F96D6087_3330_4A81_95EC_26BA83722A49_.wvu.Rows" localSheetId="4" hidden="1">'4 - 100 Basis Pt ROE'!#REF!</definedName>
    <definedName name="Z_F96D6087_3330_4A81_95EC_26BA83722A49_.wvu.Rows" localSheetId="5" hidden="1">'5 - Cost Support'!#REF!</definedName>
    <definedName name="Z_FAAD9AAC_1337_43AB_BF1F_CCF9DFCF5B78_.wvu.Cols" localSheetId="1" hidden="1">'1 - ADIT'!#REF!</definedName>
    <definedName name="Z_FAAD9AAC_1337_43AB_BF1F_CCF9DFCF5B78_.wvu.Cols" localSheetId="7" hidden="1">'7 - Cap Add WS'!$Q:$AN</definedName>
    <definedName name="Z_FAAD9AAC_1337_43AB_BF1F_CCF9DFCF5B78_.wvu.PrintArea" localSheetId="1" hidden="1">'1 - ADIT'!$A$1:$H$193</definedName>
    <definedName name="Z_FAAD9AAC_1337_43AB_BF1F_CCF9DFCF5B78_.wvu.PrintArea" localSheetId="3" hidden="1">'3 - Revenue Credits'!$A$1:$D$42</definedName>
    <definedName name="Z_FAAD9AAC_1337_43AB_BF1F_CCF9DFCF5B78_.wvu.PrintArea" localSheetId="0" hidden="1">'Appendix A'!$A$1:$H$317</definedName>
    <definedName name="Z_FAAD9AAC_1337_43AB_BF1F_CCF9DFCF5B78_.wvu.PrintTitles" localSheetId="5" hidden="1">'5 - Cost Support'!$1:$3</definedName>
    <definedName name="Z_FAAD9AAC_1337_43AB_BF1F_CCF9DFCF5B78_.wvu.PrintTitles" localSheetId="7" hidden="1">'7 - Cap Add WS'!$C:$D</definedName>
    <definedName name="Z_FAAD9AAC_1337_43AB_BF1F_CCF9DFCF5B78_.wvu.Rows" localSheetId="4" hidden="1">'4 - 100 Basis Pt ROE'!#REF!</definedName>
    <definedName name="Z_FAAD9AAC_1337_43AB_BF1F_CCF9DFCF5B78_.wvu.Rows" localSheetId="5" hidden="1">'5 - Cost Support'!#REF!</definedName>
  </definedNames>
  <calcPr calcId="125725"/>
  <customWorkbookViews>
    <customWorkbookView name="Preferred Customer - Personal View" guid="{DC91DEF3-837B-4BB9-A81E-3B78C5914E6C}" mergeInterval="0" personalView="1" maximized="1" windowWidth="1004" windowHeight="571" tabRatio="809" activeSheetId="9"/>
    <customWorkbookView name="Helen Hight - Personal View" guid="{28948E05-8F34-4F1E-96FB-A80A6A844600}" mergeInterval="0" personalView="1" maximized="1" windowWidth="1020" windowHeight="596" tabRatio="809" activeSheetId="11"/>
    <customWorkbookView name="x086hmh - Personal View" guid="{71B42B22-A376-44B5-B0C1-23FC1AA3DBA2}" mergeInterval="0" personalView="1" maximized="1" windowWidth="1676" windowHeight="904" tabRatio="809" activeSheetId="1"/>
    <customWorkbookView name="x317aks - Personal View" guid="{FAAD9AAC-1337-43AB-BF1F-CCF9DFCF5B78}" mergeInterval="0" personalView="1" maximized="1" windowWidth="1020" windowHeight="539" tabRatio="809" activeSheetId="9"/>
    <customWorkbookView name="smullin - Personal View" guid="{4C7C2344-134C-465A-ADEB-A5E96AAE2308}" mergeInterval="0" personalView="1" maximized="1" windowWidth="1020" windowHeight="603" tabRatio="809" activeSheetId="1"/>
    <customWorkbookView name="jbornak - Personal View" guid="{DA967730-B71F-4038-B1B7-9D4790729C5D}" mergeInterval="0" personalView="1" xWindow="14" yWindow="24" windowWidth="881" windowHeight="583" tabRatio="809" activeSheetId="1"/>
    <customWorkbookView name="DLCO - Personal View" guid="{F96D6087-3330-4A81-95EC-26BA83722A49}" mergeInterval="0" personalView="1" maximized="1" windowWidth="1020" windowHeight="579" tabRatio="809" activeSheetId="1"/>
    <customWorkbookView name="S. Merchant - Personal View" guid="{3A38DF7A-C35E-4DD3-9893-26310A3EF836}" mergeInterval="0" personalView="1" maximized="1" windowWidth="1020" windowHeight="632" tabRatio="809" activeSheetId="2"/>
  </customWorkbookViews>
</workbook>
</file>

<file path=xl/calcChain.xml><?xml version="1.0" encoding="utf-8"?>
<calcChain xmlns="http://schemas.openxmlformats.org/spreadsheetml/2006/main">
  <c r="H152" i="1"/>
  <c r="H58"/>
  <c r="H41"/>
  <c r="C166" i="12" l="1"/>
  <c r="E21" i="3" l="1"/>
  <c r="I136" i="7" l="1"/>
  <c r="H105" i="1"/>
  <c r="D124" i="27"/>
  <c r="M46" i="26"/>
  <c r="N46"/>
  <c r="N47" s="1"/>
  <c r="N48" s="1"/>
  <c r="N49" s="1"/>
  <c r="N50" s="1"/>
  <c r="N51" s="1"/>
  <c r="N52" s="1"/>
  <c r="N53" s="1"/>
  <c r="N54" s="1"/>
  <c r="N55" s="1"/>
  <c r="N56" s="1"/>
  <c r="N57" s="1"/>
  <c r="N58" s="1"/>
  <c r="N59" s="1"/>
  <c r="N60" s="1"/>
  <c r="N61" s="1"/>
  <c r="N62" s="1"/>
  <c r="N63" s="1"/>
  <c r="N64" s="1"/>
  <c r="N65" s="1"/>
  <c r="N66" s="1"/>
  <c r="N67" s="1"/>
  <c r="N68" s="1"/>
  <c r="N69" s="1"/>
  <c r="N70" s="1"/>
  <c r="N71" s="1"/>
  <c r="J46"/>
  <c r="J47" s="1"/>
  <c r="E45" i="3"/>
  <c r="E42"/>
  <c r="E13"/>
  <c r="E10"/>
  <c r="I47" i="26"/>
  <c r="AL46"/>
  <c r="AL47"/>
  <c r="AK46"/>
  <c r="AK47" s="1"/>
  <c r="AM47" s="1"/>
  <c r="AK48" s="1"/>
  <c r="AH46"/>
  <c r="AH47"/>
  <c r="AG46"/>
  <c r="AG47" s="1"/>
  <c r="AI47" s="1"/>
  <c r="AG48" s="1"/>
  <c r="AD46"/>
  <c r="AD47"/>
  <c r="AC46"/>
  <c r="AC47" s="1"/>
  <c r="AE47" s="1"/>
  <c r="AC48" s="1"/>
  <c r="Z46"/>
  <c r="Z47"/>
  <c r="Y46"/>
  <c r="Y47" s="1"/>
  <c r="AA47" s="1"/>
  <c r="Y48" s="1"/>
  <c r="V46"/>
  <c r="V47"/>
  <c r="U46"/>
  <c r="U47" s="1"/>
  <c r="W47" s="1"/>
  <c r="U48" s="1"/>
  <c r="R46"/>
  <c r="R47"/>
  <c r="Q46"/>
  <c r="Q47" s="1"/>
  <c r="S47" s="1"/>
  <c r="Q48" s="1"/>
  <c r="I46"/>
  <c r="K46" s="1"/>
  <c r="W46"/>
  <c r="AM46"/>
  <c r="H78" i="1"/>
  <c r="D53" i="27"/>
  <c r="C161" i="12"/>
  <c r="G149"/>
  <c r="C63"/>
  <c r="D35"/>
  <c r="H23" i="7"/>
  <c r="F7"/>
  <c r="F104" i="12"/>
  <c r="G127"/>
  <c r="C178"/>
  <c r="D177"/>
  <c r="D176"/>
  <c r="D150"/>
  <c r="C151"/>
  <c r="F52"/>
  <c r="E43" i="26"/>
  <c r="D169" i="12"/>
  <c r="D78"/>
  <c r="E122"/>
  <c r="D123"/>
  <c r="D121"/>
  <c r="F120"/>
  <c r="D107"/>
  <c r="D44"/>
  <c r="D79"/>
  <c r="D170"/>
  <c r="D171"/>
  <c r="D172"/>
  <c r="D173"/>
  <c r="C125"/>
  <c r="C127"/>
  <c r="F108"/>
  <c r="C80"/>
  <c r="G43"/>
  <c r="D174"/>
  <c r="D180"/>
  <c r="D183" s="1"/>
  <c r="C12" s="1"/>
  <c r="C14" s="1"/>
  <c r="D168"/>
  <c r="D167"/>
  <c r="D166"/>
  <c r="D165"/>
  <c r="D164"/>
  <c r="F163"/>
  <c r="D162"/>
  <c r="D161"/>
  <c r="D120" i="7"/>
  <c r="D121" s="1"/>
  <c r="F159" i="12"/>
  <c r="D158"/>
  <c r="D157"/>
  <c r="D156"/>
  <c r="F155"/>
  <c r="D154"/>
  <c r="D148"/>
  <c r="G130"/>
  <c r="F11"/>
  <c r="F103"/>
  <c r="F109"/>
  <c r="F111"/>
  <c r="F112"/>
  <c r="F113"/>
  <c r="F114"/>
  <c r="F115"/>
  <c r="F116"/>
  <c r="F119"/>
  <c r="D110"/>
  <c r="D117"/>
  <c r="D118"/>
  <c r="D124"/>
  <c r="C128"/>
  <c r="C129"/>
  <c r="G33"/>
  <c r="G34"/>
  <c r="G40"/>
  <c r="G41"/>
  <c r="G46"/>
  <c r="G50"/>
  <c r="G58"/>
  <c r="G60"/>
  <c r="G62"/>
  <c r="G63"/>
  <c r="G64"/>
  <c r="G66"/>
  <c r="G70"/>
  <c r="G71"/>
  <c r="G72"/>
  <c r="G73"/>
  <c r="G84"/>
  <c r="F36"/>
  <c r="F38"/>
  <c r="F39"/>
  <c r="F49"/>
  <c r="E82"/>
  <c r="E85"/>
  <c r="D13"/>
  <c r="D37"/>
  <c r="D42"/>
  <c r="D45"/>
  <c r="D47"/>
  <c r="D48"/>
  <c r="D51"/>
  <c r="D53"/>
  <c r="D57"/>
  <c r="D59"/>
  <c r="D61"/>
  <c r="D65"/>
  <c r="D67"/>
  <c r="D68"/>
  <c r="D69"/>
  <c r="D74"/>
  <c r="D75"/>
  <c r="D76"/>
  <c r="D77"/>
  <c r="C54"/>
  <c r="A1"/>
  <c r="A94" s="1"/>
  <c r="H255" i="1"/>
  <c r="G10" i="7"/>
  <c r="H42" i="1"/>
  <c r="H13"/>
  <c r="H59"/>
  <c r="H60" s="1"/>
  <c r="H61"/>
  <c r="H22"/>
  <c r="I23" i="26"/>
  <c r="I29" s="1"/>
  <c r="H189" i="1"/>
  <c r="I35" i="6" s="1"/>
  <c r="H172" i="1"/>
  <c r="H247"/>
  <c r="H248" s="1"/>
  <c r="H249" s="1"/>
  <c r="H132"/>
  <c r="H128"/>
  <c r="H107"/>
  <c r="H114"/>
  <c r="H115"/>
  <c r="H116"/>
  <c r="H117"/>
  <c r="H131"/>
  <c r="D22" i="12"/>
  <c r="H188" i="1"/>
  <c r="I34" i="6" s="1"/>
  <c r="I31"/>
  <c r="F181" i="12"/>
  <c r="E180"/>
  <c r="E183"/>
  <c r="D12"/>
  <c r="H92" i="1"/>
  <c r="H84"/>
  <c r="H180"/>
  <c r="H182" s="1"/>
  <c r="H192" s="1"/>
  <c r="H201"/>
  <c r="H216"/>
  <c r="I62" i="6" s="1"/>
  <c r="I32"/>
  <c r="I33"/>
  <c r="I37"/>
  <c r="I26" s="1"/>
  <c r="I24"/>
  <c r="I25"/>
  <c r="I27"/>
  <c r="I67"/>
  <c r="H270" i="1"/>
  <c r="H261"/>
  <c r="E29" i="26"/>
  <c r="F42" s="1"/>
  <c r="H150" i="1"/>
  <c r="I147" i="7"/>
  <c r="H171" i="1"/>
  <c r="H34" i="7"/>
  <c r="H50" i="1"/>
  <c r="D111" i="27"/>
  <c r="L92" s="1"/>
  <c r="G99"/>
  <c r="E17" i="3"/>
  <c r="E34"/>
  <c r="I62" i="7"/>
  <c r="H113" i="1" s="1"/>
  <c r="I139" i="7"/>
  <c r="H98" i="27"/>
  <c r="H99"/>
  <c r="G129" i="7"/>
  <c r="H96" i="1"/>
  <c r="H246"/>
  <c r="D24" i="5"/>
  <c r="H254" i="1" s="1"/>
  <c r="H277"/>
  <c r="F100" i="27"/>
  <c r="F101"/>
  <c r="E111"/>
  <c r="D44"/>
  <c r="C182" i="12"/>
  <c r="G171" i="7"/>
  <c r="A1" i="11"/>
  <c r="A18" i="1"/>
  <c r="A20" s="1"/>
  <c r="B14" i="11"/>
  <c r="C14"/>
  <c r="C18"/>
  <c r="F9" i="26"/>
  <c r="F10"/>
  <c r="F15"/>
  <c r="V21"/>
  <c r="W21"/>
  <c r="X21"/>
  <c r="Z21"/>
  <c r="AA21"/>
  <c r="AB21"/>
  <c r="AD21"/>
  <c r="AE21"/>
  <c r="AF21"/>
  <c r="AH21"/>
  <c r="AI21"/>
  <c r="AJ21"/>
  <c r="AL21"/>
  <c r="AM21"/>
  <c r="AN21"/>
  <c r="A22"/>
  <c r="A23"/>
  <c r="A24"/>
  <c r="A25"/>
  <c r="A26"/>
  <c r="C26"/>
  <c r="M29"/>
  <c r="Q29"/>
  <c r="U29"/>
  <c r="Y29"/>
  <c r="Z52"/>
  <c r="Z53"/>
  <c r="AC29"/>
  <c r="AG29"/>
  <c r="AK29"/>
  <c r="C32"/>
  <c r="C34" s="1"/>
  <c r="D33"/>
  <c r="D34"/>
  <c r="C35"/>
  <c r="D35"/>
  <c r="C38"/>
  <c r="C40"/>
  <c r="C42"/>
  <c r="C44"/>
  <c r="C46"/>
  <c r="C48"/>
  <c r="C50"/>
  <c r="C52"/>
  <c r="C54"/>
  <c r="C56"/>
  <c r="C58"/>
  <c r="C60"/>
  <c r="C62"/>
  <c r="C64"/>
  <c r="C66"/>
  <c r="C68"/>
  <c r="C70"/>
  <c r="D38"/>
  <c r="D40"/>
  <c r="C39"/>
  <c r="C41"/>
  <c r="C43"/>
  <c r="C45"/>
  <c r="C47"/>
  <c r="C49"/>
  <c r="C51"/>
  <c r="C53"/>
  <c r="C55"/>
  <c r="C57"/>
  <c r="C59"/>
  <c r="C61"/>
  <c r="C63"/>
  <c r="C65"/>
  <c r="C67"/>
  <c r="C69"/>
  <c r="C71"/>
  <c r="D39"/>
  <c r="D41"/>
  <c r="D43"/>
  <c r="D45"/>
  <c r="D47"/>
  <c r="D49"/>
  <c r="D51"/>
  <c r="D53"/>
  <c r="D55"/>
  <c r="D57"/>
  <c r="D59"/>
  <c r="D61"/>
  <c r="D63"/>
  <c r="D65"/>
  <c r="D67"/>
  <c r="D69"/>
  <c r="D71"/>
  <c r="D42"/>
  <c r="D44"/>
  <c r="D46"/>
  <c r="D48"/>
  <c r="D50"/>
  <c r="D52"/>
  <c r="D54"/>
  <c r="D56"/>
  <c r="D58"/>
  <c r="D60"/>
  <c r="D62"/>
  <c r="D64"/>
  <c r="D66"/>
  <c r="D68"/>
  <c r="D70"/>
  <c r="E45"/>
  <c r="E47"/>
  <c r="R48"/>
  <c r="V48"/>
  <c r="Z48"/>
  <c r="Z49"/>
  <c r="AD48"/>
  <c r="AH48"/>
  <c r="AL48"/>
  <c r="AL49"/>
  <c r="E49"/>
  <c r="R49"/>
  <c r="V49"/>
  <c r="AD49"/>
  <c r="AH49"/>
  <c r="V50"/>
  <c r="V51"/>
  <c r="AD50"/>
  <c r="AD51"/>
  <c r="AL50"/>
  <c r="E51"/>
  <c r="AL51"/>
  <c r="R52"/>
  <c r="R53"/>
  <c r="AD52"/>
  <c r="AH52"/>
  <c r="AH53"/>
  <c r="E53"/>
  <c r="AD53"/>
  <c r="R54"/>
  <c r="V54"/>
  <c r="V55"/>
  <c r="AD54"/>
  <c r="AD55"/>
  <c r="AH54"/>
  <c r="AH55"/>
  <c r="AL54"/>
  <c r="AL55"/>
  <c r="E55"/>
  <c r="R55"/>
  <c r="R56"/>
  <c r="V56"/>
  <c r="AD56"/>
  <c r="AD57"/>
  <c r="AH56"/>
  <c r="AH57"/>
  <c r="AL56"/>
  <c r="E57"/>
  <c r="R57"/>
  <c r="V57"/>
  <c r="AL57"/>
  <c r="V58"/>
  <c r="V59"/>
  <c r="Z58"/>
  <c r="Z59"/>
  <c r="AD58"/>
  <c r="AD59"/>
  <c r="AL58"/>
  <c r="E59"/>
  <c r="AL59"/>
  <c r="R60"/>
  <c r="R61"/>
  <c r="Z60"/>
  <c r="Z61"/>
  <c r="AD60"/>
  <c r="AD61"/>
  <c r="AH60"/>
  <c r="AH61"/>
  <c r="E61"/>
  <c r="R62"/>
  <c r="R63"/>
  <c r="V62"/>
  <c r="AD62"/>
  <c r="AH62"/>
  <c r="AH63"/>
  <c r="AL62"/>
  <c r="AL63"/>
  <c r="E63"/>
  <c r="V63"/>
  <c r="AD63"/>
  <c r="R64"/>
  <c r="R65"/>
  <c r="V64"/>
  <c r="V65"/>
  <c r="Z64"/>
  <c r="Z65"/>
  <c r="AD64"/>
  <c r="AH64"/>
  <c r="AH65"/>
  <c r="AL64"/>
  <c r="AL65"/>
  <c r="E65"/>
  <c r="AD65"/>
  <c r="R66"/>
  <c r="V66"/>
  <c r="Z66"/>
  <c r="AD66"/>
  <c r="AD67"/>
  <c r="AH66"/>
  <c r="AL66"/>
  <c r="E67"/>
  <c r="R67"/>
  <c r="V67"/>
  <c r="Z67"/>
  <c r="AH67"/>
  <c r="AL67"/>
  <c r="R68"/>
  <c r="R69"/>
  <c r="V68"/>
  <c r="V69"/>
  <c r="Z68"/>
  <c r="AD68"/>
  <c r="AH68"/>
  <c r="AH69"/>
  <c r="AL68"/>
  <c r="AL69"/>
  <c r="E69"/>
  <c r="Z69"/>
  <c r="AD69"/>
  <c r="R70"/>
  <c r="V70"/>
  <c r="V71"/>
  <c r="AD70"/>
  <c r="AD71"/>
  <c r="AH70"/>
  <c r="AH71"/>
  <c r="AL70"/>
  <c r="AL71"/>
  <c r="E71"/>
  <c r="R71"/>
  <c r="B9" i="27"/>
  <c r="C9"/>
  <c r="C10"/>
  <c r="C11"/>
  <c r="C12"/>
  <c r="B14"/>
  <c r="C15"/>
  <c r="C16"/>
  <c r="B18"/>
  <c r="B19"/>
  <c r="A23"/>
  <c r="B23"/>
  <c r="B26"/>
  <c r="B49"/>
  <c r="C23"/>
  <c r="C26"/>
  <c r="C49"/>
  <c r="C52"/>
  <c r="D23"/>
  <c r="D26"/>
  <c r="H30"/>
  <c r="H31"/>
  <c r="G32"/>
  <c r="H32"/>
  <c r="F33"/>
  <c r="G33"/>
  <c r="E44"/>
  <c r="B52"/>
  <c r="D52"/>
  <c r="F167"/>
  <c r="A55"/>
  <c r="B55"/>
  <c r="C55"/>
  <c r="D55"/>
  <c r="A60"/>
  <c r="C60"/>
  <c r="D60"/>
  <c r="E61"/>
  <c r="H124" s="1"/>
  <c r="K124" s="1"/>
  <c r="H132" s="1"/>
  <c r="H61"/>
  <c r="A64"/>
  <c r="C64"/>
  <c r="D64"/>
  <c r="H68"/>
  <c r="H69"/>
  <c r="G70"/>
  <c r="H70"/>
  <c r="F71"/>
  <c r="D82"/>
  <c r="E82"/>
  <c r="A89"/>
  <c r="D89"/>
  <c r="H97"/>
  <c r="A121"/>
  <c r="D121"/>
  <c r="F124"/>
  <c r="I124"/>
  <c r="I132"/>
  <c r="F133"/>
  <c r="K133"/>
  <c r="F134"/>
  <c r="F135"/>
  <c r="F136"/>
  <c r="F137"/>
  <c r="F138"/>
  <c r="K134"/>
  <c r="F140"/>
  <c r="F141"/>
  <c r="F142"/>
  <c r="F143"/>
  <c r="F147"/>
  <c r="F148"/>
  <c r="F149"/>
  <c r="F150"/>
  <c r="F151"/>
  <c r="F152"/>
  <c r="F153"/>
  <c r="D147"/>
  <c r="D148"/>
  <c r="D149"/>
  <c r="D150"/>
  <c r="D151"/>
  <c r="D152"/>
  <c r="D153"/>
  <c r="D154"/>
  <c r="D155"/>
  <c r="F155"/>
  <c r="D156"/>
  <c r="F156"/>
  <c r="F157"/>
  <c r="F158"/>
  <c r="D157"/>
  <c r="D158"/>
  <c r="A166"/>
  <c r="B166"/>
  <c r="D166"/>
  <c r="A170"/>
  <c r="B170"/>
  <c r="D170"/>
  <c r="D171"/>
  <c r="G1" i="7"/>
  <c r="C7"/>
  <c r="E21" i="1"/>
  <c r="E7" i="7" s="1"/>
  <c r="C10"/>
  <c r="C14"/>
  <c r="C17"/>
  <c r="E84" i="1"/>
  <c r="E17" i="7" s="1"/>
  <c r="F17"/>
  <c r="C20"/>
  <c r="E109" i="1"/>
  <c r="E20" i="7" s="1"/>
  <c r="F20"/>
  <c r="C23"/>
  <c r="C32"/>
  <c r="E50" i="1"/>
  <c r="E32" i="7" s="1"/>
  <c r="I32"/>
  <c r="G42"/>
  <c r="A44"/>
  <c r="C44"/>
  <c r="E18" i="1"/>
  <c r="E44" i="7" s="1"/>
  <c r="F44"/>
  <c r="C46"/>
  <c r="E35" i="1"/>
  <c r="E46" i="7" s="1"/>
  <c r="F46"/>
  <c r="C49"/>
  <c r="E56" i="1"/>
  <c r="E49" i="7" s="1"/>
  <c r="F49"/>
  <c r="G53"/>
  <c r="C55"/>
  <c r="E121" i="1"/>
  <c r="E55" i="7" s="1"/>
  <c r="F55"/>
  <c r="H55"/>
  <c r="H121" i="1"/>
  <c r="C62" i="7"/>
  <c r="C74"/>
  <c r="E127" i="1"/>
  <c r="E74" i="7" s="1"/>
  <c r="C80"/>
  <c r="E132" i="1"/>
  <c r="E80" i="7" s="1"/>
  <c r="F80"/>
  <c r="G80"/>
  <c r="G93" s="1"/>
  <c r="I93" s="1"/>
  <c r="C87"/>
  <c r="E213" i="1"/>
  <c r="E87" i="7" s="1"/>
  <c r="G87"/>
  <c r="C93"/>
  <c r="E128" i="1"/>
  <c r="E93" i="7" s="1"/>
  <c r="F93"/>
  <c r="C99"/>
  <c r="G97" s="1"/>
  <c r="E247" i="1"/>
  <c r="E99" i="7" s="1"/>
  <c r="G105"/>
  <c r="D109"/>
  <c r="C127"/>
  <c r="G125" s="1"/>
  <c r="E96" i="1"/>
  <c r="F127" i="7" s="1"/>
  <c r="C136"/>
  <c r="C139"/>
  <c r="C147"/>
  <c r="C155"/>
  <c r="G153" s="1"/>
  <c r="B154"/>
  <c r="E255" i="1"/>
  <c r="E155" i="7" s="1"/>
  <c r="A162"/>
  <c r="B164"/>
  <c r="C165"/>
  <c r="C171"/>
  <c r="G169" s="1"/>
  <c r="E281" i="1"/>
  <c r="E171" i="7" s="1"/>
  <c r="F171"/>
  <c r="G176"/>
  <c r="G179"/>
  <c r="I176"/>
  <c r="I179"/>
  <c r="A1" i="6"/>
  <c r="D9"/>
  <c r="C14"/>
  <c r="C16"/>
  <c r="A17"/>
  <c r="D17"/>
  <c r="G17"/>
  <c r="A18"/>
  <c r="D18"/>
  <c r="G18"/>
  <c r="D19"/>
  <c r="C21"/>
  <c r="F21"/>
  <c r="G21"/>
  <c r="I21"/>
  <c r="C23"/>
  <c r="A24"/>
  <c r="D24"/>
  <c r="G24"/>
  <c r="D26"/>
  <c r="D27"/>
  <c r="G27"/>
  <c r="D28"/>
  <c r="C30"/>
  <c r="A31"/>
  <c r="D31"/>
  <c r="G31"/>
  <c r="A32"/>
  <c r="A33"/>
  <c r="A34"/>
  <c r="A35"/>
  <c r="A36"/>
  <c r="A37"/>
  <c r="A38"/>
  <c r="A39"/>
  <c r="A41"/>
  <c r="A42"/>
  <c r="A43"/>
  <c r="A45"/>
  <c r="A46"/>
  <c r="A47"/>
  <c r="A49"/>
  <c r="A50"/>
  <c r="A51"/>
  <c r="A52"/>
  <c r="A54"/>
  <c r="D32"/>
  <c r="G32"/>
  <c r="D33"/>
  <c r="G33"/>
  <c r="D34"/>
  <c r="G34"/>
  <c r="D35"/>
  <c r="F189" i="1"/>
  <c r="G35" i="6" s="1"/>
  <c r="D36"/>
  <c r="D37"/>
  <c r="G37"/>
  <c r="D38"/>
  <c r="D39"/>
  <c r="D41"/>
  <c r="F41"/>
  <c r="D42"/>
  <c r="F42"/>
  <c r="D43"/>
  <c r="F43"/>
  <c r="D45"/>
  <c r="F45"/>
  <c r="D46"/>
  <c r="F46"/>
  <c r="D47"/>
  <c r="F47"/>
  <c r="D49"/>
  <c r="F49"/>
  <c r="D50"/>
  <c r="F50"/>
  <c r="D51"/>
  <c r="F51"/>
  <c r="C52"/>
  <c r="C54"/>
  <c r="I59"/>
  <c r="I60"/>
  <c r="G61"/>
  <c r="I61"/>
  <c r="A67"/>
  <c r="A68"/>
  <c r="A69"/>
  <c r="A70"/>
  <c r="A74"/>
  <c r="A76"/>
  <c r="G67"/>
  <c r="A1" i="5"/>
  <c r="A15"/>
  <c r="A16"/>
  <c r="A17"/>
  <c r="A18"/>
  <c r="A19"/>
  <c r="A20"/>
  <c r="A21"/>
  <c r="A22"/>
  <c r="A24"/>
  <c r="A1" i="3"/>
  <c r="E46"/>
  <c r="B191" i="12"/>
  <c r="A11" i="1"/>
  <c r="A12" s="1"/>
  <c r="E20"/>
  <c r="E37"/>
  <c r="F45"/>
  <c r="F50"/>
  <c r="E58"/>
  <c r="E59"/>
  <c r="C61"/>
  <c r="C63"/>
  <c r="F63"/>
  <c r="E78"/>
  <c r="E81"/>
  <c r="F85"/>
  <c r="F107"/>
  <c r="E108"/>
  <c r="F113"/>
  <c r="E114"/>
  <c r="F116"/>
  <c r="E119"/>
  <c r="F123"/>
  <c r="E147"/>
  <c r="E149"/>
  <c r="E150"/>
  <c r="F150"/>
  <c r="E152"/>
  <c r="F154"/>
  <c r="E172"/>
  <c r="E189"/>
  <c r="E195"/>
  <c r="E197"/>
  <c r="E201"/>
  <c r="E219"/>
  <c r="C246"/>
  <c r="C260"/>
  <c r="C270"/>
  <c r="G160" i="12"/>
  <c r="G180"/>
  <c r="G183"/>
  <c r="F12"/>
  <c r="F180"/>
  <c r="F183" s="1"/>
  <c r="E12" s="1"/>
  <c r="F34" i="27"/>
  <c r="E26" i="3"/>
  <c r="E36"/>
  <c r="H133" i="1"/>
  <c r="Z50" i="26"/>
  <c r="Z51"/>
  <c r="H33" i="27"/>
  <c r="Z70" i="26"/>
  <c r="Z71"/>
  <c r="Z56"/>
  <c r="Z57"/>
  <c r="H221" i="1"/>
  <c r="I68" i="6" s="1"/>
  <c r="G7"/>
  <c r="A59"/>
  <c r="A60"/>
  <c r="A61"/>
  <c r="A62"/>
  <c r="H101" i="27"/>
  <c r="G101"/>
  <c r="F102"/>
  <c r="K135"/>
  <c r="C17"/>
  <c r="C89"/>
  <c r="A27" i="26"/>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B27"/>
  <c r="K176" i="7"/>
  <c r="K179"/>
  <c r="I133" i="27"/>
  <c r="G71"/>
  <c r="F72"/>
  <c r="H71"/>
  <c r="B15"/>
  <c r="B60"/>
  <c r="AH50" i="26"/>
  <c r="AH51"/>
  <c r="AH58"/>
  <c r="AH59"/>
  <c r="R50"/>
  <c r="R51"/>
  <c r="R58"/>
  <c r="R59"/>
  <c r="G34" i="27"/>
  <c r="G100"/>
  <c r="AL52" i="26"/>
  <c r="AL53"/>
  <c r="AL60"/>
  <c r="AL61"/>
  <c r="V52"/>
  <c r="V53"/>
  <c r="V60"/>
  <c r="V61"/>
  <c r="Z54"/>
  <c r="Z55"/>
  <c r="Z62"/>
  <c r="Z63"/>
  <c r="H100" i="27"/>
  <c r="H151" i="1"/>
  <c r="C130" i="12"/>
  <c r="G11" s="1"/>
  <c r="H34" i="27"/>
  <c r="F35"/>
  <c r="H72"/>
  <c r="F73"/>
  <c r="G72"/>
  <c r="C121"/>
  <c r="C18"/>
  <c r="B64"/>
  <c r="B16"/>
  <c r="I134"/>
  <c r="I135"/>
  <c r="I136"/>
  <c r="I137"/>
  <c r="I138"/>
  <c r="I139"/>
  <c r="I140"/>
  <c r="I141"/>
  <c r="I142"/>
  <c r="I143"/>
  <c r="I147"/>
  <c r="I148"/>
  <c r="I149"/>
  <c r="I150"/>
  <c r="I151"/>
  <c r="I152"/>
  <c r="I153"/>
  <c r="I154"/>
  <c r="I155"/>
  <c r="I156"/>
  <c r="I157"/>
  <c r="I158"/>
  <c r="G102"/>
  <c r="F103"/>
  <c r="H102"/>
  <c r="K136"/>
  <c r="H35"/>
  <c r="F36"/>
  <c r="G35"/>
  <c r="C19"/>
  <c r="C170"/>
  <c r="C166"/>
  <c r="F74"/>
  <c r="G73"/>
  <c r="H73"/>
  <c r="K137"/>
  <c r="G103"/>
  <c r="F104"/>
  <c r="H103"/>
  <c r="B17"/>
  <c r="B121"/>
  <c r="B89"/>
  <c r="G36"/>
  <c r="F37"/>
  <c r="H36"/>
  <c r="H74"/>
  <c r="G74"/>
  <c r="F75"/>
  <c r="K138"/>
  <c r="G104"/>
  <c r="F105"/>
  <c r="H104"/>
  <c r="H37"/>
  <c r="G37"/>
  <c r="F38"/>
  <c r="H105"/>
  <c r="F106"/>
  <c r="G105"/>
  <c r="K139"/>
  <c r="G75"/>
  <c r="F76"/>
  <c r="H75"/>
  <c r="F39"/>
  <c r="G38"/>
  <c r="H38"/>
  <c r="G106"/>
  <c r="F107"/>
  <c r="H106"/>
  <c r="H76"/>
  <c r="F77"/>
  <c r="G76"/>
  <c r="K140"/>
  <c r="H39"/>
  <c r="F40"/>
  <c r="G39"/>
  <c r="K141"/>
  <c r="F78"/>
  <c r="G77"/>
  <c r="H77"/>
  <c r="H107"/>
  <c r="G107"/>
  <c r="F108"/>
  <c r="G40"/>
  <c r="F41"/>
  <c r="H40"/>
  <c r="G108"/>
  <c r="F109"/>
  <c r="H108"/>
  <c r="K142"/>
  <c r="H78"/>
  <c r="G78"/>
  <c r="F79"/>
  <c r="H41"/>
  <c r="G41"/>
  <c r="G44"/>
  <c r="F42"/>
  <c r="G79"/>
  <c r="F80"/>
  <c r="H79"/>
  <c r="K143"/>
  <c r="H109"/>
  <c r="G109"/>
  <c r="F110"/>
  <c r="F43"/>
  <c r="G42"/>
  <c r="H42"/>
  <c r="G110"/>
  <c r="H110"/>
  <c r="H111"/>
  <c r="H114"/>
  <c r="H80"/>
  <c r="F81"/>
  <c r="G80"/>
  <c r="H43"/>
  <c r="H44"/>
  <c r="H47"/>
  <c r="G43"/>
  <c r="G81"/>
  <c r="H81"/>
  <c r="H82"/>
  <c r="H85"/>
  <c r="E28" i="26"/>
  <c r="H127" i="1"/>
  <c r="I74" i="7"/>
  <c r="H217" i="1"/>
  <c r="H24"/>
  <c r="H44"/>
  <c r="I47" i="6"/>
  <c r="H15" i="1"/>
  <c r="H45" s="1"/>
  <c r="E48" i="3"/>
  <c r="E52" s="1"/>
  <c r="G82" i="27"/>
  <c r="G84"/>
  <c r="H37" i="1"/>
  <c r="H38" s="1"/>
  <c r="G83" i="27"/>
  <c r="F66" i="26"/>
  <c r="G66" s="1"/>
  <c r="H10" i="7"/>
  <c r="H47" i="1" s="1"/>
  <c r="H65" s="1"/>
  <c r="E127" i="12"/>
  <c r="E130"/>
  <c r="D11"/>
  <c r="D14"/>
  <c r="D17"/>
  <c r="D127"/>
  <c r="D130"/>
  <c r="C11"/>
  <c r="F127"/>
  <c r="F130" s="1"/>
  <c r="E11" s="1"/>
  <c r="H190" i="1"/>
  <c r="H106"/>
  <c r="H110" s="1"/>
  <c r="H173"/>
  <c r="I19" i="6" s="1"/>
  <c r="I46"/>
  <c r="F82" i="12"/>
  <c r="F85"/>
  <c r="E13"/>
  <c r="A139"/>
  <c r="G45" i="27"/>
  <c r="G46"/>
  <c r="G111"/>
  <c r="G113" s="1"/>
  <c r="I17" i="6"/>
  <c r="H123" i="1"/>
  <c r="G82" i="12"/>
  <c r="G85" s="1"/>
  <c r="F13" s="1"/>
  <c r="F14" s="1"/>
  <c r="C82"/>
  <c r="C85" s="1"/>
  <c r="G13" s="1"/>
  <c r="D82"/>
  <c r="D85"/>
  <c r="C13"/>
  <c r="C180"/>
  <c r="C183" s="1"/>
  <c r="G12" s="1"/>
  <c r="I18" i="6"/>
  <c r="F50" i="26" l="1"/>
  <c r="G50" s="1"/>
  <c r="F48"/>
  <c r="F49" s="1"/>
  <c r="G49" s="1"/>
  <c r="F67"/>
  <c r="G67" s="1"/>
  <c r="F56"/>
  <c r="F57" s="1"/>
  <c r="G57" s="1"/>
  <c r="F64"/>
  <c r="F60"/>
  <c r="F46"/>
  <c r="F54"/>
  <c r="G54" s="1"/>
  <c r="F62"/>
  <c r="F44"/>
  <c r="I80" i="7"/>
  <c r="I36" i="6"/>
  <c r="I45" s="1"/>
  <c r="F52" i="26"/>
  <c r="F58"/>
  <c r="F68"/>
  <c r="F70"/>
  <c r="G70" s="1"/>
  <c r="I63" i="6"/>
  <c r="I64"/>
  <c r="H63" i="1"/>
  <c r="F26" i="3"/>
  <c r="G26" s="1"/>
  <c r="H85" i="1"/>
  <c r="H86" s="1"/>
  <c r="H88" s="1"/>
  <c r="S46" i="26"/>
  <c r="F13" i="1"/>
  <c r="A13"/>
  <c r="F15" s="1"/>
  <c r="H199"/>
  <c r="H122"/>
  <c r="H124" s="1"/>
  <c r="E14" i="12"/>
  <c r="H46" i="1"/>
  <c r="G14" i="12"/>
  <c r="AE46" i="26"/>
  <c r="O46"/>
  <c r="AI46"/>
  <c r="M47"/>
  <c r="O47" s="1"/>
  <c r="M48" s="1"/>
  <c r="M49" s="1"/>
  <c r="O49" s="1"/>
  <c r="M50" s="1"/>
  <c r="Q49"/>
  <c r="S49" s="1"/>
  <c r="Q50" s="1"/>
  <c r="S48"/>
  <c r="W48"/>
  <c r="U49"/>
  <c r="W49" s="1"/>
  <c r="U50" s="1"/>
  <c r="Y49"/>
  <c r="AA49" s="1"/>
  <c r="Y50" s="1"/>
  <c r="AA48"/>
  <c r="AC49"/>
  <c r="AE49" s="1"/>
  <c r="AC50" s="1"/>
  <c r="AE48"/>
  <c r="AG49"/>
  <c r="AI49" s="1"/>
  <c r="AG50" s="1"/>
  <c r="AI48"/>
  <c r="AK49"/>
  <c r="AM49" s="1"/>
  <c r="AK50" s="1"/>
  <c r="AM48"/>
  <c r="K47"/>
  <c r="AA46"/>
  <c r="L132" i="27"/>
  <c r="M132" s="1"/>
  <c r="H133"/>
  <c r="H156" i="1"/>
  <c r="H66"/>
  <c r="F22"/>
  <c r="A21"/>
  <c r="H193"/>
  <c r="H196" s="1"/>
  <c r="H204" s="1"/>
  <c r="H154"/>
  <c r="F15" i="12"/>
  <c r="F17" s="1"/>
  <c r="E116" i="7"/>
  <c r="F43" i="26"/>
  <c r="G43" s="1"/>
  <c r="G42"/>
  <c r="I28" i="6"/>
  <c r="I38" s="1"/>
  <c r="F51" i="26"/>
  <c r="G51" s="1"/>
  <c r="F71"/>
  <c r="G71" s="1"/>
  <c r="H129" i="1"/>
  <c r="H153"/>
  <c r="H139"/>
  <c r="H62"/>
  <c r="G48" i="26" l="1"/>
  <c r="F59"/>
  <c r="G59" s="1"/>
  <c r="G58"/>
  <c r="G44"/>
  <c r="F45"/>
  <c r="G45" s="1"/>
  <c r="G46"/>
  <c r="F47"/>
  <c r="G47" s="1"/>
  <c r="F55"/>
  <c r="G55" s="1"/>
  <c r="G68"/>
  <c r="F69"/>
  <c r="G69" s="1"/>
  <c r="G64"/>
  <c r="F65"/>
  <c r="G65" s="1"/>
  <c r="G52"/>
  <c r="F53"/>
  <c r="G53" s="1"/>
  <c r="F63"/>
  <c r="G63" s="1"/>
  <c r="G62"/>
  <c r="F61"/>
  <c r="G61" s="1"/>
  <c r="G60"/>
  <c r="G56"/>
  <c r="I39" i="6"/>
  <c r="I42" s="1"/>
  <c r="I50" s="1"/>
  <c r="H48" i="1"/>
  <c r="O48" i="26"/>
  <c r="AK51"/>
  <c r="AM51" s="1"/>
  <c r="AK52" s="1"/>
  <c r="AM50"/>
  <c r="AC51"/>
  <c r="AE51" s="1"/>
  <c r="AC52" s="1"/>
  <c r="AE50"/>
  <c r="Q51"/>
  <c r="S51" s="1"/>
  <c r="Q52" s="1"/>
  <c r="S50"/>
  <c r="O50"/>
  <c r="M51"/>
  <c r="O51" s="1"/>
  <c r="M52" s="1"/>
  <c r="AG51"/>
  <c r="AI51" s="1"/>
  <c r="AG52" s="1"/>
  <c r="AI50"/>
  <c r="Y51"/>
  <c r="AA51" s="1"/>
  <c r="Y52" s="1"/>
  <c r="AA50"/>
  <c r="W50"/>
  <c r="U51"/>
  <c r="W51" s="1"/>
  <c r="U52" s="1"/>
  <c r="L133" i="27"/>
  <c r="M133" s="1"/>
  <c r="H134"/>
  <c r="F116" i="7"/>
  <c r="H81" i="1" s="1"/>
  <c r="E121" i="7"/>
  <c r="F121" s="1"/>
  <c r="H138" i="1" s="1"/>
  <c r="H140" s="1"/>
  <c r="A7" i="7"/>
  <c r="F61" i="1"/>
  <c r="A22"/>
  <c r="H197"/>
  <c r="H205" s="1"/>
  <c r="H64"/>
  <c r="H155"/>
  <c r="H195" l="1"/>
  <c r="H203" s="1"/>
  <c r="H52"/>
  <c r="I43" i="6"/>
  <c r="I51" s="1"/>
  <c r="AC53" i="26"/>
  <c r="AE53" s="1"/>
  <c r="AC54" s="1"/>
  <c r="AE52"/>
  <c r="AG53"/>
  <c r="AI53" s="1"/>
  <c r="AG54" s="1"/>
  <c r="AI52"/>
  <c r="Q53"/>
  <c r="S53" s="1"/>
  <c r="Q54" s="1"/>
  <c r="S52"/>
  <c r="AK53"/>
  <c r="AM53" s="1"/>
  <c r="AK54" s="1"/>
  <c r="AM52"/>
  <c r="U53"/>
  <c r="W53" s="1"/>
  <c r="U54" s="1"/>
  <c r="W52"/>
  <c r="Y53"/>
  <c r="AA53" s="1"/>
  <c r="Y54" s="1"/>
  <c r="AA52"/>
  <c r="O52"/>
  <c r="M53"/>
  <c r="O53" s="1"/>
  <c r="M54" s="1"/>
  <c r="H135" i="27"/>
  <c r="L134"/>
  <c r="M134" s="1"/>
  <c r="A24" i="1"/>
  <c r="A26" s="1"/>
  <c r="F24"/>
  <c r="H68"/>
  <c r="H157"/>
  <c r="I41" i="6" l="1"/>
  <c r="I49" s="1"/>
  <c r="I52" s="1"/>
  <c r="H26" i="1"/>
  <c r="Y55" i="26"/>
  <c r="AA55" s="1"/>
  <c r="Y56" s="1"/>
  <c r="AA54"/>
  <c r="U55"/>
  <c r="W55" s="1"/>
  <c r="U56" s="1"/>
  <c r="W54"/>
  <c r="Q55"/>
  <c r="S55" s="1"/>
  <c r="Q56" s="1"/>
  <c r="S54"/>
  <c r="AE54"/>
  <c r="AC55"/>
  <c r="AE55" s="1"/>
  <c r="AC56" s="1"/>
  <c r="M55"/>
  <c r="O55" s="1"/>
  <c r="M56" s="1"/>
  <c r="O54"/>
  <c r="AM54"/>
  <c r="AK55"/>
  <c r="AM55" s="1"/>
  <c r="AK56" s="1"/>
  <c r="AI54"/>
  <c r="AG55"/>
  <c r="AI55" s="1"/>
  <c r="AG56" s="1"/>
  <c r="L135" i="27"/>
  <c r="M135" s="1"/>
  <c r="H136"/>
  <c r="A27" i="1"/>
  <c r="A29" s="1"/>
  <c r="F27"/>
  <c r="H70"/>
  <c r="H206"/>
  <c r="H160"/>
  <c r="H27" l="1"/>
  <c r="AG57" i="26"/>
  <c r="AI57" s="1"/>
  <c r="AG58" s="1"/>
  <c r="AI56"/>
  <c r="M57"/>
  <c r="O57" s="1"/>
  <c r="M58" s="1"/>
  <c r="O56"/>
  <c r="Q57"/>
  <c r="S57" s="1"/>
  <c r="Q58" s="1"/>
  <c r="S56"/>
  <c r="Y57"/>
  <c r="AA57" s="1"/>
  <c r="Y58" s="1"/>
  <c r="AA56"/>
  <c r="U57"/>
  <c r="W57" s="1"/>
  <c r="U58" s="1"/>
  <c r="W56"/>
  <c r="AK57"/>
  <c r="AM57" s="1"/>
  <c r="AK58" s="1"/>
  <c r="AM56"/>
  <c r="AC57"/>
  <c r="AE57" s="1"/>
  <c r="AC58" s="1"/>
  <c r="AE56"/>
  <c r="L136" i="27"/>
  <c r="M136" s="1"/>
  <c r="H137"/>
  <c r="A30" i="1"/>
  <c r="F30"/>
  <c r="H238"/>
  <c r="H233"/>
  <c r="H29"/>
  <c r="AK59" i="26" l="1"/>
  <c r="AM59" s="1"/>
  <c r="AK60" s="1"/>
  <c r="AM58"/>
  <c r="AC59"/>
  <c r="AE59" s="1"/>
  <c r="AC60" s="1"/>
  <c r="AE58"/>
  <c r="U59"/>
  <c r="W59" s="1"/>
  <c r="U60" s="1"/>
  <c r="W58"/>
  <c r="Q59"/>
  <c r="S59" s="1"/>
  <c r="Q60" s="1"/>
  <c r="S58"/>
  <c r="AG59"/>
  <c r="AI59" s="1"/>
  <c r="AG60" s="1"/>
  <c r="AI58"/>
  <c r="Y59"/>
  <c r="AA59" s="1"/>
  <c r="Y60" s="1"/>
  <c r="AA58"/>
  <c r="O58"/>
  <c r="M59"/>
  <c r="O59" s="1"/>
  <c r="M60" s="1"/>
  <c r="L137" i="27"/>
  <c r="M137" s="1"/>
  <c r="H138"/>
  <c r="A35" i="1"/>
  <c r="F222"/>
  <c r="G69" i="6" s="1"/>
  <c r="F134" i="1"/>
  <c r="H30"/>
  <c r="M61" i="26" l="1"/>
  <c r="O61" s="1"/>
  <c r="M62" s="1"/>
  <c r="O60"/>
  <c r="Y61"/>
  <c r="AA61" s="1"/>
  <c r="Y62" s="1"/>
  <c r="AA60"/>
  <c r="S60"/>
  <c r="Q61"/>
  <c r="S61" s="1"/>
  <c r="Q62" s="1"/>
  <c r="AG61"/>
  <c r="AI61" s="1"/>
  <c r="AG62" s="1"/>
  <c r="AI60"/>
  <c r="U61"/>
  <c r="W61" s="1"/>
  <c r="U62" s="1"/>
  <c r="W60"/>
  <c r="AK61"/>
  <c r="AM61" s="1"/>
  <c r="AK62" s="1"/>
  <c r="AM60"/>
  <c r="AC61"/>
  <c r="AE61" s="1"/>
  <c r="AC62" s="1"/>
  <c r="AE60"/>
  <c r="H139" i="27"/>
  <c r="L138"/>
  <c r="M138" s="1"/>
  <c r="A36" i="1"/>
  <c r="A46" i="7"/>
  <c r="F246" i="1"/>
  <c r="E16" i="12"/>
  <c r="E17" s="1"/>
  <c r="G17" s="1"/>
  <c r="H75" i="1" s="1"/>
  <c r="I69" i="6"/>
  <c r="I70" s="1"/>
  <c r="H134" i="1"/>
  <c r="F17" i="3"/>
  <c r="G17" s="1"/>
  <c r="F34"/>
  <c r="G34" s="1"/>
  <c r="H222" i="1"/>
  <c r="AG63" i="26" l="1"/>
  <c r="AI63" s="1"/>
  <c r="AG64" s="1"/>
  <c r="AI62"/>
  <c r="AC63"/>
  <c r="AE63" s="1"/>
  <c r="AC64" s="1"/>
  <c r="AE62"/>
  <c r="U63"/>
  <c r="W63" s="1"/>
  <c r="U64" s="1"/>
  <c r="W62"/>
  <c r="M63"/>
  <c r="O63" s="1"/>
  <c r="M64" s="1"/>
  <c r="O62"/>
  <c r="Q63"/>
  <c r="S63" s="1"/>
  <c r="Q64" s="1"/>
  <c r="S62"/>
  <c r="AM62"/>
  <c r="AK63"/>
  <c r="AM63" s="1"/>
  <c r="AK64" s="1"/>
  <c r="Y63"/>
  <c r="AA63" s="1"/>
  <c r="Y64" s="1"/>
  <c r="AA62"/>
  <c r="H140" i="27"/>
  <c r="L139"/>
  <c r="M139" s="1"/>
  <c r="A37" i="1"/>
  <c r="C288"/>
  <c r="H223"/>
  <c r="H135"/>
  <c r="G36" i="3"/>
  <c r="H164" i="1" s="1"/>
  <c r="AC65" i="26" l="1"/>
  <c r="AE65" s="1"/>
  <c r="AC66" s="1"/>
  <c r="AE64"/>
  <c r="AA64"/>
  <c r="Y65"/>
  <c r="AA65" s="1"/>
  <c r="Y66" s="1"/>
  <c r="Q65"/>
  <c r="S65" s="1"/>
  <c r="Q66" s="1"/>
  <c r="S64"/>
  <c r="W64"/>
  <c r="U65"/>
  <c r="W65" s="1"/>
  <c r="U66" s="1"/>
  <c r="AG65"/>
  <c r="AI65" s="1"/>
  <c r="AG66" s="1"/>
  <c r="AI64"/>
  <c r="O64"/>
  <c r="M65"/>
  <c r="O65" s="1"/>
  <c r="M66" s="1"/>
  <c r="AK65"/>
  <c r="AM65" s="1"/>
  <c r="AK66" s="1"/>
  <c r="AM64"/>
  <c r="L140" i="27"/>
  <c r="M140" s="1"/>
  <c r="H141"/>
  <c r="C289" i="1"/>
  <c r="A38"/>
  <c r="F38"/>
  <c r="H166"/>
  <c r="H142"/>
  <c r="O66" i="26" l="1"/>
  <c r="M67"/>
  <c r="O67" s="1"/>
  <c r="M68" s="1"/>
  <c r="U67"/>
  <c r="W67" s="1"/>
  <c r="U68" s="1"/>
  <c r="W66"/>
  <c r="AK67"/>
  <c r="AM67" s="1"/>
  <c r="AK68" s="1"/>
  <c r="AM66"/>
  <c r="AG67"/>
  <c r="AI67" s="1"/>
  <c r="AG68" s="1"/>
  <c r="AI66"/>
  <c r="Q67"/>
  <c r="S67" s="1"/>
  <c r="Q68" s="1"/>
  <c r="S66"/>
  <c r="AC67"/>
  <c r="AE67" s="1"/>
  <c r="AC68" s="1"/>
  <c r="AE66"/>
  <c r="Y67"/>
  <c r="AA67" s="1"/>
  <c r="Y68" s="1"/>
  <c r="AA66"/>
  <c r="L141" i="27"/>
  <c r="M141" s="1"/>
  <c r="H142"/>
  <c r="A40" i="1"/>
  <c r="H239"/>
  <c r="H237"/>
  <c r="H91"/>
  <c r="AC69" i="26" l="1"/>
  <c r="AE69" s="1"/>
  <c r="AC70" s="1"/>
  <c r="AE68"/>
  <c r="Y69"/>
  <c r="AA69" s="1"/>
  <c r="Y70" s="1"/>
  <c r="AA68"/>
  <c r="S68"/>
  <c r="Q69"/>
  <c r="S69" s="1"/>
  <c r="Q70" s="1"/>
  <c r="AK69"/>
  <c r="AM69" s="1"/>
  <c r="AK70" s="1"/>
  <c r="AM68"/>
  <c r="M69"/>
  <c r="O69" s="1"/>
  <c r="M70" s="1"/>
  <c r="O68"/>
  <c r="AI68"/>
  <c r="AG69"/>
  <c r="AI69" s="1"/>
  <c r="AG70" s="1"/>
  <c r="U69"/>
  <c r="W69" s="1"/>
  <c r="U70" s="1"/>
  <c r="W68"/>
  <c r="L142" i="27"/>
  <c r="M142" s="1"/>
  <c r="H143"/>
  <c r="A41" i="1"/>
  <c r="A42" s="1"/>
  <c r="H93"/>
  <c r="F42" l="1"/>
  <c r="W70" i="26"/>
  <c r="U71"/>
  <c r="W71" s="1"/>
  <c r="M71"/>
  <c r="O71" s="1"/>
  <c r="O70"/>
  <c r="AE70"/>
  <c r="AC71"/>
  <c r="AE71" s="1"/>
  <c r="Q71"/>
  <c r="S71" s="1"/>
  <c r="S70"/>
  <c r="AK71"/>
  <c r="AM71" s="1"/>
  <c r="AM70"/>
  <c r="AA70"/>
  <c r="Y71"/>
  <c r="AA71" s="1"/>
  <c r="AG71"/>
  <c r="AI71" s="1"/>
  <c r="AI70"/>
  <c r="L143" i="27"/>
  <c r="M143" s="1"/>
  <c r="M144" s="1"/>
  <c r="H144"/>
  <c r="A43" i="1"/>
  <c r="A44" s="1"/>
  <c r="H98"/>
  <c r="K147" i="27" l="1"/>
  <c r="H147"/>
  <c r="A45" i="1"/>
  <c r="A46" s="1"/>
  <c r="F44"/>
  <c r="H234"/>
  <c r="H100"/>
  <c r="F46" l="1"/>
  <c r="K148" i="27"/>
  <c r="K149" s="1"/>
  <c r="K150" s="1"/>
  <c r="K151" s="1"/>
  <c r="K152" s="1"/>
  <c r="K153" s="1"/>
  <c r="K154" s="1"/>
  <c r="K155" s="1"/>
  <c r="K156" s="1"/>
  <c r="K157" s="1"/>
  <c r="K158" s="1"/>
  <c r="L147"/>
  <c r="H148" s="1"/>
  <c r="L148" s="1"/>
  <c r="H149" s="1"/>
  <c r="L149" s="1"/>
  <c r="H150" s="1"/>
  <c r="L150" s="1"/>
  <c r="H151" s="1"/>
  <c r="L151" s="1"/>
  <c r="H152" s="1"/>
  <c r="L152" s="1"/>
  <c r="H153" s="1"/>
  <c r="L153" s="1"/>
  <c r="H154" s="1"/>
  <c r="L154" s="1"/>
  <c r="H155" s="1"/>
  <c r="L155" s="1"/>
  <c r="H156" s="1"/>
  <c r="L156" s="1"/>
  <c r="H157" s="1"/>
  <c r="L157" s="1"/>
  <c r="H158" s="1"/>
  <c r="L158" s="1"/>
  <c r="A47" i="1"/>
  <c r="F48" s="1"/>
  <c r="H235"/>
  <c r="I14" i="6"/>
  <c r="I54" s="1"/>
  <c r="H208" i="1"/>
  <c r="K159" i="27" l="1"/>
  <c r="K161" s="1"/>
  <c r="H275" i="1" s="1"/>
  <c r="F65"/>
  <c r="A10" i="7"/>
  <c r="A48" i="1"/>
  <c r="H240"/>
  <c r="H226"/>
  <c r="I74" i="6"/>
  <c r="I76" s="1"/>
  <c r="I7" s="1"/>
  <c r="H268" i="1" s="1"/>
  <c r="A50" l="1"/>
  <c r="F52" s="1"/>
  <c r="H228"/>
  <c r="A32" i="7" l="1"/>
  <c r="A52" i="1"/>
  <c r="H241"/>
  <c r="F26" l="1"/>
  <c r="A56"/>
  <c r="H243"/>
  <c r="A49" i="7" l="1"/>
  <c r="A58" i="1"/>
  <c r="F261"/>
  <c r="F270"/>
  <c r="H250"/>
  <c r="A59" l="1"/>
  <c r="F60" s="1"/>
  <c r="H267"/>
  <c r="H260"/>
  <c r="H251"/>
  <c r="A14" i="7" l="1"/>
  <c r="A60" i="1"/>
  <c r="H262"/>
  <c r="H263"/>
  <c r="H264"/>
  <c r="H269"/>
  <c r="H257"/>
  <c r="A61" l="1"/>
  <c r="A62" s="1"/>
  <c r="H271"/>
  <c r="H272"/>
  <c r="H274"/>
  <c r="N9" i="26"/>
  <c r="N15"/>
  <c r="F62" i="1" l="1"/>
  <c r="A63"/>
  <c r="A64" s="1"/>
  <c r="I26" i="26"/>
  <c r="L46" s="1"/>
  <c r="E26"/>
  <c r="M26"/>
  <c r="U26"/>
  <c r="Y26"/>
  <c r="AK26"/>
  <c r="Q26"/>
  <c r="AG27"/>
  <c r="AC26"/>
  <c r="AG26"/>
  <c r="AC27"/>
  <c r="N10"/>
  <c r="N11" s="1"/>
  <c r="Y27" s="1"/>
  <c r="U27" l="1"/>
  <c r="X49" s="1"/>
  <c r="F64" i="1"/>
  <c r="A65"/>
  <c r="Q27" i="26"/>
  <c r="AJ52"/>
  <c r="AJ46"/>
  <c r="AJ50"/>
  <c r="AJ60"/>
  <c r="AJ48"/>
  <c r="AJ70"/>
  <c r="AJ56"/>
  <c r="AJ64"/>
  <c r="AJ58"/>
  <c r="AJ68"/>
  <c r="AJ66"/>
  <c r="AJ62"/>
  <c r="AJ54"/>
  <c r="T58"/>
  <c r="T46"/>
  <c r="T56"/>
  <c r="T48"/>
  <c r="T60"/>
  <c r="T70"/>
  <c r="T50"/>
  <c r="T62"/>
  <c r="T64"/>
  <c r="T68"/>
  <c r="T66"/>
  <c r="T52"/>
  <c r="T54"/>
  <c r="AF59"/>
  <c r="AF57"/>
  <c r="AF63"/>
  <c r="AF49"/>
  <c r="AF47"/>
  <c r="AF53"/>
  <c r="AF71"/>
  <c r="AF69"/>
  <c r="AF51"/>
  <c r="AF61"/>
  <c r="AF65"/>
  <c r="AF67"/>
  <c r="AF55"/>
  <c r="I27"/>
  <c r="L47" s="1"/>
  <c r="M27"/>
  <c r="E27"/>
  <c r="AF58"/>
  <c r="AF48"/>
  <c r="AF56"/>
  <c r="AF64"/>
  <c r="AF52"/>
  <c r="AF68"/>
  <c r="AF62"/>
  <c r="AF66"/>
  <c r="AF54"/>
  <c r="AF46"/>
  <c r="AF70"/>
  <c r="AF60"/>
  <c r="AF50"/>
  <c r="AN62"/>
  <c r="AN56"/>
  <c r="AN50"/>
  <c r="AN48"/>
  <c r="AN46"/>
  <c r="AN68"/>
  <c r="AN66"/>
  <c r="AN60"/>
  <c r="AN52"/>
  <c r="AN70"/>
  <c r="AN64"/>
  <c r="AN54"/>
  <c r="AN58"/>
  <c r="X50"/>
  <c r="X52"/>
  <c r="X58"/>
  <c r="X46"/>
  <c r="X54"/>
  <c r="X62"/>
  <c r="X56"/>
  <c r="X70"/>
  <c r="X48"/>
  <c r="X60"/>
  <c r="X64"/>
  <c r="X68"/>
  <c r="X66"/>
  <c r="X53"/>
  <c r="X65"/>
  <c r="X57"/>
  <c r="H56"/>
  <c r="H60"/>
  <c r="H70"/>
  <c r="H68"/>
  <c r="H54"/>
  <c r="H52"/>
  <c r="H66"/>
  <c r="H48"/>
  <c r="H46"/>
  <c r="H58"/>
  <c r="H42"/>
  <c r="H64"/>
  <c r="H62"/>
  <c r="H44"/>
  <c r="H50"/>
  <c r="AB61"/>
  <c r="AB69"/>
  <c r="AB63"/>
  <c r="AB57"/>
  <c r="AB49"/>
  <c r="AB67"/>
  <c r="AB65"/>
  <c r="AB53"/>
  <c r="AB55"/>
  <c r="AB51"/>
  <c r="AB71"/>
  <c r="AB47"/>
  <c r="AB59"/>
  <c r="AK27"/>
  <c r="T67"/>
  <c r="T65"/>
  <c r="T55"/>
  <c r="T71"/>
  <c r="T53"/>
  <c r="T51"/>
  <c r="T61"/>
  <c r="T69"/>
  <c r="T47"/>
  <c r="T57"/>
  <c r="T59"/>
  <c r="T63"/>
  <c r="T49"/>
  <c r="AJ47"/>
  <c r="AJ55"/>
  <c r="AJ65"/>
  <c r="AJ49"/>
  <c r="AJ71"/>
  <c r="AJ61"/>
  <c r="AJ57"/>
  <c r="AJ63"/>
  <c r="AJ69"/>
  <c r="AJ67"/>
  <c r="AJ59"/>
  <c r="AJ51"/>
  <c r="AJ53"/>
  <c r="AB58"/>
  <c r="AB60"/>
  <c r="AB56"/>
  <c r="AB52"/>
  <c r="AB54"/>
  <c r="AB70"/>
  <c r="AB46"/>
  <c r="AB66"/>
  <c r="AB64"/>
  <c r="AB68"/>
  <c r="AB62"/>
  <c r="AB50"/>
  <c r="AB48"/>
  <c r="P60"/>
  <c r="P68"/>
  <c r="P58"/>
  <c r="P56"/>
  <c r="AO56" s="1"/>
  <c r="AQ56" s="1"/>
  <c r="P64"/>
  <c r="P48"/>
  <c r="P46"/>
  <c r="AO46" s="1"/>
  <c r="AQ46" s="1"/>
  <c r="P66"/>
  <c r="P52"/>
  <c r="P54"/>
  <c r="AO54" s="1"/>
  <c r="AQ54" s="1"/>
  <c r="P70"/>
  <c r="AO70" s="1"/>
  <c r="AQ70" s="1"/>
  <c r="P50"/>
  <c r="P62"/>
  <c r="AO62" s="1"/>
  <c r="AQ62" s="1"/>
  <c r="AO52" l="1"/>
  <c r="AQ52" s="1"/>
  <c r="AO60"/>
  <c r="AQ60" s="1"/>
  <c r="AO58"/>
  <c r="AQ58" s="1"/>
  <c r="AO66"/>
  <c r="AQ66" s="1"/>
  <c r="X71"/>
  <c r="X47"/>
  <c r="AO64"/>
  <c r="AQ64" s="1"/>
  <c r="X63"/>
  <c r="X59"/>
  <c r="X61"/>
  <c r="AO50"/>
  <c r="AQ50" s="1"/>
  <c r="X69"/>
  <c r="X55"/>
  <c r="AO48"/>
  <c r="AQ48" s="1"/>
  <c r="AO68"/>
  <c r="AQ68" s="1"/>
  <c r="X67"/>
  <c r="X51"/>
  <c r="F66" i="1"/>
  <c r="A66"/>
  <c r="P69" i="26"/>
  <c r="P71"/>
  <c r="P63"/>
  <c r="P57"/>
  <c r="P49"/>
  <c r="P59"/>
  <c r="P51"/>
  <c r="P65"/>
  <c r="P55"/>
  <c r="P53"/>
  <c r="P47"/>
  <c r="P61"/>
  <c r="P67"/>
  <c r="H43"/>
  <c r="H59"/>
  <c r="H69"/>
  <c r="H51"/>
  <c r="H49"/>
  <c r="H55"/>
  <c r="H63"/>
  <c r="H57"/>
  <c r="H71"/>
  <c r="H53"/>
  <c r="H45"/>
  <c r="H47"/>
  <c r="H65"/>
  <c r="H61"/>
  <c r="H67"/>
  <c r="AN63"/>
  <c r="AN49"/>
  <c r="AN57"/>
  <c r="AN71"/>
  <c r="AN67"/>
  <c r="AN69"/>
  <c r="AN47"/>
  <c r="AN55"/>
  <c r="AN53"/>
  <c r="AN51"/>
  <c r="AN65"/>
  <c r="AN59"/>
  <c r="AN61"/>
  <c r="AO47" l="1"/>
  <c r="AP47" s="1"/>
  <c r="H276" i="1" s="1"/>
  <c r="K162" i="27" s="1"/>
  <c r="K163" s="1"/>
  <c r="AO51" i="26"/>
  <c r="AP51" s="1"/>
  <c r="A68" i="1"/>
  <c r="F68"/>
  <c r="AO67" i="26"/>
  <c r="AP67" s="1"/>
  <c r="AO55"/>
  <c r="AP55" s="1"/>
  <c r="AO49"/>
  <c r="AP49" s="1"/>
  <c r="AO69"/>
  <c r="AP69" s="1"/>
  <c r="AO53"/>
  <c r="AP53" s="1"/>
  <c r="AO59"/>
  <c r="AP59" s="1"/>
  <c r="AO71"/>
  <c r="AP71" s="1"/>
  <c r="AO63"/>
  <c r="AP63" s="1"/>
  <c r="AO61"/>
  <c r="AP61" s="1"/>
  <c r="AO65"/>
  <c r="AP65" s="1"/>
  <c r="AO57"/>
  <c r="AP57" s="1"/>
  <c r="H278" i="1" l="1"/>
  <c r="A70"/>
  <c r="F70"/>
  <c r="H282" l="1"/>
  <c r="H284" s="1"/>
  <c r="A75"/>
  <c r="F29"/>
  <c r="F233"/>
  <c r="A78" l="1"/>
  <c r="A81" s="1"/>
  <c r="A115" i="7" l="1"/>
  <c r="A84" i="1"/>
  <c r="A85" l="1"/>
  <c r="A86" s="1"/>
  <c r="A17" i="7"/>
  <c r="F86" i="1" l="1"/>
  <c r="A87"/>
  <c r="A88" s="1"/>
  <c r="F88"/>
  <c r="A91" l="1"/>
  <c r="A92" l="1"/>
  <c r="A93" s="1"/>
  <c r="F93" l="1"/>
  <c r="A96"/>
  <c r="F98" s="1"/>
  <c r="A98" l="1"/>
  <c r="A127" i="7"/>
  <c r="F234" i="1" l="1"/>
  <c r="A100"/>
  <c r="F100"/>
  <c r="G14" i="6" s="1"/>
  <c r="F235" i="1" l="1"/>
  <c r="A105"/>
  <c r="A106" l="1"/>
  <c r="A136" i="7"/>
  <c r="A139" l="1"/>
  <c r="A107" i="1"/>
  <c r="A108" l="1"/>
  <c r="A109" l="1"/>
  <c r="C311"/>
  <c r="A110" l="1"/>
  <c r="A20" i="7"/>
  <c r="F110" i="1"/>
  <c r="A113" l="1"/>
  <c r="A62" i="7" l="1"/>
  <c r="A114" i="1"/>
  <c r="A64" i="7" l="1"/>
  <c r="A115" i="1"/>
  <c r="A65" i="7" l="1"/>
  <c r="A116" i="1"/>
  <c r="A66" i="7" l="1"/>
  <c r="A117" i="1"/>
  <c r="A67" i="7" l="1"/>
  <c r="A118" i="1"/>
  <c r="A119" l="1"/>
  <c r="A120" s="1"/>
  <c r="A121" s="1"/>
  <c r="F131"/>
  <c r="A55" i="7" l="1"/>
  <c r="A122" i="1"/>
  <c r="F122"/>
  <c r="A123" l="1"/>
  <c r="A124" s="1"/>
  <c r="F124" l="1"/>
  <c r="A127"/>
  <c r="A74" i="7" l="1"/>
  <c r="A128" i="1"/>
  <c r="F129" s="1"/>
  <c r="A93" i="7" l="1"/>
  <c r="A129" i="1"/>
  <c r="A131" l="1"/>
  <c r="A132" l="1"/>
  <c r="F133" s="1"/>
  <c r="A80" i="7" l="1"/>
  <c r="A133" i="1"/>
  <c r="A134" l="1"/>
  <c r="A135" s="1"/>
  <c r="F135" l="1"/>
  <c r="A138"/>
  <c r="A139" l="1"/>
  <c r="A140" s="1"/>
  <c r="A118" i="7"/>
  <c r="F140" i="1" l="1"/>
  <c r="A142"/>
  <c r="F142"/>
  <c r="F237" l="1"/>
  <c r="F91"/>
  <c r="A147"/>
  <c r="A149" l="1"/>
  <c r="A150" l="1"/>
  <c r="F151" s="1"/>
  <c r="A23" i="7" l="1"/>
  <c r="F156" i="1"/>
  <c r="A151"/>
  <c r="A152" l="1"/>
  <c r="A153" s="1"/>
  <c r="F153" l="1"/>
  <c r="A154"/>
  <c r="A155" s="1"/>
  <c r="F155" l="1"/>
  <c r="A156"/>
  <c r="A157" s="1"/>
  <c r="F157" l="1"/>
  <c r="A160"/>
  <c r="F160"/>
  <c r="F238" l="1"/>
  <c r="A164"/>
  <c r="F166" l="1"/>
  <c r="A166"/>
  <c r="A171" l="1"/>
  <c r="F239"/>
  <c r="A147" i="7" l="1"/>
  <c r="A172" i="1"/>
  <c r="F173" s="1"/>
  <c r="G19" i="6" s="1"/>
  <c r="A14" i="11" l="1"/>
  <c r="A173" i="1"/>
  <c r="A175" l="1"/>
  <c r="A178" l="1"/>
  <c r="A179" l="1"/>
  <c r="A180" s="1"/>
  <c r="A181" s="1"/>
  <c r="A182" s="1"/>
  <c r="F192" l="1"/>
  <c r="G38" i="6" s="1"/>
  <c r="A185" i="1"/>
  <c r="F182"/>
  <c r="G28" i="6" s="1"/>
  <c r="A186" i="1" l="1"/>
  <c r="A187" s="1"/>
  <c r="A188" s="1"/>
  <c r="A189" s="1"/>
  <c r="F190" l="1"/>
  <c r="G36" i="6" s="1"/>
  <c r="A190" i="1"/>
  <c r="A18" i="11"/>
  <c r="A191" i="1" l="1"/>
  <c r="F199"/>
  <c r="G45" i="6" s="1"/>
  <c r="F180" i="1" l="1"/>
  <c r="G26" i="6" s="1"/>
  <c r="A192" i="1"/>
  <c r="F200"/>
  <c r="G46" i="6" s="1"/>
  <c r="A193" i="1" l="1"/>
  <c r="F197" s="1"/>
  <c r="G43" i="6" s="1"/>
  <c r="F193" i="1"/>
  <c r="G39" i="6" s="1"/>
  <c r="A195" i="1" l="1"/>
  <c r="F195"/>
  <c r="G41" i="6" s="1"/>
  <c r="F196" i="1"/>
  <c r="G42" i="6" s="1"/>
  <c r="A196" i="1" l="1"/>
  <c r="C319" s="1"/>
  <c r="A197" l="1"/>
  <c r="C315"/>
  <c r="C321"/>
  <c r="C317"/>
  <c r="C318" l="1"/>
  <c r="A199"/>
  <c r="C314"/>
  <c r="C316"/>
  <c r="C320"/>
  <c r="A200" l="1"/>
  <c r="F139"/>
  <c r="F203"/>
  <c r="G49" i="6" s="1"/>
  <c r="A201" i="1" l="1"/>
  <c r="F204"/>
  <c r="G50" i="6" s="1"/>
  <c r="A203" i="1" l="1"/>
  <c r="G47" i="6"/>
  <c r="F205" i="1"/>
  <c r="G51" i="6" s="1"/>
  <c r="A204" i="1" l="1"/>
  <c r="A205" s="1"/>
  <c r="A206" s="1"/>
  <c r="F206" l="1"/>
  <c r="G52" i="6" s="1"/>
  <c r="A208" i="1"/>
  <c r="F208"/>
  <c r="G54" i="6" s="1"/>
  <c r="A213" i="1" l="1"/>
  <c r="A214" s="1"/>
  <c r="F240"/>
  <c r="A215" l="1"/>
  <c r="A216" s="1"/>
  <c r="A87" i="7"/>
  <c r="F221" i="1" l="1"/>
  <c r="G68" i="6" s="1"/>
  <c r="A217" i="1"/>
  <c r="A220" l="1"/>
  <c r="F226"/>
  <c r="A221" l="1"/>
  <c r="A222" s="1"/>
  <c r="A223" s="1"/>
  <c r="F223" l="1"/>
  <c r="G70" i="6" s="1"/>
  <c r="A226" i="1"/>
  <c r="A228" s="1"/>
  <c r="F228" l="1"/>
  <c r="F241"/>
  <c r="A233"/>
  <c r="A234" s="1"/>
  <c r="A235" s="1"/>
  <c r="A237" s="1"/>
  <c r="A238" l="1"/>
  <c r="A239" s="1"/>
  <c r="A240" s="1"/>
  <c r="A241" s="1"/>
  <c r="A243" s="1"/>
  <c r="F243" l="1"/>
  <c r="A246"/>
  <c r="F250"/>
  <c r="A247" l="1"/>
  <c r="F248" s="1"/>
  <c r="A248" l="1"/>
  <c r="A99" i="7"/>
  <c r="F249" i="1" l="1"/>
  <c r="A249"/>
  <c r="A250" l="1"/>
  <c r="F251" s="1"/>
  <c r="A251" l="1"/>
  <c r="F267"/>
  <c r="F260"/>
  <c r="A254" l="1"/>
  <c r="A255" s="1"/>
  <c r="F257" l="1"/>
  <c r="C309"/>
  <c r="A155" i="7"/>
  <c r="A257" i="1"/>
  <c r="F274" l="1"/>
  <c r="A260"/>
  <c r="A261" l="1"/>
  <c r="A262" s="1"/>
  <c r="A263" s="1"/>
  <c r="F264"/>
  <c r="F263"/>
  <c r="F262" l="1"/>
  <c r="A264"/>
  <c r="D9" i="26"/>
  <c r="D15" l="1"/>
  <c r="A267" i="1"/>
  <c r="A268" l="1"/>
  <c r="A269" s="1"/>
  <c r="F269" l="1"/>
  <c r="A270"/>
  <c r="A271" s="1"/>
  <c r="A272" s="1"/>
  <c r="F272" l="1"/>
  <c r="A274"/>
  <c r="D10" i="26"/>
  <c r="F271" i="1"/>
  <c r="A275" l="1"/>
  <c r="A276" s="1"/>
  <c r="A277" s="1"/>
  <c r="F278" l="1"/>
  <c r="A165" i="7"/>
  <c r="A278" i="1"/>
  <c r="HE277"/>
  <c r="A281" l="1"/>
  <c r="F282" s="1"/>
  <c r="A171" i="7" l="1"/>
  <c r="A282" i="1"/>
  <c r="F284" l="1"/>
  <c r="A284"/>
</calcChain>
</file>

<file path=xl/sharedStrings.xml><?xml version="1.0" encoding="utf-8"?>
<sst xmlns="http://schemas.openxmlformats.org/spreadsheetml/2006/main" count="1315" uniqueCount="874">
  <si>
    <t>Real estate taxes capitalized under Code Section 263A</t>
  </si>
  <si>
    <t>Repair allowances</t>
  </si>
  <si>
    <t>Chicago Arbitration settlement</t>
  </si>
  <si>
    <t>Deferred Gain on Sale of Easements</t>
  </si>
  <si>
    <t>Incentive pay capitalized (Global Settlement)</t>
  </si>
  <si>
    <t>Midwest Generation Settlement</t>
  </si>
  <si>
    <t>Other Comprehensive Income - unrealized appreciation</t>
  </si>
  <si>
    <t>PJM start-up costs</t>
  </si>
  <si>
    <t>Swap and hedging transactions</t>
  </si>
  <si>
    <t xml:space="preserve">   Less:  General Plant Account 397 -- Communications</t>
  </si>
  <si>
    <t>Workers Compensation (Injuries &amp; Damages)</t>
  </si>
  <si>
    <t>FIN47</t>
  </si>
  <si>
    <t>Loss on reacquired debt</t>
  </si>
  <si>
    <t>Account No. 397 Directly Assigned to Transmission</t>
  </si>
  <si>
    <t>General Plant Direct Assignment of Account 397</t>
  </si>
  <si>
    <t>DA to Trans.</t>
  </si>
  <si>
    <t>General</t>
  </si>
  <si>
    <t>Intangible</t>
  </si>
  <si>
    <t>p205.5.g</t>
  </si>
  <si>
    <t>Balance of Accumulated General Depreciation</t>
  </si>
  <si>
    <t>Percent of Acct. 397 Directly Assigned to Transmission</t>
  </si>
  <si>
    <t>Amount of Gen. Depr. Associated with Acct. 397 Directly Assigned to Trans.</t>
  </si>
  <si>
    <t>Other taxes that are assessed based on labor will be allocated based on the Wages and Salary Allocator.</t>
  </si>
  <si>
    <t>Allocator.  If the taxes are 100% recovered at retail they shall not be included.</t>
  </si>
  <si>
    <t>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</si>
  <si>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</si>
  <si>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</si>
  <si>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</si>
  <si>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</si>
  <si>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</si>
  <si>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</si>
  <si>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</si>
  <si>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</si>
  <si>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</si>
  <si>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</si>
  <si>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</si>
  <si>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</si>
  <si>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</si>
  <si>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</si>
  <si>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</si>
  <si>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</si>
  <si>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</si>
  <si>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</si>
  <si>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</si>
  <si>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</si>
  <si>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</si>
  <si>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</si>
  <si>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</si>
  <si>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</si>
  <si>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</si>
  <si>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ADIT</t>
  </si>
  <si>
    <t>Plant Related</t>
  </si>
  <si>
    <t>Page 263</t>
  </si>
  <si>
    <t>Col (i)</t>
  </si>
  <si>
    <t>Labor Related</t>
  </si>
  <si>
    <t>Other Included</t>
  </si>
  <si>
    <t>Total Plant Related</t>
  </si>
  <si>
    <t>Total Labor Related</t>
  </si>
  <si>
    <t>Total Other Included</t>
  </si>
  <si>
    <t>Currently Excluded</t>
  </si>
  <si>
    <t>Allocated</t>
  </si>
  <si>
    <t>Amount</t>
  </si>
  <si>
    <t>ADIT net of FASB 106 and 109</t>
  </si>
  <si>
    <t xml:space="preserve">      Less Loss on Reacquired Debt </t>
  </si>
  <si>
    <t>p207.104.g</t>
  </si>
  <si>
    <t>p207.99.g</t>
  </si>
  <si>
    <t>p336.10.b&amp;c&amp;d</t>
  </si>
  <si>
    <t>Rider RCA - Renewable</t>
  </si>
  <si>
    <t>Rider RCA - Low Income Assistance</t>
  </si>
  <si>
    <t>p219.28.c (footnote)</t>
  </si>
  <si>
    <t>p323.197.b</t>
  </si>
  <si>
    <t>p320.198.b (footnote)</t>
  </si>
  <si>
    <t xml:space="preserve">      Plus Gain on Reacquired Debt</t>
  </si>
  <si>
    <t>Plant Held for Future Use (Including Land)</t>
  </si>
  <si>
    <t>Line #</t>
  </si>
  <si>
    <t>Life</t>
  </si>
  <si>
    <t>CIAC</t>
  </si>
  <si>
    <t>Details</t>
  </si>
  <si>
    <t>Invest Yr</t>
  </si>
  <si>
    <t>Revenues Subject to Refund</t>
  </si>
  <si>
    <t>FAS 109 ITC</t>
  </si>
  <si>
    <t>Related to unamortized investment tax credit. Tax credit not yet recognized for book purposes thus creating a book/tax timing difference. The regulatory liability is not reflected in rate base therefore neither is the deferred tax asset.</t>
  </si>
  <si>
    <t xml:space="preserve">Regulatory asset established to recognize the change in income tax rates and flow through timing difference between those in effect when plant related deferred taxes were established and those in effect when they are expensed. The corresponding regulatory asset represents the amount of future revenue and the related increase in future tax expense that will be recovered when the temporary difference reverses. The regulatory asset is not reflected in rate base therefore neither is the deferred tax liability. </t>
  </si>
  <si>
    <t>Regulatory Asset of Distribution Rate Case Matters</t>
  </si>
  <si>
    <t>FCR if a CIAC</t>
  </si>
  <si>
    <t>FCR for This Project</t>
  </si>
  <si>
    <t xml:space="preserve">Line B less Line A </t>
  </si>
  <si>
    <t>Accumulated General and Intangible Depreciation Ex. Acct. 397</t>
  </si>
  <si>
    <t>Subtotal General and Intangible Accum. Depreciation Allocated to Transmission</t>
  </si>
  <si>
    <t>Total General and Intangible Plant</t>
  </si>
  <si>
    <t>General and Intangible Excluding Acct. 397</t>
  </si>
  <si>
    <t>General and Intangible Plant Allocated to Transmission</t>
  </si>
  <si>
    <t>Total General and Intangible Functionalized to Transmission</t>
  </si>
  <si>
    <t>Allocated Administrative &amp; General Expenses</t>
  </si>
  <si>
    <t>Administrative &amp; General Expenses</t>
  </si>
  <si>
    <t>Administrative &amp; General Expenses Allocated to Transmission</t>
  </si>
  <si>
    <t>Attachment 9 - Depreciation Rates</t>
  </si>
  <si>
    <t>Applied</t>
  </si>
  <si>
    <t>Deprec.</t>
  </si>
  <si>
    <t>Plant Type</t>
  </si>
  <si>
    <t>Rate (%)</t>
  </si>
  <si>
    <t>p266.8.f</t>
  </si>
  <si>
    <t>Includes all EPRI Annual Membership Dues</t>
  </si>
  <si>
    <t xml:space="preserve">  the percentage of federal income tax deductible for state income taxes.  </t>
  </si>
  <si>
    <t xml:space="preserve">Depreciation rates shown in Attachment 9 are fixed until changed as the result of a filing at FERC. </t>
  </si>
  <si>
    <t>If book depreciation rates are different than the Attachment 9 rates, ComEd will provide workpapers at the annual update to reconcile formula</t>
  </si>
  <si>
    <t>Amortization of regulatory asset - Severance Cost</t>
  </si>
  <si>
    <t>Amortization of regulatory asset - MGP - Enviromental Remediation</t>
  </si>
  <si>
    <t>See FERC Form 1, footnote to p320.97b.</t>
  </si>
  <si>
    <t xml:space="preserve">Subtotal   </t>
  </si>
  <si>
    <t>ADIT-282</t>
  </si>
  <si>
    <t>row 4 * row 6</t>
  </si>
  <si>
    <t>row 4 * row 5</t>
  </si>
  <si>
    <t>p321.112.b</t>
  </si>
  <si>
    <t>p321.96.b</t>
  </si>
  <si>
    <t>Transmission related 565 is to include the TX revenue requirement of ComEd of Indiana</t>
  </si>
  <si>
    <t>Note:  ComEd does not have billing determinants of its wholesale customers.  
This is confidential information in the possession of PJM Interconnection, LLC.</t>
  </si>
  <si>
    <t>p117.62-67.c</t>
  </si>
  <si>
    <t>p112.18-21.c</t>
  </si>
  <si>
    <t>Payments made under Schedule 12 of the PJM OATT that are not directly assessed to load in the Zone under Schedule 12 are included</t>
  </si>
  <si>
    <t>depreciation expense and depreciation accruals to Form No. 1 amounts.</t>
  </si>
  <si>
    <t>Amount offset from Note 3 below</t>
  </si>
  <si>
    <t>Annual Depreciation Exp</t>
  </si>
  <si>
    <t>Revenue</t>
  </si>
  <si>
    <t>Beginning</t>
  </si>
  <si>
    <t>Depreciation</t>
  </si>
  <si>
    <t>Ending</t>
  </si>
  <si>
    <t>Project E</t>
  </si>
  <si>
    <t>Project F</t>
  </si>
  <si>
    <t>Project G</t>
  </si>
  <si>
    <t>Project H</t>
  </si>
  <si>
    <t>Project I</t>
  </si>
  <si>
    <t>….</t>
  </si>
  <si>
    <t>…..</t>
  </si>
  <si>
    <t>Incentive Charged</t>
  </si>
  <si>
    <t>Revenue Credit</t>
  </si>
  <si>
    <t>Formula Line</t>
  </si>
  <si>
    <t>New Plant Carrying Charge</t>
  </si>
  <si>
    <t xml:space="preserve">      Less LTD on Securitization Bonds</t>
  </si>
  <si>
    <t>Per State Tax Code</t>
  </si>
  <si>
    <t>Network Credits</t>
  </si>
  <si>
    <t>CWIP can only be included if authorized by the Commission.</t>
  </si>
  <si>
    <t>Outstanding Network Credits</t>
  </si>
  <si>
    <t>Interest on Network Credits</t>
  </si>
  <si>
    <t>PJM Data</t>
  </si>
  <si>
    <t>Revenue Credits &amp; Interest on Network Credits</t>
  </si>
  <si>
    <t xml:space="preserve">Outstanding Network Credits is the balance of Network Facilities Upgrades Credits due Transmission Customers who have made lump-sum payments </t>
  </si>
  <si>
    <t>p = percent of federal income tax deductible for state purposes</t>
  </si>
  <si>
    <t>Network Zonal Service Rate</t>
  </si>
  <si>
    <t>Net Zonal Revenue Requirement</t>
  </si>
  <si>
    <t>FERC Form 1  Page # or Instruction</t>
  </si>
  <si>
    <t>Electric Portion</t>
  </si>
  <si>
    <t>EPRI Dues</t>
  </si>
  <si>
    <t>Other Projects PIS (Monthly change in balance)</t>
  </si>
  <si>
    <t>Revenue is Ending times line 16 for the current year</t>
  </si>
  <si>
    <t>For Plant in service:  (first year means first year the project is placed in service)</t>
  </si>
  <si>
    <t>Actual Like Kind Exchange - generation related, not in rate base.</t>
  </si>
  <si>
    <t xml:space="preserve">Payments for new or additional services are not considered income for book purposes. Tax recognizes when received. Related to all functions.  </t>
  </si>
  <si>
    <t>Proceeds from CIAC: Tax Gross-up</t>
  </si>
  <si>
    <t xml:space="preserve">Non-utility. </t>
  </si>
  <si>
    <t>Capitalization of real estate taxes for tax purposes.  Related to all functions.</t>
  </si>
  <si>
    <t>Represents Sales and Use tax capitalized for book purposes, but is currently deductible for tax purposes. Related to all functions.</t>
  </si>
  <si>
    <t xml:space="preserve">Beginning in 2009, CIAC is grossed up for income taxes. Tax gross-up amounts are now collected from customers paying the CIAC. Deferred tax for these amounts is not included in rate base. </t>
  </si>
  <si>
    <t>This represents an amount for repairs that is deductible for tax purposes but is required to be capitalized for book.  Related to all functions.</t>
  </si>
  <si>
    <t>Purchased Energy Adjustment. Related to supply. Non jurisdictional.</t>
  </si>
  <si>
    <t>Relates to 1992 franchise agreement with City of Chicago.  Non jurisdictional.</t>
  </si>
  <si>
    <t>ComEd sold easements and deferred the gain. Related to all functions.</t>
  </si>
  <si>
    <t>Represents the 2003 Agreement relating to various programs and initiatives.  Book recorded the liability and is amortizing monthly.  Tax deducted the payments in each of the 4 years when made. Not wholesale related.</t>
  </si>
  <si>
    <t>Reg Asset was established to record the estimated recoverable MGP clean up costs as authorized in a rate case.  Non jurisdictional.</t>
  </si>
  <si>
    <t>These Reg Asset/Liabilities were established to track the Energy Efficiency Demand Response Program.  Related to retail rates. Non jurisdictional.</t>
  </si>
  <si>
    <t>"Beginning" is the investment on line 17 for the first year and is the "Ending" for the prior year after the first year</t>
  </si>
  <si>
    <t>The book expense on Jan 1 of calendar year; accelerated tax expense taken in previous calendar year. Related to all functions.</t>
  </si>
  <si>
    <t>Retail bad debt. For book, expense taken as it's identified; tax deduction not taken until fully written-off and all collection efforts abandoned. Relates to retail operations.</t>
  </si>
  <si>
    <t>Property taxes. Book records on an accrual method based on the prior year; tax reverses the book accrual and deducts the actual payments made. . Relates to all functions.</t>
  </si>
  <si>
    <t>Book records an accrual in filing year on estimated payouts; tax reverses the accrual and deducts the actual paid out.  Relates to all functions.</t>
  </si>
  <si>
    <t>Relates to agreement between ComEd and Chicago Public School to implement energy efficiency project funds.  Book records based on an accrual; tax records when payment actually made. Relates to retail functions, thus non-jurisdictional.</t>
  </si>
  <si>
    <t>Reserve related to Illinois income tax audit, not yet reflected in rates.  Book liability, not yet paid.</t>
  </si>
  <si>
    <t>Rent expense deferred and amortized ratably for books, tax deduction when paid - energy delivery facilities used for all functions.</t>
  </si>
  <si>
    <t>Reserve is not tax deductible, expense for books, tax expensed when payments made. Related to all functions.</t>
  </si>
  <si>
    <t>Book premium and discounts were revalued and expensed/incurred at time of merger, tax did not revalue the debt and amortization remained the same; non utility.</t>
  </si>
  <si>
    <t>The MGP liability account is used to record the estimated remediation costs.  The estimated remediation costs are not deductible for tax purposes. Associated expenses are run through Rider ECR. Related to retail rates.</t>
  </si>
  <si>
    <t>Related to CTC, Fossil sales, and like kind exchange.  Not related to wholesale operations.</t>
  </si>
  <si>
    <t>Interest capitalized for book and tax purposes at different rates - related to all functions.</t>
  </si>
  <si>
    <t>Book capitalizes software development costs.  Tax is allowed to deduct certain internally developed software as expenses are incurred.  This represents both the current deduction and the reversal of the book amortization. Related to all functions.</t>
  </si>
  <si>
    <t>Book recapitalizes costs incurred to retire or reacquire debt issuances.  Tax deducts these costs when incurred. Included in debt capitalization ratio on Appendix A, line 111.</t>
  </si>
  <si>
    <t>Reg Asset established for under/over recovery of uncollectable amounts. Not wholesale related.</t>
  </si>
  <si>
    <t>Capitalized portion of vacation pay earned and expensed for books, tax takes the deduction when paid out. Related to all functions.</t>
  </si>
  <si>
    <t>Book expense recorded when stock is granted, tax expense when stock is issued at market price - employees in all functions.</t>
  </si>
  <si>
    <t>No current book activity, tax deduction as distributions are made from the trust - employees in all functions.</t>
  </si>
  <si>
    <t xml:space="preserve">Relates to potential refunds that are unrelated to transmission operations. Excluded from rate base. </t>
  </si>
  <si>
    <t>Municipal Utility</t>
  </si>
  <si>
    <t>Company's elective adjustment to payroll and benefits costs of ComEd's allocated share of Exelon Corp senior executive team that conducts overall corporate strategy and policy for Exelon.</t>
  </si>
  <si>
    <t>"Depreciation" is the annual depreciation in line 18 divided by twelve times the difference of thirteen minus line 19 in the first year and line 18 thereafter if "no" on line 13.  "Depreciation" is "0" (zero) if "Yes" on line 13</t>
  </si>
  <si>
    <t>Revenue is "Ending" times line 16 for the current year times the quotient line 19 divided by 13 plus "Depreciation" for the first year and "Ending" times line 16 plus "Depreciation" thereafter</t>
  </si>
  <si>
    <t>MultiState Workpaper</t>
  </si>
  <si>
    <t>Form 1 Amount</t>
  </si>
  <si>
    <t>Transmission Related</t>
  </si>
  <si>
    <t>Expensed Lease in Form 1 Amount</t>
  </si>
  <si>
    <t>Safety Related</t>
  </si>
  <si>
    <t>State 1</t>
  </si>
  <si>
    <t>State 2</t>
  </si>
  <si>
    <t>State 3</t>
  </si>
  <si>
    <t>State 4</t>
  </si>
  <si>
    <t>State 5</t>
  </si>
  <si>
    <t>Education &amp; Outreach</t>
  </si>
  <si>
    <t>Other</t>
  </si>
  <si>
    <t>Enter $</t>
  </si>
  <si>
    <t>Description of the Facilities</t>
  </si>
  <si>
    <t>(time-weighted) as shown on Attachment 6.</t>
  </si>
  <si>
    <t>ATTACHMENT H-13A</t>
  </si>
  <si>
    <t>General Depreciation &amp; Intangible Amortization Allocated to Transmission</t>
  </si>
  <si>
    <t>General Depreciation and Intangible Amortization Functionalized to Transmission</t>
  </si>
  <si>
    <t>Transmission Depreciation Expense Including Amortization of Limited Term Plant</t>
  </si>
  <si>
    <t>General Depreciation Expense Including Amortization of Limited Term Plant</t>
  </si>
  <si>
    <t>Accumulated Depreciation and Amortization</t>
  </si>
  <si>
    <t>Less: Amount of General Depreciation Associated with Acct. 397</t>
  </si>
  <si>
    <t xml:space="preserve">  </t>
  </si>
  <si>
    <t>General Depreciation Expense for Acct. 397 Directly Assigned to Transmission</t>
  </si>
  <si>
    <t>Add more lines if necessary</t>
  </si>
  <si>
    <t>General Description of the Facilities</t>
  </si>
  <si>
    <t>Description of the Credits</t>
  </si>
  <si>
    <t xml:space="preserve">Description &amp; PJM Documentation </t>
  </si>
  <si>
    <t>Description of the Interest on the Credits</t>
  </si>
  <si>
    <t>F</t>
  </si>
  <si>
    <t>N</t>
  </si>
  <si>
    <t>Statements BG/BH (Present and Proposed Revenues)</t>
  </si>
  <si>
    <t>Customer</t>
  </si>
  <si>
    <t>Billing Determinants</t>
  </si>
  <si>
    <t>Current Rate</t>
  </si>
  <si>
    <t>Proposed Rate</t>
  </si>
  <si>
    <t>Current Revenues</t>
  </si>
  <si>
    <t>Proposed Revenues</t>
  </si>
  <si>
    <t>Change in Revenues</t>
  </si>
  <si>
    <t>Surcharge (Refund) Owed</t>
  </si>
  <si>
    <t xml:space="preserve">For Reconciliation only - remove actual New Transmission Plant Additions for Year 2  </t>
  </si>
  <si>
    <t>Add weighted Cap Adds actually placed in service in Year 2</t>
  </si>
  <si>
    <t>Attachment 7</t>
  </si>
  <si>
    <t>Schedule 12</t>
  </si>
  <si>
    <t>Rev Req based on Year 1 data</t>
  </si>
  <si>
    <t>Year 1</t>
  </si>
  <si>
    <t>TO populates the formula with Year 1 data</t>
  </si>
  <si>
    <t>TO estimates all transmission Cap Adds for Year 2 weighted based on Months expected to be in service in Year 2</t>
  </si>
  <si>
    <t>TO populates the formula with Year 2 data</t>
  </si>
  <si>
    <t xml:space="preserve">     Plus Schedule 12 Charges billed to Transmission Owner and booked to Account 565</t>
  </si>
  <si>
    <t>Increased Return and Taxes</t>
  </si>
  <si>
    <t>True-up amount</t>
  </si>
  <si>
    <t>Account 456 - Other Electric Revenues (Note 1)</t>
  </si>
  <si>
    <t>PJM Transitional Revenue Neutrality (Note 1)</t>
  </si>
  <si>
    <t>PJM Transitional Market Expansion (Note 1)</t>
  </si>
  <si>
    <t>Revenues from Directly Assigned Transmission Facility Charges (Note 2)</t>
  </si>
  <si>
    <t>Total Transmission O&amp;M and Interest on Prepaid Pension Asset</t>
  </si>
  <si>
    <t>PBOP expense is fixed until changed as the result of a filing at FERC.</t>
  </si>
  <si>
    <t>1.  ADIT items related only to Non-Electric Operations (e.g., Gas, Water, Sewer) or Production are directly assigned to Column C</t>
  </si>
  <si>
    <t>2.  ADIT items related only to Transmission are directly assigned to Column D</t>
  </si>
  <si>
    <t xml:space="preserve">For Reconciliation only - remove New Transmission Plant Additions for Current Calendar Year  </t>
  </si>
  <si>
    <t>Return and Taxes with 100 Basis Point increase in ROE</t>
  </si>
  <si>
    <t>100 Basis Point increase in ROE and Income Taxes</t>
  </si>
  <si>
    <t>Composite Income Taxes</t>
  </si>
  <si>
    <t>Prepaid Pension Asset (not to be included in Prepayments)</t>
  </si>
  <si>
    <t>Less ADIT</t>
  </si>
  <si>
    <t>Net Prepaid Pension Asset</t>
  </si>
  <si>
    <t>Prepaid Pension Asset (net of associated ADIT)</t>
  </si>
  <si>
    <t>Increased ROE (Basis Points)</t>
  </si>
  <si>
    <t>W Increased ROE</t>
  </si>
  <si>
    <t>Attachment 4 - Calculation of 100 Basis Point Increase in ROE</t>
  </si>
  <si>
    <t>New Transmission Plant Additions for Year 2  (weighted by months in service)</t>
  </si>
  <si>
    <t>Remove all Cap Adds placed in service in Year 2</t>
  </si>
  <si>
    <t>(Year 2 data with total of Year 2 Cap Adds removed and monthly weighted average of Year 2 Cap Adds added in)</t>
  </si>
  <si>
    <t>Year 2</t>
  </si>
  <si>
    <t>Rev Req based on Year 2 data with estimated Cap Adds for Year 3 (Step 8)</t>
  </si>
  <si>
    <t>Revenue Requirement for Year 3</t>
  </si>
  <si>
    <t>Year 3</t>
  </si>
  <si>
    <t xml:space="preserve">Composite Income Taxes                                                                                                       </t>
  </si>
  <si>
    <t>In Service Month (1-12)</t>
  </si>
  <si>
    <t>Step</t>
  </si>
  <si>
    <t>Month</t>
  </si>
  <si>
    <t>Year</t>
  </si>
  <si>
    <t>Action</t>
  </si>
  <si>
    <t>Exec Summary</t>
  </si>
  <si>
    <t>April</t>
  </si>
  <si>
    <t>May</t>
  </si>
  <si>
    <t>June</t>
  </si>
  <si>
    <t>Weighting</t>
  </si>
  <si>
    <t>Jan</t>
  </si>
  <si>
    <t>Feb</t>
  </si>
  <si>
    <t>Mar</t>
  </si>
  <si>
    <t>Apr</t>
  </si>
  <si>
    <t>Jun</t>
  </si>
  <si>
    <t>Jul</t>
  </si>
  <si>
    <t>Aug</t>
  </si>
  <si>
    <t>Sep</t>
  </si>
  <si>
    <t>Oct</t>
  </si>
  <si>
    <t>Nov</t>
  </si>
  <si>
    <t>Dec</t>
  </si>
  <si>
    <t>Interest on Amount of Refunds or Surcharges</t>
  </si>
  <si>
    <t>Yr</t>
  </si>
  <si>
    <t>1/12 of Step 9</t>
  </si>
  <si>
    <t>Interest 35.19a for</t>
  </si>
  <si>
    <t>Interest</t>
  </si>
  <si>
    <t>March Current Yr</t>
  </si>
  <si>
    <t>Months</t>
  </si>
  <si>
    <t>Balance</t>
  </si>
  <si>
    <t>New Transmission Plant Additions for Current Calendar Year  (weighted by months in service)</t>
  </si>
  <si>
    <t xml:space="preserve">    Less:  Actual PBOP expense</t>
  </si>
  <si>
    <t>Current year actual PBOP expense</t>
  </si>
  <si>
    <t>(D) = (A) * (C)/12</t>
  </si>
  <si>
    <t>(E) = (B) * (C)/12</t>
  </si>
  <si>
    <t>Average Months [total column (D)/ total column (A)*12]</t>
  </si>
  <si>
    <t>Project subaccount of Plant in Service Account 101 or 106 if not yet classified</t>
  </si>
  <si>
    <t>Non-transmission Related</t>
  </si>
  <si>
    <t>CWIP In Form 1 Amount</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</si>
  <si>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</si>
  <si>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</si>
  <si>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</si>
  <si>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</si>
  <si>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</si>
  <si>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</si>
  <si>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</si>
  <si>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Investment</t>
  </si>
  <si>
    <t>Line 17 divided by line 12</t>
  </si>
  <si>
    <t>Month in which project is placed in service (e.g. Jan=1)</t>
  </si>
  <si>
    <t>On the formulas used in the Columns for lines 22+ are as follows</t>
  </si>
  <si>
    <t>For CWIP:</t>
  </si>
  <si>
    <t xml:space="preserve">Beginning is the line 17 for that year </t>
  </si>
  <si>
    <t>Depreciation is not used</t>
  </si>
  <si>
    <t>"Ending" is "Beginning" less "Depreciation"</t>
  </si>
  <si>
    <t xml:space="preserve">Ending is the same as Beginning </t>
  </si>
  <si>
    <t>Chicago Dark Fiber Rev. Tax</t>
  </si>
  <si>
    <t>Transmission / Non-transmission Cost Support</t>
  </si>
  <si>
    <t>EPRI Dues Cost Support</t>
  </si>
  <si>
    <t>Prepaid Pension contribution (shareholder-funded)</t>
  </si>
  <si>
    <t>Proceeds from contributions in aid of construction</t>
  </si>
  <si>
    <t>Regulatory Expense Related to Transmission Cost Support</t>
  </si>
  <si>
    <t>Safety Related Advertising Cost Support</t>
  </si>
  <si>
    <t>Education and Out Reach Cost Support</t>
  </si>
  <si>
    <t>PJM Load Cost Support</t>
  </si>
  <si>
    <t>Excluded Plant Cost Support</t>
  </si>
  <si>
    <t>Outstanding Network Credits Cost Support</t>
  </si>
  <si>
    <t>Interest on Outstanding Network Credits Cost Support</t>
  </si>
  <si>
    <t>CWIP &amp; Expensed Lease Worksheet</t>
  </si>
  <si>
    <t>Return Calculation</t>
  </si>
  <si>
    <t>O</t>
  </si>
  <si>
    <t>Therefore actual revenues collected in a year do not change based on cost data for subsequent years</t>
  </si>
  <si>
    <t>For book, expense taken when identified as obsolete; For tax, the expense is taken when actually disposed. Relates to all functions.</t>
  </si>
  <si>
    <t>Book expense for damage as identified; tax deduction when fully written-off and all collection efforts abandoned. Relates to all functions.</t>
  </si>
  <si>
    <t>Book records an accrual; tax takes the deduction when actually paid. Relates to all functions.</t>
  </si>
  <si>
    <t>Book records estimated accrued compensation; tax deducts only upon the retirement or other separation from service by the employees. Relates to all functions.</t>
  </si>
  <si>
    <t>Book records accrued contribution estimates over a 3 year pledge; tax deductions are only recognized as payments are made. Not wholesale related.</t>
  </si>
  <si>
    <t>Use tax on out of state purchases. Book accrues for the tax expense when known; tax recognizes when paid out. Relates to all functions.</t>
  </si>
  <si>
    <t>ComEd is required to determine uncertain tax positions and accrue interest and penalties on the recognizable uncertain tax positions. Book records accrued estimate of the expense; tax records it only when paid out. Relates to Generation assets.</t>
  </si>
  <si>
    <t>Interest 35.19a for March Current Yr</t>
  </si>
  <si>
    <t>Rev Req based on Prior Year data</t>
  </si>
  <si>
    <t>The forecast in Prior Year</t>
  </si>
  <si>
    <t>Total with interest</t>
  </si>
  <si>
    <t>Calculation of the above Securitization Adjustments</t>
  </si>
  <si>
    <t>Account 454 - Rent from Electric Property</t>
  </si>
  <si>
    <t>Shaded cells are input cells</t>
  </si>
  <si>
    <t>Attachment 1 - Accumulated Deferred Income Taxes (ADIT) Worksheet</t>
  </si>
  <si>
    <t>Attachment 2 - Taxes Other Than Income Worksheet</t>
  </si>
  <si>
    <t>Attachment 3 - Revenue Credit Workpaper</t>
  </si>
  <si>
    <t>Attachment 7 - Transmission Enhancement Charge Worksheet</t>
  </si>
  <si>
    <t>Attachment 8 - Company Exhibit - Securitization Workpaper</t>
  </si>
  <si>
    <t>Attachment 6</t>
  </si>
  <si>
    <t>Attachment 1</t>
  </si>
  <si>
    <t>Attachment 8</t>
  </si>
  <si>
    <t>Attachment 5</t>
  </si>
  <si>
    <t>Attachment 3</t>
  </si>
  <si>
    <t>Attachment 4</t>
  </si>
  <si>
    <t>Fixed Charge Rate (FCR) if not a CIAC</t>
  </si>
  <si>
    <t>Post results of Step 9 on PJM web site</t>
  </si>
  <si>
    <t>&lt; Input to Appendix A, Line16)</t>
  </si>
  <si>
    <t>Must run Appendix A with cap adds in Appendix A, line 16 &amp; line 17</t>
  </si>
  <si>
    <t>The amortization of Series 98 to 102 Rate Swaps is included in Long Term Debt FERC Acct 427.</t>
  </si>
  <si>
    <t>To line 17 of Appendix A</t>
  </si>
  <si>
    <t>To line 43 of Appendix A</t>
  </si>
  <si>
    <t>TO adds weighted Cap Adds to plant in service in Formula (Appendix A, Line 17)</t>
  </si>
  <si>
    <t>Must run Appendix A to get this number (without any cap adds in Appendix A, line 17)</t>
  </si>
  <si>
    <t>Must run Appendix A to get this number (with prospective weighted cap adds in Appendix A, line 17)</t>
  </si>
  <si>
    <t>To line  of Appendix A</t>
  </si>
  <si>
    <t>Operation &amp; Maintenance Expense (excluding Interest Only Return on Prepaid Pension Asset)</t>
  </si>
  <si>
    <t xml:space="preserve">CWIP for Incentive Transmission Projects </t>
  </si>
  <si>
    <t xml:space="preserve">CWIP Balances for Current Rate Year  </t>
  </si>
  <si>
    <t>Dec Balance</t>
  </si>
  <si>
    <t>Prepayments and Prepaid Pension Asset</t>
  </si>
  <si>
    <t>Prepaid Pension Asset</t>
  </si>
  <si>
    <t>W&amp;S Allocator</t>
  </si>
  <si>
    <t>LTD Cost Rate</t>
  </si>
  <si>
    <t>Interest on Prepaid Pension Asset</t>
  </si>
  <si>
    <t>Prepayments (excluding Prepaid Pension Asset)</t>
  </si>
  <si>
    <t>Adjustment</t>
  </si>
  <si>
    <t>Adjusted Total</t>
  </si>
  <si>
    <t>Accumulated Amortization</t>
  </si>
  <si>
    <t>Adjustments to A &amp; G Expense</t>
  </si>
  <si>
    <t>Total Plant In Rate Base</t>
  </si>
  <si>
    <t>Account 282100 &amp; 282300 - ADIT other property</t>
  </si>
  <si>
    <t>Account 282000 &amp; 282200 - ADIT Liberalized Depreciation</t>
  </si>
  <si>
    <t xml:space="preserve">Account 190100 &amp; 190200 - ADIT current </t>
  </si>
  <si>
    <t>Account 190000 - ADIT non-current</t>
  </si>
  <si>
    <t>Transm O&amp;M
LSE Adjustment</t>
  </si>
  <si>
    <t xml:space="preserve">Acct. 566 adjusted, and Accts. 561.4 and 561.8 included to remove PJM LSE expenses not recoverable </t>
  </si>
  <si>
    <t xml:space="preserve">in ComEd's OATT rate.  </t>
  </si>
  <si>
    <t xml:space="preserve">Account 283300 &amp; 283400 - ADIT current </t>
  </si>
  <si>
    <t>Account 283100 &amp; 283200 - ADIT non-current</t>
  </si>
  <si>
    <t>Interest on projected tax deficiencies - noncurrent</t>
  </si>
  <si>
    <t>Management Deferred Compensation - current</t>
  </si>
  <si>
    <t>Interest on Projected Tax Deficiencies</t>
  </si>
  <si>
    <t>Charitable Contributions</t>
  </si>
  <si>
    <t>Use Tax Adjustment</t>
  </si>
  <si>
    <t>Other Current: Cellphone Reserve</t>
  </si>
  <si>
    <t>FIN48 Interest - current</t>
  </si>
  <si>
    <t>Regulatory Asset: AAF</t>
  </si>
  <si>
    <t>Results of Step 9 go into effect</t>
  </si>
  <si>
    <t>Post results of Step 3 on PJM web site</t>
  </si>
  <si>
    <t>Results of Step 3 go into effect</t>
  </si>
  <si>
    <t>For Reconciliation Only</t>
  </si>
  <si>
    <t>Attachment 2</t>
  </si>
  <si>
    <t>The FCR resulting from Formula in a given year is used for that year only.</t>
  </si>
  <si>
    <t>Less FASB 109 Above if not separately removed</t>
  </si>
  <si>
    <t>Less FASB 106 Above if not separately removed</t>
  </si>
  <si>
    <t>Time Weighted Amounts</t>
  </si>
  <si>
    <t>(A)</t>
  </si>
  <si>
    <t>(B)</t>
  </si>
  <si>
    <t>(C)</t>
  </si>
  <si>
    <t xml:space="preserve">Facility Credits under Section 30.9 of the PJM OATT </t>
  </si>
  <si>
    <t xml:space="preserve">Prepayments </t>
  </si>
  <si>
    <t xml:space="preserve">      Less ADIT associated with Gain or Loss</t>
  </si>
  <si>
    <t xml:space="preserve">Attachment 5 </t>
  </si>
  <si>
    <t xml:space="preserve">    Less:  Salaries and Benefits of specified Exelon Corp top executives</t>
  </si>
  <si>
    <t xml:space="preserve">Other taxes that are incurred through ownership of plant including transmission plant will be allocated based on the Gross Plant </t>
  </si>
  <si>
    <t>Other taxes that are incurred through ownership of only general or intangible plant will be allocated based on the Wages and Salary</t>
  </si>
  <si>
    <t>Gross Revenue Credits</t>
  </si>
  <si>
    <t>Instructions:</t>
  </si>
  <si>
    <t>If unable to determine the investment below 69kV in a substation with investment of 69 kV and higher as well as below 69 kV,</t>
  </si>
  <si>
    <t>Or</t>
  </si>
  <si>
    <t>the following formula will be used:</t>
  </si>
  <si>
    <t>Example</t>
  </si>
  <si>
    <t>Total investment in substation</t>
  </si>
  <si>
    <t>Identifiable investment in Transmission (provide workpapers)</t>
  </si>
  <si>
    <t>Identifiable investment in Distribution (provide workpapers)</t>
  </si>
  <si>
    <t>Amount to be excluded (A x (C / (B + C)))</t>
  </si>
  <si>
    <t>Description of the Prepayments</t>
  </si>
  <si>
    <t>Justification</t>
  </si>
  <si>
    <t>Attachment A Line #s, Descriptions, Notes, Form 1 Page #s and Instructions</t>
  </si>
  <si>
    <t>Total Account 454 and 456</t>
  </si>
  <si>
    <t>Total Income Taxes</t>
  </si>
  <si>
    <t>Summary</t>
  </si>
  <si>
    <t>Net Property, Plant &amp; Equipment</t>
  </si>
  <si>
    <t>Taxes Other than Income</t>
  </si>
  <si>
    <t>Common Stock</t>
  </si>
  <si>
    <t>Revenue Credits</t>
  </si>
  <si>
    <t>C</t>
  </si>
  <si>
    <t>Gross Plant Allocator</t>
  </si>
  <si>
    <t>Total  Capitalization</t>
  </si>
  <si>
    <t>Total Long Term Debt</t>
  </si>
  <si>
    <t>Total Long Term Debt (WCLTD)</t>
  </si>
  <si>
    <t>J</t>
  </si>
  <si>
    <t>Long Term Interest</t>
  </si>
  <si>
    <t>Long Term Debt</t>
  </si>
  <si>
    <t xml:space="preserve">    Less LTD Interest on Securitization Bonds</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</si>
  <si>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</si>
  <si>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</si>
  <si>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</si>
  <si>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</si>
  <si>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</si>
  <si>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</si>
  <si>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</si>
  <si>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</si>
  <si>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</si>
  <si>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</si>
  <si>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</si>
  <si>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</si>
  <si>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</si>
  <si>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</si>
  <si>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p207.58.g</t>
  </si>
  <si>
    <t>p219.25.c</t>
  </si>
  <si>
    <t>Total Cash Working Capital Allocated to Transmission</t>
  </si>
  <si>
    <t>Transmission Materials &amp; Supplies</t>
  </si>
  <si>
    <t>Directly Assigned A&amp;G</t>
  </si>
  <si>
    <t>Allocated General &amp; Common Expenses</t>
  </si>
  <si>
    <t>A&amp;G Directly Assigned to Transmission</t>
  </si>
  <si>
    <t>Book accrual and expensed, tax deduction at time of the retirement or other separation from service payout. Related to employees in all functions.</t>
  </si>
  <si>
    <t>Costs incurred with UNICOM merger (2001). Not related to wholesale operations.</t>
  </si>
  <si>
    <t>Book expense recorded when stock is granted, tax expense when stock is issued at market price. Related to employees in all functions.</t>
  </si>
  <si>
    <t>Book expense recorded when stock is granted, tax expense when stock is issued at market price.  Related to employees in all functions.</t>
  </si>
  <si>
    <t>Book accrues anticipated Supplemental Management Retirement costs based on actuarial analysis.  Tax deducts retirement benefits only when the amounts are paid.  Related to employees in all functions.</t>
  </si>
  <si>
    <t>Book expense recognized at the time of determination, not recognized for taxes until paid out.  Related to employees in all functions.</t>
  </si>
  <si>
    <t>Tracks anticipated recoveries for costs for Original Cost Audit, 05-0597 Rehearing, Lease Abandonment of the AT&amp;T building and the 2007 ICC Rate Case.  Not related to wholesale operations.</t>
  </si>
  <si>
    <t>IRS adjustment to value of parcel of land donated in prior year.  Tax took the deduction but the IRS disagreed on deduction.  This will reverse when remaining land is disposed and then the remaining deduction will be reflected. Not related to wholesale operations.</t>
  </si>
  <si>
    <t>Property basis difference resulting from accelerated tax depreciation versus depreciation used for ratemaking purposes. Related to all functions.</t>
  </si>
  <si>
    <t>Adjustment to Remove Revenue Requirements Associated with Excluded Transmission Facilities</t>
  </si>
  <si>
    <t xml:space="preserve">p219.28.c </t>
  </si>
  <si>
    <t>p227.6.c &amp; 16.c</t>
  </si>
  <si>
    <t>p323.185.b</t>
  </si>
  <si>
    <t>p323.189.b</t>
  </si>
  <si>
    <t>p323.191.b</t>
  </si>
  <si>
    <t>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or included in the peak on line 174 of Appendix A.</t>
  </si>
  <si>
    <t>Acct. 397 Depreciable Plant Base times Depreciation Rate</t>
  </si>
  <si>
    <t>Excluded Transmission Facilities</t>
  </si>
  <si>
    <t>Included Transmission Facilities</t>
  </si>
  <si>
    <t>Inclusion Ratio</t>
  </si>
  <si>
    <t>Adjusted Gross Revenue Requirement</t>
  </si>
  <si>
    <t>Subtotal - p234.18.c</t>
  </si>
  <si>
    <t>Subtotal - p275.9.k</t>
  </si>
  <si>
    <t>Subtotal - p277.19.k</t>
  </si>
  <si>
    <t>Damage to Company Property Reserve</t>
  </si>
  <si>
    <t>Charitable Contribution on Land</t>
  </si>
  <si>
    <t>Total Materials &amp; Supplies Allocated to Transmission</t>
  </si>
  <si>
    <t>Materials and Supplies</t>
  </si>
  <si>
    <t>P</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</si>
  <si>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</si>
  <si>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</si>
  <si>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</si>
  <si>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</si>
  <si>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</si>
  <si>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</si>
  <si>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</si>
  <si>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</si>
  <si>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</si>
  <si>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</si>
  <si>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</si>
  <si>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</si>
  <si>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</si>
  <si>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</si>
  <si>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</si>
  <si>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</si>
  <si>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</si>
  <si>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</si>
  <si>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p200.4.c</t>
  </si>
  <si>
    <t>p336.1.d&amp;e</t>
  </si>
  <si>
    <t>p200.21.c</t>
  </si>
  <si>
    <t>p227.8.c</t>
  </si>
  <si>
    <t>Subtotal, Excluded</t>
  </si>
  <si>
    <t>Total Included  (Lines 8 + 14 + 19)</t>
  </si>
  <si>
    <t>Total Other Taxes from p114.14.c</t>
  </si>
  <si>
    <t>p118.29.c</t>
  </si>
  <si>
    <t>p112.16.c</t>
  </si>
  <si>
    <t>p112.12.c</t>
  </si>
  <si>
    <t>p111.81.c</t>
  </si>
  <si>
    <t>p113.61.c</t>
  </si>
  <si>
    <t>p112.3.c</t>
  </si>
  <si>
    <t>Appendix A Line or Source  Reference</t>
  </si>
  <si>
    <t xml:space="preserve">Net Transmission Plant </t>
  </si>
  <si>
    <t>Gross Revenue Requirement Less Return and Taxes</t>
  </si>
  <si>
    <t>3.  ADIT items related to Plant and not in Columns C &amp; D are included in Column E</t>
  </si>
  <si>
    <t>4.  ADIT items related to labor and not in Columns C &amp; D are included in Column F</t>
  </si>
  <si>
    <t>Company Records</t>
  </si>
  <si>
    <t>Equity and debt ratios will be the ratios determined by the actual capital structure and the specified calculation processes of the formula, except that if during the</t>
  </si>
  <si>
    <t>Securitization bonds may be included in the capital structure.</t>
  </si>
  <si>
    <t>Reconciliation - TO calculates Reconciliation by removing from Year 2 data - the total Cap Adds placed in service in Year 2 and adding weighted average in Year 2 Cap Adds in Reconciliation (adjusted to include any Reconciliation amount from prior year).</t>
  </si>
  <si>
    <t>ITC Adjustment Allocated to Transmission</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</si>
  <si>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</si>
  <si>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</si>
  <si>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</si>
  <si>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</si>
  <si>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</si>
  <si>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</si>
  <si>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</si>
  <si>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</si>
  <si>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Total Transmission Depreciation &amp; Amortization</t>
  </si>
  <si>
    <t>L</t>
  </si>
  <si>
    <t>M</t>
  </si>
  <si>
    <t>Transmission O&amp;M</t>
  </si>
  <si>
    <t xml:space="preserve">     Plus Transmission Lease Payments</t>
  </si>
  <si>
    <t>Wages &amp; Salary Allocator</t>
  </si>
  <si>
    <t>Total Transmission O&amp;M</t>
  </si>
  <si>
    <t>Total A&amp;G</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</si>
  <si>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</si>
  <si>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</si>
  <si>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</si>
  <si>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</si>
  <si>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</si>
  <si>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</si>
  <si>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</si>
  <si>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</si>
  <si>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</si>
  <si>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</si>
  <si>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</si>
  <si>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</si>
  <si>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</si>
  <si>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</si>
  <si>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</si>
  <si>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</si>
  <si>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</si>
  <si>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</si>
  <si>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</si>
  <si>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</si>
  <si>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</si>
  <si>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Attachment 5 - Cost Support</t>
  </si>
  <si>
    <t>Attachment 6 - Estimate and Reconciliation Worksheet</t>
  </si>
  <si>
    <t>Adjusted  PHFU</t>
  </si>
  <si>
    <t>p219.29.c</t>
  </si>
  <si>
    <t>p207.94.g</t>
  </si>
  <si>
    <t>Reconciliation - TO adds the difference between the Reconciliation in Step 8 and the forecast in Line 5 with interest to the result of Step 7 (this difference is also added to Step 8 in the subsequent year)</t>
  </si>
  <si>
    <t>Result of Formula for Reconciliation</t>
  </si>
  <si>
    <t>The Reconciliation in Step 8</t>
  </si>
  <si>
    <t>The difference between the Reconciliation in Step 8 and the forecast in Prior Year with interest</t>
  </si>
  <si>
    <t>Gross Revenue Requirement</t>
  </si>
  <si>
    <t xml:space="preserve">    Less EPRI Dues</t>
  </si>
  <si>
    <t>1/(1-T)</t>
  </si>
  <si>
    <t>T/(1-T)</t>
  </si>
  <si>
    <t>p</t>
  </si>
  <si>
    <t>(percent of federal income tax deductible for state purposes)</t>
  </si>
  <si>
    <t>Notes</t>
  </si>
  <si>
    <t>Allocator</t>
  </si>
  <si>
    <t>enter negative</t>
  </si>
  <si>
    <t>Fixed</t>
  </si>
  <si>
    <t>T</t>
  </si>
  <si>
    <t>Net Revenue Requirement</t>
  </si>
  <si>
    <t xml:space="preserve">     Less Account 565</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</si>
  <si>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</si>
  <si>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</si>
  <si>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</si>
  <si>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</si>
  <si>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</si>
  <si>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</si>
  <si>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</si>
  <si>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</si>
  <si>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</si>
  <si>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</si>
  <si>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</si>
  <si>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</si>
  <si>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</si>
  <si>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</si>
  <si>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</si>
  <si>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</si>
  <si>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</si>
  <si>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</si>
  <si>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</si>
  <si>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</si>
  <si>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 xml:space="preserve">directly or indirectly related to transmission service will be allocated based on the Gross Plant Allocator; provided, however, that </t>
  </si>
  <si>
    <t xml:space="preserve">Remove all investment below 69 kV or generator step up transformers included in transmission plant in service that </t>
  </si>
  <si>
    <t>are not a result of the RTEP Process</t>
  </si>
  <si>
    <t>Amount of transmission plant excluded from rates per Attachment 5.</t>
  </si>
  <si>
    <t>Real Estate</t>
  </si>
  <si>
    <t>Interest Expense Adjustment</t>
  </si>
  <si>
    <t>Transmission-related = all FERC dockets per p.350-351, excl. FERC annual charge.
Includes allocated portion of regulatory costs for issuing debt.</t>
  </si>
  <si>
    <t>Adjustment to Amortize Losses Associated with Interest Rate Swaps</t>
  </si>
  <si>
    <t>Long Term Interest per Form 1</t>
  </si>
  <si>
    <t>Total Long Term Interest</t>
  </si>
  <si>
    <t>Rate of Return on Rate Base ( ROR )</t>
  </si>
  <si>
    <t>Undistributed Stores Expense</t>
  </si>
  <si>
    <t>Plus any increased ROE calculated on Attachment 7 other than PJM Sch. 12 projects not paid by other PJM transmission zones</t>
  </si>
  <si>
    <t xml:space="preserve">Includes Regulatory Commission Expenses directly related to transmission service, RTO filings, or transmission siting itemized in Form 1 at 351.h. </t>
  </si>
  <si>
    <t xml:space="preserve">Includes Safety related advertising included in Account 930.1  </t>
  </si>
  <si>
    <t xml:space="preserve">Includes all Regulatory Commission Expenses </t>
  </si>
  <si>
    <t>The currently effective income tax rate where FIT is the Federal income tax rate; SIT is the State income tax rate, and p =</t>
  </si>
  <si>
    <t xml:space="preserve">overheads shall be treated as in footnote B above. </t>
  </si>
  <si>
    <t>West Loop 345 kV</t>
  </si>
  <si>
    <t>West Loop 345 kV (CWIP)</t>
  </si>
  <si>
    <t>Excludes prior period adjustments in the first year of the formula's operation and reconciliation for the first year.</t>
  </si>
  <si>
    <t>TO estimates all transmission Cap Adds during Year 3 weighted based on Months expected to be in service in Year 3</t>
  </si>
  <si>
    <t xml:space="preserve">    Power Procurement Expense  (SAC chgs)</t>
  </si>
  <si>
    <t>Late Payment Penalties Allocated to Transmission</t>
  </si>
  <si>
    <t>Accounts 450 &amp; 451</t>
  </si>
  <si>
    <t>(Sum Lines 1-11)</t>
  </si>
  <si>
    <t>p354.21.b</t>
  </si>
  <si>
    <t>p354.28.b</t>
  </si>
  <si>
    <t>p354.27.b</t>
  </si>
  <si>
    <t>State Income Taxes - Temporary</t>
  </si>
  <si>
    <t>State income taxes accrued but not yet paid to the state related to discrete items under audit that have not yet settled.  These state taxes will be deductible once paid.</t>
  </si>
  <si>
    <t>Regulatory assets/liabilities that have not yet been approved by the ICC for collection but are expected to be approved and collected in the future.</t>
  </si>
  <si>
    <t>Nothing in 930.1 is Transmission Safety related.</t>
  </si>
  <si>
    <t>Nothing in 930.1 is Transmission Education &amp; Outreach related.</t>
  </si>
  <si>
    <t>W  11.5 % ROE</t>
  </si>
  <si>
    <t xml:space="preserve"> Note 3: If the facilities associated with the revenues are not included in the formula, the revenue is shown here, but not included in the total above and explained in the Cost Support. For example revenues associated with distribution facilities.  In addition Revenues from Schedule 12 are not included in the total above to the extent they are credited under Schedule 12. </t>
  </si>
  <si>
    <t>Professional Services</t>
  </si>
  <si>
    <t>Rent or Attachment Fees associated with Transmission Facilities</t>
  </si>
  <si>
    <t xml:space="preserve">Rent from Electric Property - Transmission Related </t>
  </si>
  <si>
    <t xml:space="preserve">Note:  At each annual update, company will provide for each parcel of land a description of its intended use within a 15 year period. </t>
  </si>
  <si>
    <t xml:space="preserve">    Plus:  Fixed PBOP expense</t>
  </si>
  <si>
    <t xml:space="preserve">ROE will be supported in the original filing and no change in ROE will be made absent a filing at FERC.  </t>
  </si>
  <si>
    <t xml:space="preserve">    Fixed PBOP expense</t>
  </si>
  <si>
    <t xml:space="preserve">    Salaries and Benefits of specified Exelon Corp top executives</t>
  </si>
  <si>
    <t xml:space="preserve">    Actual PBOP expense</t>
  </si>
  <si>
    <t xml:space="preserve">    Less:  Power Procurement Expense</t>
  </si>
  <si>
    <t>Total is shown on FERC Form 1 - p233.25.f  
Note:  Attachment 1 excludes from transmission rate base the associated ADIT balance.</t>
  </si>
  <si>
    <t>Includes Transmission portion only.  At each annual informational filing, Company will identify for each parcel of land an intended use within a 15 year period.</t>
  </si>
  <si>
    <t>fixed</t>
  </si>
  <si>
    <t>As provided for in Section 34.1 of the PJM OATT; the PJM established billing determinants will not be revised or updated in the annual rate reconciliations.</t>
  </si>
  <si>
    <t xml:space="preserve">    Less Accumulated Other Comprehensive Income Account 219</t>
  </si>
  <si>
    <t>p112.15.c</t>
  </si>
  <si>
    <t>Total Net Property, Plant &amp; Equipment</t>
  </si>
  <si>
    <t>Total Adjustment to Rate Base</t>
  </si>
  <si>
    <t>Adjustments to Transmission O&amp;M</t>
  </si>
  <si>
    <t>Amount netted from Prepaid Pension Asset on Attachment 5 for the calculation of the return on the pension asset on Appendix A, line 82.</t>
  </si>
  <si>
    <t xml:space="preserve">Reg Asset relating to severance costs incurred as result of "Exelon Way" program. Tax deducted in 2003-2004 as incurred and paid. Reg asset not included in rate base. </t>
  </si>
  <si>
    <t>Unrealized gain/loss on equity received as compensation for payment of services. Related to all functions.</t>
  </si>
  <si>
    <t>Note: ADIT associated with Gain or Loss on Reacquired Debt is included in Column A here and included in Cost of Debt on Appendix A, Line 112</t>
  </si>
  <si>
    <t>Appendix A Line #s, Descriptions, Notes, Form 1 Page #s and Instructions</t>
  </si>
  <si>
    <t>Total Wages Less A&amp;G Wages Expense</t>
  </si>
  <si>
    <t>Wage &amp; Salary Allocator</t>
  </si>
  <si>
    <t>From Acct. 282 total, below</t>
  </si>
  <si>
    <t>From Acct. 283 total, below</t>
  </si>
  <si>
    <t>From Acct. 190 total, below</t>
  </si>
  <si>
    <t>Total Transmission Plant</t>
  </si>
  <si>
    <t>Sum lines 1 through 3</t>
  </si>
  <si>
    <t xml:space="preserve"> Sum Cols. C, D, E; Enter as negative Appendix A, line 42.</t>
  </si>
  <si>
    <t>row 4</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</si>
  <si>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</si>
  <si>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</si>
  <si>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</si>
  <si>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</si>
  <si>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p352 &amp; 353</t>
  </si>
  <si>
    <t>Subtotal - Accounts 928 and 930.1 - Transmission Related</t>
  </si>
  <si>
    <t>Total Accounts 928 and 930.1 - General</t>
  </si>
  <si>
    <t>5. Deferred income taxes arise when items are included in taxable income in different periods than they are included in rates, therefore if the item giving rise to the ADIT is not included in the formula, the associated ADIT amount shall be excluded.</t>
  </si>
  <si>
    <t>Total, Included and Excluded (Line 20 + Line 28)</t>
  </si>
  <si>
    <t>Operations &amp; Maintenance Expense</t>
  </si>
  <si>
    <t>Revenue Requirement</t>
  </si>
  <si>
    <t xml:space="preserve">Taxes Other than Income Taxes                                                   </t>
  </si>
  <si>
    <t>Taxes Other than Income Taxes</t>
  </si>
  <si>
    <t>Total Taxes Other than Income Taxes</t>
  </si>
  <si>
    <t>Return \ Capitalization Calculations</t>
  </si>
  <si>
    <t xml:space="preserve">     Plus Transmission Revenue Requirement of Commonwealth Edison of Indiana booked to Account 565</t>
  </si>
  <si>
    <t>Difference  (Line 29 - Line 30)</t>
  </si>
  <si>
    <t>Reconciliation Details</t>
  </si>
  <si>
    <t>p336.7.b&amp;c&amp;d</t>
  </si>
  <si>
    <t>Formula Rate -- Appendix A</t>
  </si>
  <si>
    <t>H</t>
  </si>
  <si>
    <t xml:space="preserve"> &lt; From Acct 283, below</t>
  </si>
  <si>
    <t>Commonwealth Edison Company</t>
  </si>
  <si>
    <t>Unemployment &amp; state unemployment</t>
  </si>
  <si>
    <t>City of Chicago</t>
  </si>
  <si>
    <t>Vehicle Use</t>
  </si>
  <si>
    <t>Electricity Excise Tax</t>
  </si>
  <si>
    <t>Illinois Use Tax on Purchases</t>
  </si>
  <si>
    <t>Electricity Distribution</t>
  </si>
  <si>
    <t>Infrastructure Tax</t>
  </si>
  <si>
    <t>Chicago Use</t>
  </si>
  <si>
    <t>Chicago Transaction</t>
  </si>
  <si>
    <t>Public Utility Fund</t>
  </si>
  <si>
    <t>State Franchise Tax</t>
  </si>
  <si>
    <t>Taxes Other Than Income Taxes</t>
  </si>
  <si>
    <t>Chicago Equity Fund Partnership</t>
  </si>
  <si>
    <t>CPS Energy Efficiency Fund - reserve change</t>
  </si>
  <si>
    <t>Deferred Rent Expense - Lincoln Center</t>
  </si>
  <si>
    <t>Deferred Stock Bonus Plan</t>
  </si>
  <si>
    <t>Environmental remediation - superfund sites</t>
  </si>
  <si>
    <t>Executive uninsured death benefits after retirement</t>
  </si>
  <si>
    <t>Incentive Compensation Plan</t>
  </si>
  <si>
    <t>Liability For Severance Plans</t>
  </si>
  <si>
    <t xml:space="preserve">     (T/1-T) * Investment Return * (1-(WCLTD/ROR)) =</t>
  </si>
  <si>
    <t>Transmission for Others (Note 3)</t>
  </si>
  <si>
    <t>Net revenues associated with Network Integration Transmission Service (NITS) for which the load is not included in the divisor (difference between NITS credits from PJM and PJM NITS charges paid by Transmission Owner) (Note 3)</t>
  </si>
  <si>
    <t xml:space="preserve">  towards the construction of Network Transmission Facilities consistent with Paragraph 657 of Order 2003-A. </t>
  </si>
  <si>
    <t>CWIP (weighted monthly balances)</t>
  </si>
  <si>
    <t>Total Column D</t>
  </si>
  <si>
    <t>Total Column E</t>
  </si>
  <si>
    <t>Phase II West Loop CWIP EOY Balance and Increments</t>
  </si>
  <si>
    <t>Amort</t>
  </si>
  <si>
    <t>No</t>
  </si>
  <si>
    <t>Management deferred compensation plan - increase reserve</t>
  </si>
  <si>
    <t>Manufactured Gas Plants - provision</t>
  </si>
  <si>
    <t>Merger Costs</t>
  </si>
  <si>
    <t>Post-retirement health care liability - reserve change</t>
  </si>
  <si>
    <t>None</t>
  </si>
  <si>
    <t>Redemption of long-term debt-revalued discount due to merger</t>
  </si>
  <si>
    <t>Restricted stock awards</t>
  </si>
  <si>
    <t>p214.47.d</t>
  </si>
  <si>
    <t>Remove Land for West Loop 345 kV that is included in CWIP</t>
  </si>
  <si>
    <t>Amortization related to Interest Rate Swaps</t>
  </si>
  <si>
    <t>Share awards stock program provision</t>
  </si>
  <si>
    <t>Supplemental management retirement plan</t>
  </si>
  <si>
    <t>Balance of General Depreciation Expense</t>
  </si>
  <si>
    <t>Amount of General Depreciation Expense Associated with Acct. 397</t>
  </si>
  <si>
    <t>Q</t>
  </si>
  <si>
    <t>I</t>
  </si>
  <si>
    <t>IL</t>
  </si>
  <si>
    <t>1 / (1-T)</t>
  </si>
  <si>
    <t>CIT = T / (1-T)</t>
  </si>
  <si>
    <t>Allowance for borrowed funds used during construction</t>
  </si>
  <si>
    <t>Amortization of deferred gain - Like Kind Exchange</t>
  </si>
  <si>
    <t>Computer software costs</t>
  </si>
  <si>
    <t>Interest capitalized under Code Section 263A</t>
  </si>
  <si>
    <t>Overheads capitalized</t>
  </si>
  <si>
    <t>Pension capitalized for books</t>
  </si>
  <si>
    <t>Property Revaluation Due To Merger</t>
  </si>
  <si>
    <t>Company Match 401K Plan</t>
  </si>
  <si>
    <t>Other Accrued Expenses</t>
  </si>
  <si>
    <t>Competitive Transition Charge (CTC)</t>
  </si>
  <si>
    <t>Repairs - Distribution</t>
  </si>
  <si>
    <t>Transmission Upgrade - East/West</t>
  </si>
  <si>
    <t>Pension Contribution - Net of Book Provision - 9.5%</t>
  </si>
  <si>
    <t>Regulatory (Asset)/Liab:  Rider UF</t>
  </si>
  <si>
    <t>Regulatory (Asset)/Liab:  Distribution Formula Rate</t>
  </si>
  <si>
    <t>Regulatory (Asset)/Liab:  Distribution - Other Deferred (Storm)</t>
  </si>
  <si>
    <t>Regulatory (Asset)/Liab:  2011 IL Tax Rate Change</t>
  </si>
  <si>
    <t>Regulatory (Asset)/Liab:  EDA</t>
  </si>
  <si>
    <t>Obsolete Materials - net change in provision</t>
  </si>
  <si>
    <t>Accrued Vacation Pay Provision</t>
  </si>
  <si>
    <t>Accrued Holiday Pay Provision</t>
  </si>
  <si>
    <t>Regulatory (Asset)/Liab:  Transmission Rates Recovery</t>
  </si>
  <si>
    <t>Provision for Bad Debt: Uncollectible Accounts Reserve</t>
  </si>
  <si>
    <t>FAS 123R - Stock Options; Other Equity Based Compensation</t>
  </si>
  <si>
    <t xml:space="preserve"> ~ None ~</t>
  </si>
  <si>
    <t>Repairs - Transmission</t>
  </si>
  <si>
    <t>Regulatory (Asset)/Liab:  2011 IL State Tax Rate Change</t>
  </si>
  <si>
    <t>Regulatory (Asset)/Liab:  AMP - retired meters and AMI costs</t>
  </si>
  <si>
    <t>Regulatory (Asset)/Liab:  AMP - other costs</t>
  </si>
  <si>
    <t>Regulatory (Asset)/Liab:  FAS 109 - Tax Rate Changes</t>
  </si>
  <si>
    <t>Regulatory (Asset)/Liab:  Medicare Part D</t>
  </si>
  <si>
    <t>Reg asset established to recover transmission rate under/over recoveries. Deferred tax asset/liability will unwind as fluctuations are recovered or billed to the rate payers. The fluctuation is not included in taxable income.</t>
  </si>
  <si>
    <t>Payroll withholding (FICA) being accrued for personal cell phone use.  Book records the expense as known; tax records when paid out. Relates to all functions.</t>
  </si>
  <si>
    <t>Investment in partnership.  Book/Tax difference as Book has written them all off.  Tax still has some losses being reflected. Non jurisdictional.</t>
  </si>
  <si>
    <t>Reserves for remediation of Superfund sites.  Reserves are not deductible for tax purposes. Not fixed and determinable. Book liability (taken to the expense on book), for taxes these are non-recognized until settled/paid.  Superfund is reimbursed. Not related to wholesale operations.</t>
  </si>
  <si>
    <t>These accounts are reserves for public claims, workers compensation and other third party incidents.  For tax purposes these are not deductible until paid. Related to all functions.</t>
  </si>
  <si>
    <t>Book accrues anticipated post retirement costs based on actuarial analysis.  Tax deducts retirement benefits only when the amounts are paid or contributed to a fund. Related liability not deducted from rate base.</t>
  </si>
  <si>
    <t>This settlement is a capacity reservation agreement guarantee in connection with the City of Chicago agreement.  Book amortizes over the life of the franchise.  Tax deducted when payments were made. Generation related. Non jurisdictional.</t>
  </si>
  <si>
    <t>AFUDC - book tax timing difference. Debt portion. Related to all functions.</t>
  </si>
  <si>
    <t>AFUDC - book tax timing difference. Equity portion. Related to all functions.</t>
  </si>
  <si>
    <t>Accrual of future removal/retirements.  Book recognized the expense estimate accrual, tax recognizes when paid. Related to all functions.</t>
  </si>
  <si>
    <t>Book accrues and capitalizes anticipated Pension costs on actuarial analysis.  Tax deducts or capitalizes retirement benefits only when the amounts are paid. Related to all functions.</t>
  </si>
  <si>
    <t>Book accrues and capitalizes anticipated Pension costs based on actuarial analysis.  Tax deducts or capitalizes retirement benefits only when the amounts are paid.  Related to all functions.</t>
  </si>
  <si>
    <t>Costs incurred to join PJM were set up to reg liability and are amortized over the FERC approved recovery period for book purposes.  For tax purposes, these were deducted when paid. Costs not included in wholesale charges.</t>
  </si>
  <si>
    <t>Book amount amortized over the life of the debt, tax amortized over the life of the swap. These cost are included in cost of debt calculations.</t>
  </si>
  <si>
    <t>Per the hold harmless clause of the order approving the Constellation merger, merger related costs are removed.</t>
  </si>
  <si>
    <t>Book is recording accruals for 401k matching. Relates to all functions.</t>
  </si>
  <si>
    <t>Book is recording accruals for other non-jurisdictional expenses.</t>
  </si>
  <si>
    <t>Federal NOL DTA</t>
  </si>
  <si>
    <t>Regulatory (Asset)/Liab:  Docket No 07-0566 - 3 YR</t>
  </si>
  <si>
    <t>ADIT related to regulatory liability established as a result of the 2011 IL State Income Tax increase.  Reg liability not included in rate base.</t>
  </si>
  <si>
    <t>Regulatory asset established to recognize the change in Med D law. The regulatory asset is not reflected in rate base.</t>
  </si>
  <si>
    <t>Relates to the deferred recognition of CTC revenues.</t>
  </si>
  <si>
    <t>This represents an amount for repairs that is deductible for tax purposes but is required to be capitalized for book.  Related to Distribution</t>
  </si>
  <si>
    <t>This represents an amount for repairs that is deductible for tax purposes but is required to be capitalized for book.  Related to Transmission</t>
  </si>
  <si>
    <t>Relates to contributions received from a subsidiary for an upgrade to the transmission system.</t>
  </si>
  <si>
    <t>Deferred Revenue - Fiber Optics Lease - Current</t>
  </si>
  <si>
    <t xml:space="preserve">Accelerated Depr AMI - Related to Reg Assets </t>
  </si>
  <si>
    <t>Regulatory (Asset)/Liab:  PORCB</t>
  </si>
  <si>
    <t>Deferred Revenue - Fiber Optics Lease - Non Current</t>
  </si>
  <si>
    <t>Deferred tax on reg asset related to AMI Program. Not related to wholesale operations.</t>
  </si>
  <si>
    <t>Related to reg asset associated with Distribution Filing reconcilliations.  Not related to wholesale operations.</t>
  </si>
  <si>
    <t>Related to reg asset associated to Distribution Filing.  Not related to wholesale operations.</t>
  </si>
  <si>
    <t>ADIT related to regulatory asset established as a result of the 2011 IL State Income Tax increase.  Reg asset not included in rate base.</t>
  </si>
  <si>
    <r>
      <t>FERC Form 1 --</t>
    </r>
    <r>
      <rPr>
        <sz val="10"/>
        <rFont val="Arial"/>
        <family val="2"/>
      </rPr>
      <t xml:space="preserve"> p111.57.c</t>
    </r>
  </si>
  <si>
    <t>Depreciation - Capital Related to CTA Merger</t>
  </si>
  <si>
    <r>
      <t xml:space="preserve">  None for </t>
    </r>
    <r>
      <rPr>
        <sz val="10"/>
        <color rgb="FF0000FF"/>
        <rFont val="Arial"/>
        <family val="2"/>
      </rPr>
      <t>2013</t>
    </r>
    <r>
      <rPr>
        <sz val="10"/>
        <rFont val="Arial"/>
        <family val="2"/>
      </rPr>
      <t>.</t>
    </r>
  </si>
  <si>
    <t>Net Operating Loss generated from Bonus Depreciation.  Relates to all functions.</t>
  </si>
  <si>
    <t>Accrued Benefits</t>
  </si>
  <si>
    <t>Related to a third party’s right to use our optical fibers within cables over a 30 year contract.  For GAAP purposes, the revenue is deferred and amortized.  For tax, the income cannot be deferred and was already recognized in a prior year.</t>
  </si>
  <si>
    <t>Accelerated depreciation on old meters in AMI program. Not related to wholesale operations.</t>
  </si>
  <si>
    <t>Related to reg asset associated with PORCB which was established to recover uncollected amounts related to the consolidated billing provided under the program.</t>
  </si>
  <si>
    <r>
      <rPr>
        <b/>
        <sz val="10"/>
        <rFont val="Arial"/>
        <family val="2"/>
      </rPr>
      <t>New item</t>
    </r>
    <r>
      <rPr>
        <sz val="10"/>
        <rFont val="Arial"/>
        <family val="2"/>
      </rPr>
      <t>: Relate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t>
    </r>
  </si>
  <si>
    <r>
      <rPr>
        <sz val="10"/>
        <color rgb="FF0000FF"/>
        <rFont val="Arial"/>
        <family val="2"/>
      </rPr>
      <t>53.53%</t>
    </r>
    <r>
      <rPr>
        <sz val="10"/>
        <rFont val="Arial"/>
        <family val="2"/>
      </rPr>
      <t xml:space="preserve"> is assigned to Distribution based on same analysis.</t>
    </r>
  </si>
  <si>
    <r>
      <rPr>
        <sz val="10"/>
        <color rgb="FF0000FF"/>
        <rFont val="Arial"/>
        <family val="2"/>
      </rPr>
      <t>46.47%</t>
    </r>
    <r>
      <rPr>
        <sz val="10"/>
        <color rgb="FFFF66FF"/>
        <rFont val="Arial"/>
        <family val="2"/>
      </rPr>
      <t xml:space="preserve"> </t>
    </r>
    <r>
      <rPr>
        <sz val="10"/>
        <rFont val="Arial"/>
        <family val="2"/>
      </rPr>
      <t>is assigned to Transmission based on company location analysis</t>
    </r>
  </si>
  <si>
    <r>
      <t xml:space="preserve">ComEd does not currently pay annual EPRI dues.  All </t>
    </r>
    <r>
      <rPr>
        <sz val="10"/>
        <color rgb="FF0000FF"/>
        <rFont val="Arial"/>
        <family val="2"/>
      </rPr>
      <t>2013</t>
    </r>
    <r>
      <rPr>
        <sz val="10"/>
        <rFont val="Arial"/>
        <family val="2"/>
      </rPr>
      <t xml:space="preserve"> expenses were related to projects.</t>
    </r>
  </si>
  <si>
    <t>2014 Forecast</t>
  </si>
  <si>
    <r>
      <rPr>
        <sz val="10"/>
        <rFont val="Arial"/>
        <family val="2"/>
      </rPr>
      <t xml:space="preserve">12 months </t>
    </r>
    <r>
      <rPr>
        <sz val="10"/>
        <color rgb="FF0000FF"/>
        <rFont val="Arial"/>
        <family val="2"/>
      </rPr>
      <t>June12 - May13</t>
    </r>
  </si>
  <si>
    <t>p337.43.b*e</t>
  </si>
  <si>
    <t>Transmission (1)</t>
  </si>
  <si>
    <t>(1) ComEd applies a single composite depreciation rate to Transmission Plant.</t>
  </si>
  <si>
    <t>The composite rate is determined by calculating the weighted average rate of</t>
  </si>
  <si>
    <t>Accounts 350-359.</t>
  </si>
  <si>
    <t>General and Intangible Plant</t>
  </si>
  <si>
    <t>Acount 390: Structures and Improvement</t>
  </si>
  <si>
    <t>Account 391.01: Office Furniture &amp; Equipment: Office Machines</t>
  </si>
  <si>
    <t>Account 391.02: Office Furniture &amp; Equipment: Furniture/Equipment</t>
  </si>
  <si>
    <t>Account 391.03: Office Furniture &amp; Equipment: Computer Equipment</t>
  </si>
  <si>
    <t>Account 392.00: Transportation Equipment - Passenger Cars</t>
  </si>
  <si>
    <t>Account 392.01: Transportation Equipment - Tractor Trucks</t>
  </si>
  <si>
    <t>Account 392.02: Transportation Equipment - Trailers</t>
  </si>
  <si>
    <t>Account 392.05: Transportation Equipment - Trucks &lt; 13,000 pounds</t>
  </si>
  <si>
    <t>Account 393: Stores Equipment</t>
  </si>
  <si>
    <t>Account 394: Tools, Shop, &amp; Garage Equipment</t>
  </si>
  <si>
    <t>Account 395: Laboratory Equipment</t>
  </si>
  <si>
    <t>Account 396: Power Operated Equipment</t>
  </si>
  <si>
    <t>Account 397: Communications Equipment</t>
  </si>
  <si>
    <t>Account 397.01: Communications Equipment: Mesh Comm. Network Devices</t>
  </si>
  <si>
    <t>Account 398: Miscellaneous Equipment</t>
  </si>
  <si>
    <t>Account 303: Miscellaneous Intangible Plant</t>
  </si>
  <si>
    <t>Account 392.06: Transportation Equipment - Trucks &gt; 13,000 pounds</t>
  </si>
  <si>
    <t>Pending Litigation Reserve</t>
  </si>
  <si>
    <r>
      <rPr>
        <b/>
        <sz val="10"/>
        <rFont val="Arial"/>
        <family val="2"/>
      </rPr>
      <t>New Item:</t>
    </r>
    <r>
      <rPr>
        <sz val="10"/>
        <rFont val="Arial"/>
        <family val="2"/>
      </rPr>
      <t xml:space="preserve"> Related to reserves associated with ongoing and/or pending litigation.  These are not legal service fees, but accrual for possible liability payments upon resolution of ongoing litigation matters.  Since we have accrued, but not yet paid, we have to book the tax reserve.</t>
    </r>
  </si>
  <si>
    <t>Note: The amount included in the FF1 is for a Capital Lease that is 100% Distribution related.</t>
  </si>
</sst>
</file>

<file path=xl/styles.xml><?xml version="1.0" encoding="utf-8"?>
<styleSheet xmlns="http://schemas.openxmlformats.org/spreadsheetml/2006/main">
  <numFmts count="1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0.0000"/>
    <numFmt numFmtId="167" formatCode="_(&quot;$&quot;* #,##0_);_(&quot;$&quot;* \(#,##0\);_(&quot;$&quot;* &quot;-&quot;??_);_(@_)"/>
    <numFmt numFmtId="168" formatCode="0.000%"/>
    <numFmt numFmtId="169" formatCode="0.00000"/>
    <numFmt numFmtId="170" formatCode="&quot;$&quot;#,##0.00"/>
    <numFmt numFmtId="171" formatCode="0.0%"/>
    <numFmt numFmtId="172" formatCode="0.0000%"/>
    <numFmt numFmtId="173" formatCode="0.00000%"/>
    <numFmt numFmtId="174" formatCode="0.000000%"/>
    <numFmt numFmtId="175" formatCode="&quot;$&quot;#,##0"/>
    <numFmt numFmtId="176" formatCode="0_)"/>
    <numFmt numFmtId="177" formatCode="0_);\(0\)"/>
    <numFmt numFmtId="178" formatCode="#,##0.00000000"/>
  </numFmts>
  <fonts count="100">
    <font>
      <sz val="10"/>
      <name val="Arial"/>
    </font>
    <font>
      <sz val="10"/>
      <name val="Arial"/>
      <family val="2"/>
    </font>
    <font>
      <b/>
      <sz val="10"/>
      <name val="Arial"/>
      <family val="2"/>
    </font>
    <font>
      <b/>
      <sz val="12"/>
      <name val="Arial"/>
      <family val="2"/>
    </font>
    <font>
      <sz val="10"/>
      <color indexed="10"/>
      <name val="Arial"/>
      <family val="2"/>
    </font>
    <font>
      <sz val="12"/>
      <name val="Arial"/>
      <family val="2"/>
    </font>
    <font>
      <sz val="10"/>
      <name val="Courier"/>
      <family val="3"/>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sz val="10"/>
      <color indexed="12"/>
      <name val="Arial"/>
      <family val="2"/>
    </font>
    <font>
      <b/>
      <sz val="14"/>
      <name val="Arial"/>
      <family val="2"/>
    </font>
    <font>
      <sz val="12"/>
      <color indexed="12"/>
      <name val="Helv"/>
    </font>
    <font>
      <sz val="12"/>
      <name val="Helv"/>
    </font>
    <font>
      <b/>
      <sz val="12"/>
      <name val="Helv"/>
    </font>
    <font>
      <b/>
      <sz val="12"/>
      <color indexed="10"/>
      <name val="Helv"/>
    </font>
    <font>
      <b/>
      <sz val="12"/>
      <color indexed="12"/>
      <name val="Helv"/>
    </font>
    <font>
      <sz val="12"/>
      <color indexed="13"/>
      <name val="Arial"/>
      <family val="2"/>
    </font>
    <font>
      <b/>
      <sz val="12"/>
      <color indexed="13"/>
      <name val="Arial"/>
      <family val="2"/>
    </font>
    <font>
      <b/>
      <sz val="12"/>
      <color indexed="13"/>
      <name val="Helv"/>
    </font>
    <font>
      <sz val="14"/>
      <name val="Arial"/>
      <family val="2"/>
    </font>
    <font>
      <b/>
      <sz val="14"/>
      <name val="Arial"/>
      <family val="2"/>
    </font>
    <font>
      <sz val="12"/>
      <name val="Arial Narrow"/>
      <family val="2"/>
    </font>
    <font>
      <b/>
      <sz val="12"/>
      <color indexed="10"/>
      <name val="Arial Narrow"/>
      <family val="2"/>
    </font>
    <font>
      <b/>
      <sz val="18"/>
      <name val="Arial"/>
      <family val="2"/>
    </font>
    <font>
      <sz val="12"/>
      <color indexed="10"/>
      <name val="Helv"/>
    </font>
    <font>
      <b/>
      <i/>
      <sz val="10"/>
      <name val="Arial"/>
      <family val="2"/>
    </font>
    <font>
      <b/>
      <sz val="10"/>
      <color indexed="10"/>
      <name val="Helv"/>
    </font>
    <font>
      <b/>
      <i/>
      <sz val="12"/>
      <name val="Arial"/>
      <family val="2"/>
    </font>
    <font>
      <b/>
      <i/>
      <sz val="12"/>
      <color indexed="14"/>
      <name val="Arial"/>
      <family val="2"/>
    </font>
    <font>
      <sz val="10"/>
      <name val="Arial Narrow"/>
      <family val="2"/>
    </font>
    <font>
      <b/>
      <sz val="10"/>
      <color indexed="14"/>
      <name val="Arial"/>
      <family val="2"/>
    </font>
    <font>
      <sz val="11"/>
      <name val="Arial"/>
      <family val="2"/>
    </font>
    <font>
      <b/>
      <sz val="10"/>
      <name val="Arial Narrow"/>
      <family val="2"/>
    </font>
    <font>
      <b/>
      <sz val="14"/>
      <name val="Arial Narrow"/>
      <family val="2"/>
    </font>
    <font>
      <b/>
      <sz val="16"/>
      <color indexed="10"/>
      <name val="Arial"/>
      <family val="2"/>
    </font>
    <font>
      <b/>
      <sz val="12"/>
      <color indexed="13"/>
      <name val="Helvetica"/>
      <family val="2"/>
    </font>
    <font>
      <sz val="14"/>
      <name val="Arial"/>
      <family val="2"/>
    </font>
    <font>
      <sz val="12"/>
      <color indexed="43"/>
      <name val="Arial"/>
      <family val="2"/>
    </font>
    <font>
      <sz val="10"/>
      <color indexed="10"/>
      <name val="Arial"/>
      <family val="2"/>
    </font>
    <font>
      <b/>
      <u/>
      <sz val="10"/>
      <name val="Arial"/>
      <family val="2"/>
    </font>
    <font>
      <sz val="10"/>
      <color indexed="14"/>
      <name val="Arial"/>
      <family val="2"/>
    </font>
    <font>
      <b/>
      <sz val="11"/>
      <name val="Arial"/>
      <family val="2"/>
    </font>
    <font>
      <sz val="10"/>
      <name val="Arial"/>
      <family val="2"/>
    </font>
    <font>
      <sz val="8"/>
      <color indexed="10"/>
      <name val="Arial"/>
      <family val="2"/>
    </font>
    <font>
      <sz val="8"/>
      <color indexed="10"/>
      <name val="Arial Narrow"/>
      <family val="2"/>
    </font>
    <font>
      <sz val="10"/>
      <color indexed="10"/>
      <name val="Arial Narrow"/>
      <family val="2"/>
    </font>
    <font>
      <b/>
      <u/>
      <sz val="12"/>
      <name val="Arial"/>
      <family val="2"/>
    </font>
    <font>
      <sz val="10"/>
      <name val="Arial Narrow"/>
      <family val="2"/>
    </font>
    <font>
      <b/>
      <sz val="16"/>
      <name val="Arial"/>
      <family val="2"/>
    </font>
    <font>
      <sz val="14"/>
      <color indexed="10"/>
      <name val="Arial"/>
      <family val="2"/>
    </font>
    <font>
      <sz val="10"/>
      <name val="MS Sans Serif"/>
      <family val="2"/>
    </font>
    <font>
      <b/>
      <sz val="10"/>
      <name val="MS Sans Serif"/>
      <family val="2"/>
    </font>
    <font>
      <sz val="16"/>
      <name val="Arial"/>
      <family val="2"/>
    </font>
    <font>
      <b/>
      <sz val="16"/>
      <color indexed="10"/>
      <name val="Helv"/>
    </font>
    <font>
      <sz val="16"/>
      <name val="Helv"/>
    </font>
    <font>
      <b/>
      <sz val="16"/>
      <name val="Arial Narrow"/>
      <family val="2"/>
    </font>
    <font>
      <sz val="16"/>
      <name val="Arial Narrow"/>
      <family val="2"/>
    </font>
    <font>
      <b/>
      <sz val="16"/>
      <color indexed="13"/>
      <name val="Arial Narrow"/>
      <family val="2"/>
    </font>
    <font>
      <sz val="16"/>
      <name val="Arial"/>
      <family val="2"/>
    </font>
    <font>
      <b/>
      <sz val="16"/>
      <color indexed="13"/>
      <name val="Arial"/>
      <family val="2"/>
    </font>
    <font>
      <sz val="10"/>
      <color indexed="14"/>
      <name val="Arial Narrow"/>
      <family val="2"/>
    </font>
    <font>
      <b/>
      <sz val="12"/>
      <color indexed="53"/>
      <name val="Arial"/>
      <family val="2"/>
    </font>
    <font>
      <sz val="14"/>
      <color indexed="12"/>
      <name val="Arial"/>
      <family val="2"/>
    </font>
    <font>
      <b/>
      <sz val="14"/>
      <color indexed="12"/>
      <name val="Arial"/>
      <family val="2"/>
    </font>
    <font>
      <sz val="12"/>
      <name val="Arial"/>
      <family val="2"/>
    </font>
    <font>
      <b/>
      <sz val="10"/>
      <color indexed="12"/>
      <name val="Arial"/>
      <family val="2"/>
    </font>
    <font>
      <b/>
      <sz val="10"/>
      <name val="Helv"/>
    </font>
    <font>
      <b/>
      <sz val="10"/>
      <color indexed="13"/>
      <name val="Arial"/>
      <family val="2"/>
    </font>
    <font>
      <sz val="10"/>
      <name val="Arial"/>
      <family val="2"/>
    </font>
    <font>
      <b/>
      <i/>
      <sz val="14"/>
      <name val="Arial"/>
      <family val="2"/>
    </font>
    <font>
      <b/>
      <sz val="8"/>
      <color indexed="10"/>
      <name val="Arial"/>
      <family val="2"/>
    </font>
    <font>
      <b/>
      <i/>
      <u/>
      <sz val="10"/>
      <name val="Arial"/>
      <family val="2"/>
    </font>
    <font>
      <b/>
      <i/>
      <u/>
      <sz val="12"/>
      <name val="Arial"/>
      <family val="2"/>
    </font>
    <font>
      <b/>
      <sz val="14"/>
      <color indexed="10"/>
      <name val="Arial"/>
      <family val="2"/>
    </font>
    <font>
      <b/>
      <sz val="8"/>
      <color indexed="12"/>
      <name val="Arial"/>
      <family val="2"/>
    </font>
    <font>
      <sz val="10"/>
      <color indexed="8"/>
      <name val="Arial"/>
      <family val="2"/>
    </font>
    <font>
      <sz val="10"/>
      <color indexed="12"/>
      <name val="Arial Narrow"/>
      <family val="2"/>
    </font>
    <font>
      <sz val="9"/>
      <color indexed="51"/>
      <name val="Arial"/>
      <family val="2"/>
    </font>
    <font>
      <b/>
      <sz val="9"/>
      <color indexed="9"/>
      <name val="Arial"/>
      <family val="2"/>
    </font>
    <font>
      <b/>
      <sz val="10"/>
      <color indexed="9"/>
      <name val="Arial"/>
      <family val="2"/>
    </font>
    <font>
      <b/>
      <sz val="9"/>
      <color indexed="12"/>
      <name val="Arial"/>
      <family val="2"/>
    </font>
    <font>
      <strike/>
      <sz val="10"/>
      <color indexed="10"/>
      <name val="Arial"/>
      <family val="2"/>
    </font>
    <font>
      <sz val="10"/>
      <name val="Arial"/>
      <family val="2"/>
    </font>
    <font>
      <sz val="8"/>
      <name val="Arial"/>
      <family val="2"/>
    </font>
    <font>
      <b/>
      <i/>
      <sz val="8"/>
      <name val="Arial"/>
      <family val="2"/>
    </font>
    <font>
      <b/>
      <sz val="10"/>
      <color rgb="FFFF0000"/>
      <name val="Arial"/>
      <family val="2"/>
    </font>
    <font>
      <sz val="10"/>
      <color rgb="FF0000FF"/>
      <name val="Arial"/>
      <family val="2"/>
    </font>
    <font>
      <sz val="8"/>
      <color rgb="FFC00000"/>
      <name val="Arial"/>
      <family val="2"/>
    </font>
    <font>
      <sz val="10"/>
      <color rgb="FF0000FF"/>
      <name val="Arial Narrow"/>
      <family val="2"/>
    </font>
    <font>
      <sz val="10"/>
      <color rgb="FFFF66FF"/>
      <name val="Arial"/>
      <family val="2"/>
    </font>
    <font>
      <sz val="11"/>
      <color theme="3" tint="0.59999389629810485"/>
      <name val="Arial"/>
      <family val="2"/>
    </font>
    <font>
      <b/>
      <sz val="10"/>
      <color theme="3" tint="0.59999389629810485"/>
      <name val="Arial"/>
      <family val="2"/>
    </font>
    <font>
      <b/>
      <u/>
      <sz val="10"/>
      <color theme="3" tint="0.59999389629810485"/>
      <name val="Arial"/>
      <family val="2"/>
    </font>
    <font>
      <sz val="11"/>
      <color indexed="8"/>
      <name val="Calibri"/>
      <family val="2"/>
    </font>
  </fonts>
  <fills count="14">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51"/>
        <bgColor indexed="64"/>
      </patternFill>
    </fill>
    <fill>
      <patternFill patternType="solid">
        <fgColor indexed="14"/>
        <bgColor indexed="64"/>
      </patternFill>
    </fill>
    <fill>
      <patternFill patternType="solid">
        <fgColor indexed="1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s>
  <borders count="44">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55"/>
      </left>
      <right style="thin">
        <color indexed="55"/>
      </right>
      <top style="thin">
        <color indexed="64"/>
      </top>
      <bottom style="double">
        <color indexed="64"/>
      </bottom>
      <diagonal/>
    </border>
    <border>
      <left style="thin">
        <color indexed="55"/>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55"/>
      </right>
      <top style="thin">
        <color indexed="55"/>
      </top>
      <bottom style="thin">
        <color indexed="55"/>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55"/>
      </left>
      <right/>
      <top style="thin">
        <color indexed="64"/>
      </top>
      <bottom style="double">
        <color indexed="64"/>
      </bottom>
      <diagonal/>
    </border>
    <border>
      <left/>
      <right style="thin">
        <color indexed="55"/>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s>
  <cellStyleXfs count="14">
    <xf numFmtId="0" fontId="0" fillId="0" borderId="0"/>
    <xf numFmtId="43" fontId="1" fillId="0" borderId="0" applyFont="0" applyFill="0" applyBorder="0" applyAlignment="0" applyProtection="0"/>
    <xf numFmtId="44" fontId="1" fillId="0" borderId="0" applyFont="0" applyFill="0" applyBorder="0" applyAlignment="0" applyProtection="0"/>
    <xf numFmtId="165" fontId="6" fillId="0" borderId="0"/>
    <xf numFmtId="0" fontId="1" fillId="0" borderId="0"/>
    <xf numFmtId="0" fontId="1" fillId="0" borderId="0"/>
    <xf numFmtId="9" fontId="1" fillId="0" borderId="0" applyFont="0" applyFill="0" applyBorder="0" applyAlignment="0" applyProtection="0"/>
    <xf numFmtId="0" fontId="56" fillId="0" borderId="0" applyNumberFormat="0" applyFont="0" applyFill="0" applyBorder="0" applyAlignment="0" applyProtection="0">
      <alignment horizontal="left"/>
    </xf>
    <xf numFmtId="15" fontId="56" fillId="0" borderId="0" applyFont="0" applyFill="0" applyBorder="0" applyAlignment="0" applyProtection="0"/>
    <xf numFmtId="4" fontId="56" fillId="0" borderId="0" applyFont="0" applyFill="0" applyBorder="0" applyAlignment="0" applyProtection="0"/>
    <xf numFmtId="0" fontId="57" fillId="0" borderId="1">
      <alignment horizontal="center"/>
    </xf>
    <xf numFmtId="3" fontId="56" fillId="0" borderId="0" applyFont="0" applyFill="0" applyBorder="0" applyAlignment="0" applyProtection="0"/>
    <xf numFmtId="0" fontId="56" fillId="2" borderId="0" applyNumberFormat="0" applyFont="0" applyBorder="0" applyAlignment="0" applyProtection="0"/>
    <xf numFmtId="43" fontId="99" fillId="0" borderId="0" applyFont="0" applyFill="0" applyBorder="0" applyAlignment="0" applyProtection="0"/>
  </cellStyleXfs>
  <cellXfs count="1348">
    <xf numFmtId="0" fontId="0" fillId="0" borderId="0" xfId="0"/>
    <xf numFmtId="0" fontId="3" fillId="0" borderId="0" xfId="0" applyFont="1"/>
    <xf numFmtId="0" fontId="0" fillId="0" borderId="0" xfId="0" applyFill="1"/>
    <xf numFmtId="0" fontId="7" fillId="0" borderId="0" xfId="0" applyNumberFormat="1" applyFont="1" applyAlignment="1"/>
    <xf numFmtId="0" fontId="7" fillId="0" borderId="0" xfId="0" applyNumberFormat="1" applyFont="1" applyAlignment="1">
      <alignment horizontal="left"/>
    </xf>
    <xf numFmtId="3" fontId="7" fillId="0" borderId="0" xfId="0" applyNumberFormat="1" applyFont="1" applyAlignment="1"/>
    <xf numFmtId="0" fontId="7" fillId="0" borderId="0" xfId="0" applyNumberFormat="1" applyFont="1" applyAlignment="1">
      <alignment horizontal="center"/>
    </xf>
    <xf numFmtId="3" fontId="7" fillId="0" borderId="0" xfId="0" applyNumberFormat="1" applyFont="1"/>
    <xf numFmtId="169" fontId="7" fillId="0" borderId="0" xfId="0" applyNumberFormat="1" applyFont="1" applyAlignment="1"/>
    <xf numFmtId="0" fontId="7" fillId="0" borderId="0" xfId="0" applyFont="1" applyAlignment="1"/>
    <xf numFmtId="3" fontId="7" fillId="0" borderId="0" xfId="0" applyNumberFormat="1" applyFont="1" applyFill="1" applyAlignment="1"/>
    <xf numFmtId="168" fontId="7" fillId="0" borderId="0" xfId="0" applyNumberFormat="1" applyFont="1" applyAlignment="1">
      <alignment horizontal="center"/>
    </xf>
    <xf numFmtId="168" fontId="7" fillId="0" borderId="0" xfId="0" applyNumberFormat="1" applyFont="1" applyAlignment="1">
      <alignment horizontal="left"/>
    </xf>
    <xf numFmtId="169" fontId="7" fillId="0" borderId="0" xfId="0" applyNumberFormat="1" applyFont="1" applyAlignment="1">
      <alignment horizontal="center"/>
    </xf>
    <xf numFmtId="10" fontId="7" fillId="0" borderId="0" xfId="0" applyNumberFormat="1" applyFont="1" applyFill="1" applyAlignment="1">
      <alignment horizontal="right"/>
    </xf>
    <xf numFmtId="3" fontId="7" fillId="0" borderId="0" xfId="0" applyNumberFormat="1" applyFont="1" applyFill="1" applyAlignment="1">
      <alignment horizontal="right"/>
    </xf>
    <xf numFmtId="3" fontId="7" fillId="0" borderId="0" xfId="0" applyNumberFormat="1" applyFont="1" applyAlignment="1">
      <alignment horizontal="center"/>
    </xf>
    <xf numFmtId="166" fontId="7" fillId="0" borderId="0" xfId="0" applyNumberFormat="1" applyFont="1" applyAlignment="1"/>
    <xf numFmtId="170" fontId="7" fillId="0" borderId="0" xfId="0" applyNumberFormat="1" applyFont="1" applyAlignment="1"/>
    <xf numFmtId="0" fontId="3" fillId="0" borderId="0" xfId="0" applyNumberFormat="1" applyFont="1" applyFill="1" applyAlignment="1"/>
    <xf numFmtId="3" fontId="7" fillId="0" borderId="0" xfId="0" applyNumberFormat="1" applyFont="1" applyBorder="1" applyAlignment="1"/>
    <xf numFmtId="0" fontId="7" fillId="0" borderId="0" xfId="0" applyNumberFormat="1" applyFont="1" applyFill="1" applyAlignment="1"/>
    <xf numFmtId="0" fontId="7" fillId="0" borderId="0" xfId="0" applyFont="1" applyFill="1" applyAlignment="1"/>
    <xf numFmtId="3" fontId="7" fillId="0" borderId="0" xfId="0" applyNumberFormat="1" applyFont="1" applyFill="1" applyAlignment="1">
      <alignment horizontal="center"/>
    </xf>
    <xf numFmtId="0" fontId="7" fillId="0" borderId="0" xfId="0" applyNumberFormat="1" applyFont="1" applyFill="1" applyAlignment="1">
      <alignment horizontal="center"/>
    </xf>
    <xf numFmtId="3" fontId="7" fillId="0" borderId="0" xfId="0" quotePrefix="1" applyNumberFormat="1" applyFont="1" applyAlignment="1">
      <alignment horizontal="right"/>
    </xf>
    <xf numFmtId="0" fontId="5" fillId="0" borderId="0" xfId="0" applyNumberFormat="1" applyFont="1" applyAlignment="1">
      <alignment horizontal="center"/>
    </xf>
    <xf numFmtId="0" fontId="5" fillId="0" borderId="0" xfId="0" applyFont="1" applyAlignment="1"/>
    <xf numFmtId="0" fontId="14" fillId="0" borderId="0" xfId="0" applyNumberFormat="1" applyFont="1" applyFill="1"/>
    <xf numFmtId="0" fontId="10" fillId="0" borderId="0" xfId="0" applyNumberFormat="1" applyFont="1" applyFill="1" applyAlignment="1"/>
    <xf numFmtId="3" fontId="7" fillId="0" borderId="2" xfId="0" applyNumberFormat="1" applyFont="1" applyBorder="1" applyAlignment="1"/>
    <xf numFmtId="0" fontId="7" fillId="0" borderId="0" xfId="0" applyFont="1"/>
    <xf numFmtId="0" fontId="7" fillId="0" borderId="0" xfId="0" applyFont="1" applyBorder="1" applyAlignment="1"/>
    <xf numFmtId="172" fontId="3" fillId="0" borderId="0" xfId="6" applyNumberFormat="1" applyFont="1" applyAlignment="1"/>
    <xf numFmtId="3" fontId="3" fillId="0" borderId="3" xfId="0" applyNumberFormat="1" applyFont="1" applyBorder="1" applyAlignment="1"/>
    <xf numFmtId="3" fontId="7" fillId="0" borderId="0" xfId="0" applyNumberFormat="1" applyFont="1" applyFill="1" applyBorder="1" applyAlignment="1"/>
    <xf numFmtId="0" fontId="3" fillId="0" borderId="0" xfId="0" applyNumberFormat="1" applyFont="1" applyFill="1" applyAlignment="1">
      <alignment horizontal="center"/>
    </xf>
    <xf numFmtId="0" fontId="7" fillId="0" borderId="0" xfId="0" applyNumberFormat="1" applyFont="1" applyFill="1" applyBorder="1" applyAlignment="1"/>
    <xf numFmtId="0" fontId="7" fillId="0" borderId="2" xfId="0" applyNumberFormat="1" applyFont="1" applyFill="1" applyBorder="1" applyAlignment="1"/>
    <xf numFmtId="0" fontId="5" fillId="0" borderId="0" xfId="0" applyFont="1"/>
    <xf numFmtId="0" fontId="5" fillId="0" borderId="0" xfId="0" applyNumberFormat="1" applyFont="1" applyAlignment="1">
      <alignment horizontal="left"/>
    </xf>
    <xf numFmtId="0" fontId="5" fillId="0" borderId="0" xfId="0" applyNumberFormat="1" applyFont="1" applyFill="1" applyAlignment="1">
      <alignment horizontal="right"/>
    </xf>
    <xf numFmtId="0" fontId="5" fillId="0" borderId="0" xfId="0" applyNumberFormat="1" applyFont="1" applyFill="1" applyAlignment="1">
      <alignment horizontal="left"/>
    </xf>
    <xf numFmtId="0" fontId="5" fillId="0" borderId="0" xfId="0" applyFont="1" applyFill="1" applyAlignment="1"/>
    <xf numFmtId="0" fontId="5" fillId="0" borderId="0" xfId="0" applyFont="1" applyFill="1"/>
    <xf numFmtId="0" fontId="5" fillId="0" borderId="2" xfId="0" applyFont="1" applyFill="1" applyBorder="1" applyAlignment="1"/>
    <xf numFmtId="0" fontId="5" fillId="0" borderId="2" xfId="0" applyFont="1" applyBorder="1"/>
    <xf numFmtId="0" fontId="5" fillId="0" borderId="2" xfId="0" applyFont="1" applyFill="1" applyBorder="1"/>
    <xf numFmtId="3" fontId="7" fillId="0" borderId="2" xfId="0" applyNumberFormat="1" applyFont="1" applyFill="1" applyBorder="1" applyAlignment="1"/>
    <xf numFmtId="0" fontId="5" fillId="0" borderId="2" xfId="0" applyFont="1" applyBorder="1" applyAlignment="1"/>
    <xf numFmtId="3" fontId="17" fillId="0" borderId="0" xfId="0" applyNumberFormat="1" applyFont="1" applyAlignment="1">
      <alignment horizontal="right"/>
    </xf>
    <xf numFmtId="0" fontId="5" fillId="0" borderId="0" xfId="0" applyFont="1" applyBorder="1" applyAlignment="1"/>
    <xf numFmtId="172" fontId="5" fillId="0" borderId="0" xfId="0" applyNumberFormat="1" applyFont="1" applyAlignment="1">
      <alignment horizontal="right"/>
    </xf>
    <xf numFmtId="3" fontId="18" fillId="0" borderId="0" xfId="0" applyNumberFormat="1" applyFont="1" applyBorder="1" applyAlignment="1">
      <alignment horizontal="right"/>
    </xf>
    <xf numFmtId="0" fontId="5" fillId="0" borderId="0" xfId="0" applyFont="1" applyFill="1" applyAlignment="1">
      <alignment horizontal="left"/>
    </xf>
    <xf numFmtId="0" fontId="5" fillId="0" borderId="0" xfId="0" applyFont="1" applyAlignment="1">
      <alignment horizontal="left"/>
    </xf>
    <xf numFmtId="3" fontId="5" fillId="0" borderId="2" xfId="0" applyNumberFormat="1" applyFont="1" applyBorder="1" applyAlignment="1">
      <alignment horizontal="right"/>
    </xf>
    <xf numFmtId="0" fontId="11" fillId="0" borderId="2" xfId="0" applyFont="1" applyBorder="1"/>
    <xf numFmtId="3" fontId="21" fillId="0" borderId="2" xfId="0" applyNumberFormat="1" applyFont="1" applyBorder="1" applyAlignment="1">
      <alignment horizontal="right"/>
    </xf>
    <xf numFmtId="3" fontId="11" fillId="0" borderId="2" xfId="0" applyNumberFormat="1" applyFont="1" applyBorder="1"/>
    <xf numFmtId="0" fontId="11" fillId="0" borderId="2" xfId="0" applyFont="1" applyBorder="1" applyAlignment="1">
      <alignment horizontal="left"/>
    </xf>
    <xf numFmtId="0" fontId="11" fillId="0" borderId="0" xfId="0" applyFont="1"/>
    <xf numFmtId="3" fontId="3" fillId="0" borderId="2" xfId="0" applyNumberFormat="1" applyFont="1" applyBorder="1" applyAlignment="1">
      <alignment horizontal="right"/>
    </xf>
    <xf numFmtId="0" fontId="5" fillId="0" borderId="0" xfId="0" applyFont="1" applyAlignment="1">
      <alignment horizontal="right"/>
    </xf>
    <xf numFmtId="166" fontId="3" fillId="0" borderId="0" xfId="0" applyNumberFormat="1" applyFont="1" applyAlignment="1"/>
    <xf numFmtId="0" fontId="5" fillId="0" borderId="0" xfId="0" applyNumberFormat="1" applyFont="1" applyFill="1" applyAlignment="1">
      <alignment horizontal="center"/>
    </xf>
    <xf numFmtId="0" fontId="5" fillId="0" borderId="0" xfId="0" applyNumberFormat="1" applyFont="1" applyBorder="1" applyAlignment="1">
      <alignment horizontal="center"/>
    </xf>
    <xf numFmtId="0" fontId="5" fillId="0" borderId="0" xfId="0" applyNumberFormat="1" applyFont="1" applyBorder="1" applyAlignment="1">
      <alignment horizontal="left"/>
    </xf>
    <xf numFmtId="0" fontId="5" fillId="0" borderId="0" xfId="0" applyFont="1" applyFill="1" applyBorder="1" applyAlignment="1"/>
    <xf numFmtId="3" fontId="17" fillId="0" borderId="0" xfId="0" applyNumberFormat="1" applyFont="1" applyBorder="1" applyAlignment="1">
      <alignment horizontal="right"/>
    </xf>
    <xf numFmtId="0" fontId="5" fillId="0" borderId="0" xfId="0" applyFont="1" applyBorder="1"/>
    <xf numFmtId="3" fontId="17" fillId="0" borderId="2" xfId="0" applyNumberFormat="1" applyFont="1" applyBorder="1" applyAlignment="1">
      <alignment horizontal="right"/>
    </xf>
    <xf numFmtId="0" fontId="3" fillId="0" borderId="0" xfId="0" applyNumberFormat="1" applyFont="1" applyBorder="1" applyAlignment="1"/>
    <xf numFmtId="3" fontId="3" fillId="0" borderId="0" xfId="0" applyNumberFormat="1" applyFont="1" applyBorder="1" applyAlignment="1"/>
    <xf numFmtId="3" fontId="3" fillId="0" borderId="0" xfId="0" quotePrefix="1" applyNumberFormat="1" applyFont="1" applyBorder="1" applyAlignment="1">
      <alignment horizontal="right"/>
    </xf>
    <xf numFmtId="3" fontId="5" fillId="0" borderId="0" xfId="0" applyNumberFormat="1" applyFont="1"/>
    <xf numFmtId="0" fontId="3" fillId="0" borderId="2" xfId="0" applyNumberFormat="1" applyFont="1" applyBorder="1" applyAlignment="1"/>
    <xf numFmtId="0" fontId="5" fillId="0" borderId="0" xfId="0" applyFont="1" applyAlignment="1">
      <alignment horizontal="center"/>
    </xf>
    <xf numFmtId="0" fontId="5" fillId="0" borderId="0" xfId="0" applyFont="1" applyFill="1" applyAlignment="1">
      <alignment horizontal="center"/>
    </xf>
    <xf numFmtId="0" fontId="18"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4" xfId="0" applyNumberFormat="1" applyFont="1" applyBorder="1" applyAlignment="1">
      <alignment horizontal="left"/>
    </xf>
    <xf numFmtId="3" fontId="17" fillId="0" borderId="4" xfId="0" applyNumberFormat="1" applyFont="1" applyBorder="1" applyAlignment="1">
      <alignment horizontal="right"/>
    </xf>
    <xf numFmtId="0" fontId="5" fillId="0" borderId="0" xfId="0" applyFont="1" applyFill="1" applyBorder="1" applyAlignment="1">
      <alignment horizontal="left"/>
    </xf>
    <xf numFmtId="0" fontId="5" fillId="0" borderId="4" xfId="0" applyFont="1" applyBorder="1" applyAlignment="1"/>
    <xf numFmtId="0" fontId="11" fillId="0" borderId="3" xfId="0" applyFont="1" applyBorder="1" applyAlignment="1">
      <alignment horizontal="right"/>
    </xf>
    <xf numFmtId="0" fontId="3" fillId="0" borderId="0" xfId="0" applyNumberFormat="1" applyFont="1" applyAlignment="1">
      <alignment horizontal="left"/>
    </xf>
    <xf numFmtId="0" fontId="10" fillId="0" borderId="0" xfId="0" applyNumberFormat="1" applyFont="1" applyFill="1" applyAlignment="1">
      <alignment horizontal="center"/>
    </xf>
    <xf numFmtId="0" fontId="5" fillId="0" borderId="0" xfId="0" applyFont="1" applyFill="1" applyAlignment="1">
      <alignment horizontal="right"/>
    </xf>
    <xf numFmtId="0" fontId="5" fillId="0" borderId="0" xfId="0" applyFont="1" applyFill="1" applyBorder="1"/>
    <xf numFmtId="0" fontId="3" fillId="0" borderId="3" xfId="0" applyFont="1" applyBorder="1" applyAlignment="1"/>
    <xf numFmtId="0" fontId="5" fillId="0" borderId="3" xfId="0" applyFont="1" applyBorder="1"/>
    <xf numFmtId="3" fontId="7" fillId="0" borderId="4" xfId="0" applyNumberFormat="1" applyFont="1" applyBorder="1" applyAlignment="1"/>
    <xf numFmtId="3" fontId="7" fillId="0" borderId="4" xfId="0" applyNumberFormat="1" applyFont="1" applyBorder="1" applyAlignment="1">
      <alignment horizontal="right"/>
    </xf>
    <xf numFmtId="3" fontId="7" fillId="0" borderId="4" xfId="0" applyNumberFormat="1" applyFont="1" applyFill="1" applyBorder="1" applyAlignment="1"/>
    <xf numFmtId="168" fontId="3" fillId="0" borderId="3" xfId="0" applyNumberFormat="1" applyFont="1" applyBorder="1" applyAlignment="1">
      <alignment horizontal="left"/>
    </xf>
    <xf numFmtId="169" fontId="3" fillId="0" borderId="3" xfId="0" applyNumberFormat="1" applyFont="1" applyBorder="1" applyAlignment="1">
      <alignment horizontal="center"/>
    </xf>
    <xf numFmtId="0" fontId="5" fillId="0" borderId="0" xfId="0" applyFont="1" applyFill="1" applyBorder="1" applyAlignment="1">
      <alignment horizontal="center" wrapText="1"/>
    </xf>
    <xf numFmtId="0" fontId="5" fillId="3" borderId="0" xfId="0" applyFont="1" applyFill="1" applyBorder="1" applyAlignment="1"/>
    <xf numFmtId="0" fontId="5" fillId="3" borderId="0" xfId="0" applyFont="1" applyFill="1" applyBorder="1"/>
    <xf numFmtId="0" fontId="5" fillId="0" borderId="3" xfId="0" applyFont="1" applyFill="1" applyBorder="1" applyAlignment="1"/>
    <xf numFmtId="0" fontId="5" fillId="0" borderId="3" xfId="0" applyFont="1" applyBorder="1" applyAlignment="1"/>
    <xf numFmtId="0" fontId="22" fillId="0" borderId="0" xfId="0" applyFont="1" applyFill="1" applyBorder="1" applyAlignment="1">
      <alignment horizontal="center"/>
    </xf>
    <xf numFmtId="0" fontId="23" fillId="0" borderId="0" xfId="0" applyFont="1" applyFill="1" applyBorder="1" applyAlignment="1"/>
    <xf numFmtId="0" fontId="24" fillId="3" borderId="0" xfId="0" applyFont="1" applyFill="1" applyAlignment="1">
      <alignment horizontal="left"/>
    </xf>
    <xf numFmtId="0" fontId="24" fillId="3" borderId="0" xfId="0" applyFont="1" applyFill="1" applyAlignment="1"/>
    <xf numFmtId="0" fontId="19" fillId="3" borderId="0" xfId="0" applyNumberFormat="1" applyFont="1" applyFill="1" applyAlignment="1">
      <alignment horizontal="left"/>
    </xf>
    <xf numFmtId="0" fontId="5" fillId="3" borderId="0" xfId="0" applyFont="1" applyFill="1" applyAlignment="1"/>
    <xf numFmtId="0" fontId="5" fillId="3" borderId="0" xfId="0" applyFont="1" applyFill="1"/>
    <xf numFmtId="0" fontId="5" fillId="3" borderId="0" xfId="0" applyFont="1" applyFill="1" applyBorder="1" applyAlignment="1">
      <alignment horizontal="center" wrapText="1"/>
    </xf>
    <xf numFmtId="0" fontId="5" fillId="0" borderId="0" xfId="0" applyNumberFormat="1" applyFont="1" applyBorder="1"/>
    <xf numFmtId="0" fontId="3" fillId="0" borderId="0" xfId="0" applyFont="1" applyBorder="1" applyAlignment="1"/>
    <xf numFmtId="172" fontId="5" fillId="0" borderId="0" xfId="0" applyNumberFormat="1" applyFont="1" applyBorder="1" applyAlignment="1">
      <alignment horizontal="right"/>
    </xf>
    <xf numFmtId="0" fontId="18" fillId="0" borderId="0" xfId="0" applyFont="1" applyAlignment="1"/>
    <xf numFmtId="169" fontId="3" fillId="0" borderId="3" xfId="0" applyNumberFormat="1" applyFont="1" applyBorder="1" applyAlignment="1"/>
    <xf numFmtId="168" fontId="3" fillId="0" borderId="0" xfId="0" applyNumberFormat="1" applyFont="1" applyBorder="1" applyAlignment="1">
      <alignment horizontal="left"/>
    </xf>
    <xf numFmtId="173" fontId="7" fillId="0" borderId="0" xfId="6" applyNumberFormat="1" applyFont="1" applyFill="1" applyAlignment="1">
      <alignment horizontal="right"/>
    </xf>
    <xf numFmtId="0" fontId="3" fillId="0" borderId="2" xfId="0" applyNumberFormat="1" applyFont="1" applyBorder="1" applyAlignment="1">
      <alignment horizontal="left"/>
    </xf>
    <xf numFmtId="3" fontId="3" fillId="0" borderId="2" xfId="0" applyNumberFormat="1" applyFont="1" applyBorder="1"/>
    <xf numFmtId="37" fontId="18" fillId="0" borderId="0" xfId="0" applyNumberFormat="1" applyFont="1" applyBorder="1" applyAlignment="1">
      <alignment horizontal="left"/>
    </xf>
    <xf numFmtId="0" fontId="11" fillId="0" borderId="0" xfId="0" applyFont="1" applyFill="1" applyBorder="1"/>
    <xf numFmtId="0" fontId="4" fillId="0" borderId="0" xfId="0" applyFont="1"/>
    <xf numFmtId="0" fontId="25" fillId="0" borderId="5" xfId="0" applyNumberFormat="1" applyFont="1" applyBorder="1" applyAlignment="1">
      <alignment horizontal="center"/>
    </xf>
    <xf numFmtId="0" fontId="26" fillId="0" borderId="5" xfId="0" applyFont="1" applyFill="1" applyBorder="1" applyAlignment="1"/>
    <xf numFmtId="0" fontId="25" fillId="0" borderId="5" xfId="0" applyFont="1" applyBorder="1" applyAlignment="1"/>
    <xf numFmtId="0" fontId="16" fillId="0" borderId="6" xfId="0" applyNumberFormat="1" applyFont="1" applyBorder="1" applyAlignment="1">
      <alignment horizontal="center"/>
    </xf>
    <xf numFmtId="164" fontId="5" fillId="0" borderId="0" xfId="1" applyNumberFormat="1" applyFont="1"/>
    <xf numFmtId="3" fontId="17" fillId="0" borderId="0" xfId="0" applyNumberFormat="1" applyFont="1" applyFill="1" applyAlignment="1">
      <alignment horizontal="right"/>
    </xf>
    <xf numFmtId="0" fontId="5" fillId="0" borderId="4" xfId="0" applyNumberFormat="1" applyFont="1" applyFill="1" applyBorder="1" applyAlignment="1">
      <alignment horizontal="left"/>
    </xf>
    <xf numFmtId="0" fontId="3" fillId="0" borderId="0" xfId="0" applyNumberFormat="1" applyFont="1" applyBorder="1" applyAlignment="1">
      <alignment horizontal="left"/>
    </xf>
    <xf numFmtId="0" fontId="7" fillId="0" borderId="0" xfId="0" applyNumberFormat="1" applyFont="1" applyFill="1" applyAlignment="1">
      <alignment horizontal="left"/>
    </xf>
    <xf numFmtId="0" fontId="7" fillId="0" borderId="0" xfId="0" applyNumberFormat="1" applyFont="1" applyBorder="1" applyAlignment="1">
      <alignment horizontal="left"/>
    </xf>
    <xf numFmtId="3" fontId="7" fillId="0" borderId="0" xfId="0" applyNumberFormat="1" applyFont="1" applyAlignment="1">
      <alignment horizontal="left"/>
    </xf>
    <xf numFmtId="164" fontId="7" fillId="0" borderId="0" xfId="1" applyNumberFormat="1" applyFont="1" applyFill="1" applyAlignment="1"/>
    <xf numFmtId="164" fontId="3" fillId="0" borderId="3" xfId="1" applyNumberFormat="1" applyFont="1" applyFill="1" applyBorder="1" applyAlignment="1">
      <alignment horizontal="right"/>
    </xf>
    <xf numFmtId="0" fontId="5" fillId="0" borderId="4" xfId="0" applyNumberFormat="1" applyFont="1" applyBorder="1" applyAlignment="1">
      <alignment horizontal="center"/>
    </xf>
    <xf numFmtId="0" fontId="7" fillId="0" borderId="4" xfId="0" applyNumberFormat="1" applyFont="1" applyBorder="1" applyAlignment="1">
      <alignment horizontal="left"/>
    </xf>
    <xf numFmtId="0" fontId="7" fillId="0" borderId="4" xfId="0" applyNumberFormat="1" applyFont="1" applyBorder="1" applyAlignment="1"/>
    <xf numFmtId="0" fontId="8" fillId="0" borderId="0" xfId="0" applyFont="1" applyFill="1" applyAlignment="1">
      <alignment horizontal="center"/>
    </xf>
    <xf numFmtId="0" fontId="3" fillId="0" borderId="3" xfId="0" applyFont="1" applyBorder="1" applyAlignment="1">
      <alignment horizontal="center"/>
    </xf>
    <xf numFmtId="0" fontId="19" fillId="3" borderId="0" xfId="0" applyNumberFormat="1" applyFont="1" applyFill="1" applyAlignment="1">
      <alignment horizontal="center"/>
    </xf>
    <xf numFmtId="0" fontId="5" fillId="0" borderId="0" xfId="0" applyNumberFormat="1" applyFont="1" applyFill="1" applyBorder="1" applyAlignment="1">
      <alignment horizontal="center"/>
    </xf>
    <xf numFmtId="0" fontId="20" fillId="0" borderId="0" xfId="0" applyFont="1" applyBorder="1" applyAlignment="1">
      <alignment horizontal="center"/>
    </xf>
    <xf numFmtId="0" fontId="5" fillId="0" borderId="4" xfId="0" applyFont="1" applyFill="1" applyBorder="1" applyAlignment="1"/>
    <xf numFmtId="0" fontId="8" fillId="0" borderId="0" xfId="0" applyFont="1" applyFill="1" applyBorder="1" applyAlignment="1">
      <alignment horizontal="center"/>
    </xf>
    <xf numFmtId="0" fontId="8" fillId="0" borderId="2" xfId="0" applyFont="1" applyFill="1" applyBorder="1" applyAlignment="1"/>
    <xf numFmtId="0" fontId="8" fillId="0" borderId="4" xfId="0" applyFont="1" applyFill="1" applyBorder="1" applyAlignment="1"/>
    <xf numFmtId="0" fontId="8" fillId="0" borderId="2" xfId="0" applyNumberFormat="1" applyFont="1" applyFill="1" applyBorder="1" applyAlignment="1">
      <alignment horizontal="center"/>
    </xf>
    <xf numFmtId="0" fontId="8" fillId="0" borderId="0" xfId="0" applyFont="1" applyFill="1" applyAlignment="1">
      <alignment horizontal="left"/>
    </xf>
    <xf numFmtId="10" fontId="7" fillId="0" borderId="0" xfId="6" applyNumberFormat="1" applyFont="1" applyFill="1" applyAlignment="1"/>
    <xf numFmtId="10" fontId="9" fillId="0" borderId="0" xfId="0" applyNumberFormat="1" applyFont="1" applyFill="1" applyAlignment="1">
      <alignment horizontal="right"/>
    </xf>
    <xf numFmtId="3" fontId="10" fillId="0" borderId="0" xfId="0" applyNumberFormat="1" applyFont="1" applyBorder="1" applyAlignment="1"/>
    <xf numFmtId="3" fontId="30" fillId="0" borderId="0" xfId="0" applyNumberFormat="1" applyFont="1" applyBorder="1" applyAlignment="1">
      <alignment horizontal="right"/>
    </xf>
    <xf numFmtId="3" fontId="20" fillId="0" borderId="0" xfId="0" applyNumberFormat="1" applyFont="1" applyBorder="1" applyAlignment="1">
      <alignment horizontal="right"/>
    </xf>
    <xf numFmtId="0" fontId="10" fillId="0" borderId="0" xfId="0" applyNumberFormat="1" applyFont="1" applyFill="1" applyBorder="1" applyAlignment="1">
      <alignment horizontal="center"/>
    </xf>
    <xf numFmtId="0" fontId="0" fillId="4" borderId="0" xfId="0" applyFill="1"/>
    <xf numFmtId="0" fontId="31" fillId="0" borderId="0" xfId="0" applyFont="1"/>
    <xf numFmtId="0" fontId="0" fillId="0" borderId="0" xfId="0" applyAlignment="1">
      <alignment horizontal="center"/>
    </xf>
    <xf numFmtId="0" fontId="0" fillId="0" borderId="0" xfId="0" applyAlignment="1">
      <alignment horizontal="left" wrapText="1"/>
    </xf>
    <xf numFmtId="0" fontId="13" fillId="0" borderId="0" xfId="0" applyFont="1" applyFill="1"/>
    <xf numFmtId="0" fontId="34" fillId="0" borderId="0" xfId="0" applyFont="1" applyAlignment="1">
      <alignment horizontal="left"/>
    </xf>
    <xf numFmtId="0" fontId="34" fillId="0" borderId="0" xfId="0" applyFont="1"/>
    <xf numFmtId="0" fontId="35" fillId="0" borderId="0" xfId="0" applyFont="1"/>
    <xf numFmtId="0" fontId="35" fillId="0" borderId="0" xfId="0" applyFont="1" applyBorder="1"/>
    <xf numFmtId="0" fontId="35" fillId="0" borderId="0" xfId="0" applyFont="1" applyFill="1" applyBorder="1"/>
    <xf numFmtId="0" fontId="12" fillId="0" borderId="0" xfId="0" applyFont="1"/>
    <xf numFmtId="0" fontId="7" fillId="0" borderId="0" xfId="0" applyFont="1" applyAlignment="1">
      <alignment horizontal="left"/>
    </xf>
    <xf numFmtId="0" fontId="36" fillId="0" borderId="0" xfId="0" applyFont="1" applyAlignment="1">
      <alignment horizontal="center"/>
    </xf>
    <xf numFmtId="0" fontId="12" fillId="0" borderId="0" xfId="0" applyFont="1" applyFill="1"/>
    <xf numFmtId="3" fontId="5" fillId="0" borderId="0" xfId="0" applyNumberFormat="1" applyFont="1" applyFill="1" applyBorder="1" applyAlignment="1">
      <alignment horizontal="right"/>
    </xf>
    <xf numFmtId="0" fontId="7" fillId="0" borderId="4" xfId="0" applyFont="1" applyBorder="1" applyAlignment="1"/>
    <xf numFmtId="0" fontId="11" fillId="0" borderId="0" xfId="0" applyFont="1" applyFill="1" applyBorder="1" applyAlignment="1"/>
    <xf numFmtId="0" fontId="3" fillId="0" borderId="0" xfId="0" applyFont="1" applyFill="1" applyBorder="1" applyAlignment="1">
      <alignment horizontal="center" wrapText="1"/>
    </xf>
    <xf numFmtId="0" fontId="11" fillId="0" borderId="0" xfId="0" applyFont="1" applyFill="1" applyBorder="1" applyAlignment="1">
      <alignment horizontal="center" wrapText="1"/>
    </xf>
    <xf numFmtId="0" fontId="11" fillId="0" borderId="0" xfId="0" applyFont="1" applyFill="1"/>
    <xf numFmtId="0" fontId="5" fillId="0" borderId="0" xfId="0" applyFont="1" applyAlignment="1">
      <alignment wrapText="1"/>
    </xf>
    <xf numFmtId="0" fontId="5" fillId="0" borderId="4" xfId="0" applyFont="1" applyBorder="1"/>
    <xf numFmtId="10" fontId="5" fillId="0" borderId="0" xfId="6" applyNumberFormat="1" applyFont="1" applyFill="1"/>
    <xf numFmtId="43" fontId="0" fillId="0" borderId="0" xfId="0" applyNumberFormat="1"/>
    <xf numFmtId="0" fontId="0" fillId="0" borderId="0" xfId="0" applyBorder="1"/>
    <xf numFmtId="0" fontId="2" fillId="0" borderId="0" xfId="0" applyFont="1" applyAlignment="1">
      <alignment horizontal="left"/>
    </xf>
    <xf numFmtId="0" fontId="11" fillId="0" borderId="0" xfId="0" applyNumberFormat="1" applyFont="1" applyFill="1" applyBorder="1" applyAlignment="1">
      <alignment horizontal="left"/>
    </xf>
    <xf numFmtId="0" fontId="11" fillId="0" borderId="0" xfId="0" applyFont="1" applyBorder="1" applyAlignment="1">
      <alignment horizontal="left"/>
    </xf>
    <xf numFmtId="0" fontId="11" fillId="0" borderId="0" xfId="0" applyFont="1" applyBorder="1"/>
    <xf numFmtId="164" fontId="3" fillId="0" borderId="0" xfId="1" applyNumberFormat="1" applyFont="1" applyFill="1" applyAlignment="1"/>
    <xf numFmtId="10" fontId="14" fillId="0" borderId="0" xfId="0" applyNumberFormat="1" applyFont="1" applyFill="1"/>
    <xf numFmtId="0" fontId="13" fillId="0" borderId="0" xfId="0" applyNumberFormat="1" applyFont="1" applyFill="1" applyBorder="1" applyAlignment="1">
      <alignment horizontal="left"/>
    </xf>
    <xf numFmtId="0" fontId="35" fillId="0" borderId="7" xfId="0" applyFont="1" applyBorder="1"/>
    <xf numFmtId="0" fontId="35" fillId="0" borderId="8" xfId="0" applyFont="1" applyBorder="1"/>
    <xf numFmtId="0" fontId="35" fillId="0" borderId="0" xfId="0" applyFont="1" applyFill="1" applyBorder="1" applyAlignment="1">
      <alignment horizontal="center"/>
    </xf>
    <xf numFmtId="0" fontId="35" fillId="0" borderId="7" xfId="0" applyFont="1" applyFill="1" applyBorder="1" applyAlignment="1">
      <alignment horizontal="center"/>
    </xf>
    <xf numFmtId="3" fontId="3" fillId="0" borderId="0" xfId="0" applyNumberFormat="1" applyFont="1" applyAlignment="1">
      <alignment horizontal="left"/>
    </xf>
    <xf numFmtId="3" fontId="7" fillId="0" borderId="0" xfId="0" applyNumberFormat="1" applyFont="1" applyBorder="1" applyAlignment="1">
      <alignment horizontal="left"/>
    </xf>
    <xf numFmtId="3" fontId="7" fillId="0" borderId="0" xfId="0" applyNumberFormat="1" applyFont="1" applyFill="1" applyAlignment="1">
      <alignment horizontal="left"/>
    </xf>
    <xf numFmtId="0" fontId="7" fillId="0" borderId="0" xfId="0" applyFont="1" applyFill="1" applyBorder="1" applyAlignment="1">
      <alignment horizontal="left"/>
    </xf>
    <xf numFmtId="0" fontId="5" fillId="0" borderId="2" xfId="0" applyFont="1" applyBorder="1" applyAlignment="1">
      <alignment horizontal="left"/>
    </xf>
    <xf numFmtId="0" fontId="5" fillId="0" borderId="4" xfId="0" applyFont="1" applyBorder="1" applyAlignment="1">
      <alignment horizontal="left"/>
    </xf>
    <xf numFmtId="0" fontId="3" fillId="0" borderId="0" xfId="0" applyFont="1" applyBorder="1" applyAlignment="1">
      <alignment horizontal="left"/>
    </xf>
    <xf numFmtId="3" fontId="3" fillId="0" borderId="3" xfId="0" applyNumberFormat="1" applyFont="1" applyBorder="1" applyAlignment="1">
      <alignment horizontal="left"/>
    </xf>
    <xf numFmtId="0" fontId="35" fillId="0" borderId="9" xfId="0" applyFont="1" applyBorder="1"/>
    <xf numFmtId="0" fontId="35" fillId="0" borderId="10" xfId="0" applyFont="1" applyBorder="1" applyAlignment="1">
      <alignment horizontal="center"/>
    </xf>
    <xf numFmtId="0" fontId="38" fillId="0" borderId="9" xfId="0" applyFont="1" applyBorder="1" applyAlignment="1">
      <alignment horizontal="center"/>
    </xf>
    <xf numFmtId="0" fontId="38" fillId="0" borderId="10" xfId="0" applyFont="1" applyBorder="1" applyAlignment="1">
      <alignment horizontal="center"/>
    </xf>
    <xf numFmtId="0" fontId="38" fillId="0" borderId="11" xfId="0" applyFont="1" applyBorder="1" applyAlignment="1">
      <alignment horizontal="center"/>
    </xf>
    <xf numFmtId="0" fontId="35" fillId="0" borderId="0" xfId="0" applyFont="1" applyBorder="1" applyAlignment="1">
      <alignment horizontal="center"/>
    </xf>
    <xf numFmtId="164" fontId="35" fillId="0" borderId="7" xfId="1" applyNumberFormat="1" applyFont="1" applyBorder="1" applyAlignment="1">
      <alignment horizontal="center"/>
    </xf>
    <xf numFmtId="0" fontId="35" fillId="0" borderId="7" xfId="0" applyFont="1" applyBorder="1" applyAlignment="1">
      <alignment horizontal="center"/>
    </xf>
    <xf numFmtId="164" fontId="35" fillId="0" borderId="7" xfId="1" applyNumberFormat="1" applyFont="1" applyBorder="1"/>
    <xf numFmtId="164" fontId="35" fillId="0" borderId="8" xfId="1" applyNumberFormat="1" applyFont="1" applyBorder="1"/>
    <xf numFmtId="164" fontId="35" fillId="0" borderId="0" xfId="1" applyNumberFormat="1" applyFont="1" applyBorder="1"/>
    <xf numFmtId="0" fontId="38" fillId="0" borderId="12" xfId="0" applyFont="1" applyBorder="1" applyAlignment="1">
      <alignment horizontal="center"/>
    </xf>
    <xf numFmtId="0" fontId="35" fillId="0" borderId="13" xfId="0" applyFont="1" applyBorder="1" applyAlignment="1">
      <alignment horizontal="center"/>
    </xf>
    <xf numFmtId="164" fontId="35" fillId="0" borderId="0" xfId="0" applyNumberFormat="1" applyFont="1" applyBorder="1"/>
    <xf numFmtId="167" fontId="35" fillId="0" borderId="7" xfId="0" applyNumberFormat="1" applyFont="1" applyBorder="1"/>
    <xf numFmtId="164" fontId="35" fillId="0" borderId="8" xfId="0" applyNumberFormat="1" applyFont="1" applyBorder="1"/>
    <xf numFmtId="164" fontId="38" fillId="0" borderId="13" xfId="0" applyNumberFormat="1" applyFont="1" applyBorder="1"/>
    <xf numFmtId="164" fontId="38" fillId="0" borderId="0" xfId="0" applyNumberFormat="1" applyFont="1" applyBorder="1"/>
    <xf numFmtId="164" fontId="38" fillId="0" borderId="7" xfId="1" applyNumberFormat="1" applyFont="1" applyBorder="1"/>
    <xf numFmtId="164" fontId="38" fillId="0" borderId="14" xfId="0" applyNumberFormat="1" applyFont="1" applyBorder="1"/>
    <xf numFmtId="164" fontId="38" fillId="0" borderId="1" xfId="0" applyNumberFormat="1" applyFont="1" applyBorder="1"/>
    <xf numFmtId="164" fontId="38" fillId="0" borderId="15" xfId="1" applyNumberFormat="1" applyFont="1" applyBorder="1"/>
    <xf numFmtId="0" fontId="35" fillId="0" borderId="0" xfId="0" applyFont="1" applyAlignment="1">
      <alignment horizontal="center"/>
    </xf>
    <xf numFmtId="164" fontId="35" fillId="0" borderId="0" xfId="1" applyNumberFormat="1" applyFont="1"/>
    <xf numFmtId="167" fontId="35" fillId="0" borderId="0" xfId="2" applyNumberFormat="1" applyFont="1"/>
    <xf numFmtId="0" fontId="38" fillId="0" borderId="12" xfId="0" applyFont="1" applyFill="1" applyBorder="1" applyAlignment="1">
      <alignment horizontal="center"/>
    </xf>
    <xf numFmtId="167" fontId="35" fillId="0" borderId="13" xfId="2" applyNumberFormat="1" applyFont="1" applyBorder="1"/>
    <xf numFmtId="0" fontId="35" fillId="0" borderId="8" xfId="0" applyFont="1" applyFill="1" applyBorder="1"/>
    <xf numFmtId="164" fontId="35" fillId="0" borderId="0" xfId="1" applyNumberFormat="1" applyFont="1" applyFill="1" applyBorder="1"/>
    <xf numFmtId="164" fontId="35" fillId="0" borderId="7" xfId="1" applyNumberFormat="1" applyFont="1" applyFill="1" applyBorder="1"/>
    <xf numFmtId="37" fontId="18" fillId="0" borderId="0" xfId="0" applyNumberFormat="1" applyFont="1" applyFill="1" applyBorder="1" applyAlignment="1">
      <alignment horizontal="left"/>
    </xf>
    <xf numFmtId="0" fontId="0" fillId="0" borderId="0" xfId="0" applyFill="1" applyBorder="1" applyAlignment="1">
      <alignment horizontal="center"/>
    </xf>
    <xf numFmtId="0" fontId="0" fillId="0" borderId="0" xfId="0" applyFill="1" applyBorder="1"/>
    <xf numFmtId="0" fontId="35" fillId="0" borderId="11" xfId="0" applyFont="1" applyBorder="1"/>
    <xf numFmtId="0" fontId="41" fillId="3" borderId="0" xfId="0" applyFont="1" applyFill="1"/>
    <xf numFmtId="0" fontId="42" fillId="0" borderId="0" xfId="0" applyNumberFormat="1" applyFont="1" applyFill="1" applyBorder="1" applyAlignment="1">
      <alignment horizontal="center"/>
    </xf>
    <xf numFmtId="3" fontId="5" fillId="0" borderId="0" xfId="0" applyNumberFormat="1" applyFont="1" applyAlignment="1">
      <alignment horizontal="center"/>
    </xf>
    <xf numFmtId="0" fontId="11" fillId="0" borderId="7" xfId="0" applyFont="1" applyBorder="1"/>
    <xf numFmtId="0" fontId="11" fillId="5" borderId="1" xfId="0" applyFont="1" applyFill="1" applyBorder="1" applyAlignment="1"/>
    <xf numFmtId="0" fontId="19" fillId="5" borderId="1" xfId="0" applyNumberFormat="1" applyFont="1" applyFill="1" applyBorder="1" applyAlignment="1">
      <alignment horizontal="center"/>
    </xf>
    <xf numFmtId="0" fontId="3" fillId="5" borderId="15" xfId="0" applyFont="1" applyFill="1" applyBorder="1" applyAlignment="1">
      <alignment horizontal="center" wrapText="1"/>
    </xf>
    <xf numFmtId="0" fontId="7" fillId="0" borderId="0" xfId="0" applyFont="1" applyFill="1"/>
    <xf numFmtId="0" fontId="0" fillId="0" borderId="0" xfId="0" applyFill="1" applyAlignment="1">
      <alignment wrapText="1"/>
    </xf>
    <xf numFmtId="0" fontId="4" fillId="0" borderId="0" xfId="0" applyFont="1" applyFill="1"/>
    <xf numFmtId="0" fontId="2" fillId="0" borderId="0" xfId="0" applyFont="1" applyAlignment="1"/>
    <xf numFmtId="0" fontId="0" fillId="0" borderId="0" xfId="0" applyAlignment="1">
      <alignment horizontal="left"/>
    </xf>
    <xf numFmtId="0" fontId="13" fillId="0" borderId="0" xfId="0" applyFont="1" applyFill="1" applyAlignment="1"/>
    <xf numFmtId="0" fontId="13" fillId="0" borderId="0" xfId="0" applyFont="1"/>
    <xf numFmtId="0" fontId="7" fillId="0" borderId="4" xfId="0" applyNumberFormat="1" applyFont="1" applyFill="1" applyBorder="1" applyAlignment="1">
      <alignment horizontal="left"/>
    </xf>
    <xf numFmtId="164" fontId="1" fillId="0" borderId="0" xfId="1" applyNumberFormat="1"/>
    <xf numFmtId="172" fontId="1" fillId="0" borderId="0" xfId="6" applyNumberFormat="1"/>
    <xf numFmtId="3" fontId="37" fillId="0" borderId="0" xfId="0" applyNumberFormat="1" applyFont="1"/>
    <xf numFmtId="0" fontId="35" fillId="4" borderId="8" xfId="0" applyFont="1" applyFill="1" applyBorder="1" applyAlignment="1">
      <alignment horizontal="center"/>
    </xf>
    <xf numFmtId="164" fontId="35" fillId="4" borderId="8" xfId="1" applyNumberFormat="1" applyFont="1" applyFill="1" applyBorder="1"/>
    <xf numFmtId="164" fontId="13" fillId="0" borderId="0" xfId="1" applyNumberFormat="1" applyFont="1" applyFill="1" applyBorder="1" applyAlignment="1"/>
    <xf numFmtId="0" fontId="2" fillId="0" borderId="0" xfId="0" applyFont="1" applyFill="1" applyAlignment="1">
      <alignment horizontal="center"/>
    </xf>
    <xf numFmtId="0" fontId="35" fillId="0" borderId="10" xfId="0" applyFont="1" applyBorder="1"/>
    <xf numFmtId="0" fontId="31" fillId="0" borderId="0" xfId="0" applyFont="1" applyBorder="1"/>
    <xf numFmtId="0" fontId="0" fillId="0" borderId="0" xfId="0" applyFill="1" applyAlignment="1"/>
    <xf numFmtId="0" fontId="43" fillId="0" borderId="0" xfId="0" applyFont="1" applyFill="1" applyBorder="1"/>
    <xf numFmtId="0" fontId="7" fillId="0" borderId="2" xfId="0" applyFont="1" applyFill="1" applyBorder="1" applyAlignment="1"/>
    <xf numFmtId="0" fontId="0" fillId="0" borderId="0" xfId="0" applyBorder="1" applyAlignment="1">
      <alignment horizontal="center"/>
    </xf>
    <xf numFmtId="0" fontId="0" fillId="0" borderId="7" xfId="0" applyBorder="1" applyAlignment="1">
      <alignment horizontal="center"/>
    </xf>
    <xf numFmtId="164" fontId="48" fillId="0" borderId="0" xfId="1" applyNumberFormat="1" applyFont="1" applyFill="1" applyAlignment="1"/>
    <xf numFmtId="0" fontId="48" fillId="0" borderId="0" xfId="0" applyFont="1" applyFill="1"/>
    <xf numFmtId="0" fontId="7" fillId="0" borderId="2" xfId="0" applyFont="1" applyFill="1" applyBorder="1" applyAlignment="1">
      <alignment horizontal="left"/>
    </xf>
    <xf numFmtId="164" fontId="5" fillId="0" borderId="0" xfId="1" applyNumberFormat="1" applyFont="1" applyFill="1"/>
    <xf numFmtId="164" fontId="14" fillId="0" borderId="0" xfId="0" applyNumberFormat="1" applyFont="1" applyFill="1"/>
    <xf numFmtId="9" fontId="14" fillId="0" borderId="0" xfId="0" applyNumberFormat="1" applyFont="1" applyFill="1"/>
    <xf numFmtId="0" fontId="28" fillId="0" borderId="0" xfId="0" applyNumberFormat="1" applyFont="1" applyFill="1"/>
    <xf numFmtId="0" fontId="12" fillId="0" borderId="0" xfId="0" applyFont="1" applyFill="1" applyAlignment="1"/>
    <xf numFmtId="0" fontId="35" fillId="0" borderId="9" xfId="0" applyFont="1" applyFill="1" applyBorder="1"/>
    <xf numFmtId="0" fontId="2" fillId="0" borderId="0" xfId="0" applyFont="1" applyFill="1"/>
    <xf numFmtId="0" fontId="13" fillId="0" borderId="0" xfId="0" applyFont="1" applyFill="1" applyBorder="1"/>
    <xf numFmtId="0" fontId="10" fillId="0" borderId="0" xfId="0" applyFont="1" applyFill="1" applyAlignment="1"/>
    <xf numFmtId="0" fontId="10" fillId="0" borderId="0" xfId="0" applyFont="1" applyFill="1" applyBorder="1" applyAlignment="1"/>
    <xf numFmtId="0" fontId="5" fillId="0" borderId="0" xfId="0" applyFont="1" applyFill="1" applyAlignment="1">
      <alignment wrapText="1"/>
    </xf>
    <xf numFmtId="0" fontId="41" fillId="0" borderId="0" xfId="0" applyFont="1" applyFill="1"/>
    <xf numFmtId="0" fontId="3" fillId="0" borderId="0" xfId="0" applyFont="1" applyFill="1" applyAlignment="1">
      <alignment horizontal="center"/>
    </xf>
    <xf numFmtId="3" fontId="7" fillId="0" borderId="4" xfId="0" applyNumberFormat="1" applyFont="1" applyBorder="1"/>
    <xf numFmtId="3" fontId="16" fillId="0" borderId="5" xfId="0" applyNumberFormat="1" applyFont="1" applyFill="1" applyBorder="1" applyAlignment="1"/>
    <xf numFmtId="0" fontId="16" fillId="0" borderId="0" xfId="0" applyNumberFormat="1" applyFont="1" applyFill="1" applyBorder="1" applyAlignment="1">
      <alignment horizontal="center"/>
    </xf>
    <xf numFmtId="0" fontId="49" fillId="0" borderId="0" xfId="0" applyFont="1" applyBorder="1"/>
    <xf numFmtId="43" fontId="35" fillId="4" borderId="8" xfId="1" applyNumberFormat="1" applyFont="1" applyFill="1" applyBorder="1"/>
    <xf numFmtId="164" fontId="38" fillId="0" borderId="10" xfId="1" applyNumberFormat="1" applyFont="1" applyBorder="1" applyAlignment="1">
      <alignment horizontal="center"/>
    </xf>
    <xf numFmtId="164" fontId="38" fillId="0" borderId="8" xfId="0" applyNumberFormat="1" applyFont="1" applyBorder="1"/>
    <xf numFmtId="164" fontId="38" fillId="0" borderId="16" xfId="0" applyNumberFormat="1" applyFont="1" applyBorder="1"/>
    <xf numFmtId="167" fontId="0" fillId="0" borderId="0" xfId="0" applyNumberFormat="1"/>
    <xf numFmtId="0" fontId="51" fillId="0" borderId="0" xfId="0" applyFont="1" applyFill="1" applyBorder="1" applyAlignment="1">
      <alignment horizontal="left"/>
    </xf>
    <xf numFmtId="0" fontId="51" fillId="0" borderId="0" xfId="0" applyFont="1" applyFill="1" applyBorder="1" applyAlignment="1">
      <alignment horizontal="center"/>
    </xf>
    <xf numFmtId="0" fontId="51" fillId="0" borderId="7" xfId="0" applyFont="1" applyFill="1" applyBorder="1" applyAlignment="1">
      <alignment horizontal="center"/>
    </xf>
    <xf numFmtId="0" fontId="3" fillId="0" borderId="0" xfId="0" applyNumberFormat="1" applyFont="1" applyFill="1" applyAlignment="1">
      <alignment horizontal="left"/>
    </xf>
    <xf numFmtId="0" fontId="52" fillId="0" borderId="0" xfId="0" applyNumberFormat="1" applyFont="1" applyFill="1" applyAlignment="1">
      <alignment horizontal="left"/>
    </xf>
    <xf numFmtId="0" fontId="53" fillId="0" borderId="8" xfId="0" applyFont="1" applyFill="1" applyBorder="1"/>
    <xf numFmtId="3" fontId="3" fillId="0" borderId="0" xfId="0" applyNumberFormat="1" applyFont="1" applyFill="1" applyAlignment="1">
      <alignment horizontal="right"/>
    </xf>
    <xf numFmtId="37" fontId="3" fillId="0" borderId="0" xfId="0" applyNumberFormat="1" applyFont="1" applyBorder="1" applyAlignment="1">
      <alignment horizontal="right"/>
    </xf>
    <xf numFmtId="4" fontId="8" fillId="0" borderId="0" xfId="0" applyNumberFormat="1" applyFont="1" applyFill="1" applyAlignment="1">
      <alignment horizontal="right"/>
    </xf>
    <xf numFmtId="3" fontId="8" fillId="0" borderId="0" xfId="0" applyNumberFormat="1" applyFont="1" applyFill="1" applyAlignment="1">
      <alignment horizontal="right"/>
    </xf>
    <xf numFmtId="0" fontId="2" fillId="0" borderId="0" xfId="0" applyFont="1" applyFill="1" applyAlignment="1">
      <alignment horizontal="left"/>
    </xf>
    <xf numFmtId="0" fontId="13" fillId="0" borderId="0" xfId="0" applyFont="1" applyFill="1" applyAlignment="1">
      <alignment wrapText="1"/>
    </xf>
    <xf numFmtId="164" fontId="13" fillId="0" borderId="0" xfId="0" applyNumberFormat="1" applyFont="1" applyFill="1"/>
    <xf numFmtId="167" fontId="3" fillId="0" borderId="0" xfId="2" applyNumberFormat="1" applyFont="1" applyBorder="1" applyAlignment="1">
      <alignment horizontal="right"/>
    </xf>
    <xf numFmtId="0" fontId="48" fillId="0" borderId="0" xfId="0" applyFont="1" applyFill="1" applyAlignment="1">
      <alignment horizontal="center"/>
    </xf>
    <xf numFmtId="0" fontId="13" fillId="0" borderId="0" xfId="0" applyFont="1" applyFill="1" applyAlignment="1">
      <alignment horizontal="center"/>
    </xf>
    <xf numFmtId="0" fontId="48" fillId="0" borderId="0" xfId="0" applyFont="1"/>
    <xf numFmtId="0" fontId="45" fillId="0" borderId="0" xfId="0" applyFont="1" applyFill="1" applyAlignment="1"/>
    <xf numFmtId="164" fontId="48" fillId="0" borderId="0" xfId="1" applyNumberFormat="1" applyFont="1" applyFill="1" applyBorder="1" applyAlignment="1"/>
    <xf numFmtId="0" fontId="13" fillId="0" borderId="0" xfId="0" applyFont="1" applyFill="1" applyAlignment="1">
      <alignment horizontal="center" vertical="top"/>
    </xf>
    <xf numFmtId="0" fontId="35" fillId="0" borderId="0" xfId="0" applyFont="1" applyFill="1" applyAlignment="1">
      <alignment vertical="center" wrapText="1"/>
    </xf>
    <xf numFmtId="0" fontId="7" fillId="0" borderId="0" xfId="0" applyNumberFormat="1" applyFont="1" applyFill="1"/>
    <xf numFmtId="0" fontId="16" fillId="0" borderId="5" xfId="0" applyNumberFormat="1" applyFont="1" applyFill="1" applyBorder="1" applyAlignment="1"/>
    <xf numFmtId="0" fontId="11" fillId="0" borderId="2" xfId="0" applyFont="1" applyFill="1" applyBorder="1" applyAlignment="1"/>
    <xf numFmtId="0" fontId="5" fillId="0" borderId="4" xfId="0" applyFont="1" applyFill="1" applyBorder="1"/>
    <xf numFmtId="0" fontId="5" fillId="0" borderId="2" xfId="0" applyNumberFormat="1" applyFont="1" applyFill="1" applyBorder="1" applyAlignment="1">
      <alignment horizontal="left"/>
    </xf>
    <xf numFmtId="0" fontId="8" fillId="0" borderId="0" xfId="0" applyNumberFormat="1" applyFont="1" applyFill="1" applyAlignment="1"/>
    <xf numFmtId="0" fontId="24" fillId="3" borderId="0" xfId="0" applyNumberFormat="1" applyFont="1" applyFill="1" applyAlignment="1">
      <alignment horizontal="left"/>
    </xf>
    <xf numFmtId="0" fontId="2" fillId="0" borderId="0" xfId="0" applyFont="1"/>
    <xf numFmtId="0" fontId="0" fillId="0" borderId="0" xfId="0" applyFill="1" applyAlignment="1">
      <alignment horizontal="left" wrapText="1"/>
    </xf>
    <xf numFmtId="0" fontId="0" fillId="0" borderId="10" xfId="0" applyBorder="1" applyAlignment="1">
      <alignment horizontal="center"/>
    </xf>
    <xf numFmtId="0" fontId="0" fillId="0" borderId="10" xfId="0" applyBorder="1"/>
    <xf numFmtId="0" fontId="0" fillId="0" borderId="11" xfId="0" applyBorder="1" applyAlignment="1">
      <alignment horizontal="center"/>
    </xf>
    <xf numFmtId="0" fontId="35" fillId="0" borderId="12" xfId="0" applyFont="1" applyBorder="1"/>
    <xf numFmtId="0" fontId="35" fillId="0" borderId="13" xfId="0" applyFont="1" applyBorder="1"/>
    <xf numFmtId="0" fontId="35" fillId="0" borderId="13" xfId="0" applyFont="1" applyFill="1" applyBorder="1" applyAlignment="1">
      <alignment horizontal="center"/>
    </xf>
    <xf numFmtId="0" fontId="35" fillId="0" borderId="14" xfId="0" applyFont="1" applyBorder="1"/>
    <xf numFmtId="2" fontId="35" fillId="4" borderId="8" xfId="0" applyNumberFormat="1" applyFont="1" applyFill="1" applyBorder="1" applyAlignment="1">
      <alignment horizontal="center"/>
    </xf>
    <xf numFmtId="3" fontId="17" fillId="0" borderId="4" xfId="0" applyNumberFormat="1" applyFont="1" applyFill="1" applyBorder="1" applyAlignment="1">
      <alignment horizontal="right"/>
    </xf>
    <xf numFmtId="10" fontId="7" fillId="0" borderId="0" xfId="0" applyNumberFormat="1" applyFont="1" applyFill="1"/>
    <xf numFmtId="0" fontId="35" fillId="0" borderId="15" xfId="0" applyFont="1" applyFill="1" applyBorder="1"/>
    <xf numFmtId="0" fontId="54" fillId="0" borderId="0" xfId="0" applyNumberFormat="1" applyFont="1" applyFill="1" applyBorder="1" applyAlignment="1">
      <alignment horizontal="center"/>
    </xf>
    <xf numFmtId="0" fontId="54" fillId="0" borderId="0" xfId="0" applyNumberFormat="1" applyFont="1" applyFill="1" applyBorder="1" applyAlignment="1">
      <alignment horizontal="left"/>
    </xf>
    <xf numFmtId="0" fontId="58" fillId="0" borderId="0" xfId="0" applyFont="1" applyFill="1" applyBorder="1" applyAlignment="1"/>
    <xf numFmtId="0" fontId="59" fillId="0" borderId="0" xfId="0" applyFont="1" applyFill="1" applyBorder="1" applyAlignment="1">
      <alignment horizontal="center"/>
    </xf>
    <xf numFmtId="37" fontId="60" fillId="0" borderId="0" xfId="0" applyNumberFormat="1" applyFont="1" applyFill="1" applyBorder="1" applyAlignment="1">
      <alignment horizontal="left"/>
    </xf>
    <xf numFmtId="0" fontId="61" fillId="0" borderId="0" xfId="0" applyNumberFormat="1" applyFont="1" applyFill="1" applyBorder="1" applyAlignment="1">
      <alignment horizontal="center"/>
    </xf>
    <xf numFmtId="0" fontId="62" fillId="0" borderId="0" xfId="0" applyNumberFormat="1" applyFont="1" applyFill="1" applyAlignment="1">
      <alignment horizontal="center"/>
    </xf>
    <xf numFmtId="0" fontId="63" fillId="0" borderId="0" xfId="0" applyNumberFormat="1" applyFont="1" applyFill="1" applyBorder="1" applyAlignment="1">
      <alignment horizontal="left"/>
    </xf>
    <xf numFmtId="0" fontId="64" fillId="0" borderId="0" xfId="0" applyNumberFormat="1" applyFont="1" applyFill="1" applyBorder="1" applyAlignment="1">
      <alignment horizontal="center"/>
    </xf>
    <xf numFmtId="0" fontId="64" fillId="0" borderId="0" xfId="0" applyNumberFormat="1" applyFont="1" applyFill="1" applyAlignment="1">
      <alignment horizontal="left"/>
    </xf>
    <xf numFmtId="0" fontId="64" fillId="0" borderId="0" xfId="0" applyFont="1" applyFill="1" applyAlignment="1"/>
    <xf numFmtId="0" fontId="65" fillId="0" borderId="0" xfId="0" applyNumberFormat="1" applyFont="1" applyFill="1" applyAlignment="1">
      <alignment horizontal="left"/>
    </xf>
    <xf numFmtId="0" fontId="64" fillId="0" borderId="0" xfId="0" applyFont="1" applyFill="1"/>
    <xf numFmtId="0" fontId="64" fillId="0" borderId="0" xfId="0" applyFont="1" applyFill="1" applyAlignment="1">
      <alignment horizontal="left"/>
    </xf>
    <xf numFmtId="0" fontId="64" fillId="0" borderId="0" xfId="0" applyFont="1" applyFill="1" applyAlignment="1">
      <alignment horizontal="center"/>
    </xf>
    <xf numFmtId="0" fontId="64" fillId="0" borderId="0" xfId="0" applyFont="1" applyAlignment="1">
      <alignment horizontal="left"/>
    </xf>
    <xf numFmtId="0" fontId="64" fillId="0" borderId="0" xfId="0" applyFont="1" applyAlignment="1"/>
    <xf numFmtId="0" fontId="64" fillId="0" borderId="0" xfId="0" applyFont="1" applyAlignment="1">
      <alignment horizontal="center"/>
    </xf>
    <xf numFmtId="0" fontId="64" fillId="0" borderId="0" xfId="0" applyFont="1"/>
    <xf numFmtId="37" fontId="16" fillId="0" borderId="0" xfId="0" applyNumberFormat="1" applyFont="1" applyFill="1" applyBorder="1" applyAlignment="1">
      <alignment horizontal="right"/>
    </xf>
    <xf numFmtId="0" fontId="42" fillId="0" borderId="0" xfId="0" applyFont="1" applyFill="1" applyAlignment="1"/>
    <xf numFmtId="0" fontId="42" fillId="0" borderId="0" xfId="0" applyFont="1" applyFill="1"/>
    <xf numFmtId="0" fontId="42" fillId="0" borderId="0" xfId="0" applyFont="1"/>
    <xf numFmtId="37" fontId="42" fillId="0" borderId="0" xfId="0" applyNumberFormat="1" applyFont="1" applyFill="1" applyBorder="1" applyAlignment="1">
      <alignment horizontal="left"/>
    </xf>
    <xf numFmtId="0" fontId="42" fillId="0" borderId="0" xfId="0" applyFont="1" applyFill="1" applyBorder="1" applyAlignment="1">
      <alignment horizontal="left"/>
    </xf>
    <xf numFmtId="175" fontId="42" fillId="0" borderId="0" xfId="0" applyNumberFormat="1" applyFont="1" applyFill="1" applyBorder="1" applyAlignment="1">
      <alignment horizontal="left"/>
    </xf>
    <xf numFmtId="0" fontId="42" fillId="0" borderId="0" xfId="0" applyFont="1" applyFill="1" applyAlignment="1">
      <alignment horizontal="center"/>
    </xf>
    <xf numFmtId="0" fontId="13" fillId="0" borderId="0" xfId="0" applyFont="1" applyFill="1" applyAlignment="1">
      <alignment horizontal="left"/>
    </xf>
    <xf numFmtId="0" fontId="2" fillId="0" borderId="0" xfId="0" applyFont="1" applyFill="1" applyAlignment="1"/>
    <xf numFmtId="0" fontId="35" fillId="0" borderId="16" xfId="0" applyFont="1" applyFill="1" applyBorder="1"/>
    <xf numFmtId="0" fontId="38" fillId="0" borderId="9" xfId="0" applyFont="1" applyFill="1" applyBorder="1" applyAlignment="1">
      <alignment horizontal="center" wrapText="1"/>
    </xf>
    <xf numFmtId="0" fontId="38" fillId="0" borderId="11" xfId="0" applyFont="1" applyFill="1" applyBorder="1" applyAlignment="1">
      <alignment horizontal="center" wrapText="1"/>
    </xf>
    <xf numFmtId="167" fontId="35" fillId="0" borderId="8" xfId="0" applyNumberFormat="1" applyFont="1" applyBorder="1"/>
    <xf numFmtId="43" fontId="66" fillId="4" borderId="8" xfId="1" applyNumberFormat="1" applyFont="1" applyFill="1" applyBorder="1"/>
    <xf numFmtId="0" fontId="5" fillId="0" borderId="0" xfId="0" applyNumberFormat="1" applyFont="1" applyFill="1" applyBorder="1" applyAlignment="1">
      <alignment horizontal="left"/>
    </xf>
    <xf numFmtId="164" fontId="5" fillId="0" borderId="4" xfId="1" applyNumberFormat="1" applyFont="1" applyFill="1" applyBorder="1"/>
    <xf numFmtId="3" fontId="3" fillId="0" borderId="4" xfId="0" applyNumberFormat="1" applyFont="1" applyBorder="1" applyAlignment="1"/>
    <xf numFmtId="170" fontId="7" fillId="0" borderId="0" xfId="0" applyNumberFormat="1" applyFont="1" applyFill="1" applyAlignment="1"/>
    <xf numFmtId="3" fontId="7" fillId="0" borderId="4" xfId="0" applyNumberFormat="1" applyFont="1" applyFill="1" applyBorder="1" applyAlignment="1">
      <alignment horizontal="left"/>
    </xf>
    <xf numFmtId="0" fontId="3" fillId="0" borderId="0" xfId="0" applyFont="1" applyAlignment="1">
      <alignment horizontal="left"/>
    </xf>
    <xf numFmtId="10" fontId="5" fillId="0" borderId="0" xfId="6" applyNumberFormat="1" applyFont="1" applyFill="1" applyBorder="1"/>
    <xf numFmtId="0" fontId="49" fillId="0" borderId="0" xfId="0" applyFont="1" applyFill="1" applyBorder="1"/>
    <xf numFmtId="0" fontId="50" fillId="0" borderId="0" xfId="0" applyFont="1" applyFill="1" applyBorder="1" applyAlignment="1">
      <alignment horizontal="left"/>
    </xf>
    <xf numFmtId="164" fontId="35" fillId="0" borderId="7" xfId="1" applyNumberFormat="1" applyFont="1" applyFill="1" applyBorder="1" applyAlignment="1">
      <alignment horizontal="center"/>
    </xf>
    <xf numFmtId="0" fontId="13" fillId="0" borderId="0" xfId="0" applyFont="1" applyAlignment="1">
      <alignment horizontal="left"/>
    </xf>
    <xf numFmtId="0" fontId="9" fillId="0" borderId="0" xfId="0" applyFont="1" applyFill="1"/>
    <xf numFmtId="0" fontId="67" fillId="0" borderId="0" xfId="0" applyFont="1" applyFill="1"/>
    <xf numFmtId="0" fontId="40" fillId="0" borderId="0" xfId="0" applyFont="1" applyFill="1"/>
    <xf numFmtId="172" fontId="35" fillId="0" borderId="8" xfId="0" applyNumberFormat="1" applyFont="1" applyBorder="1"/>
    <xf numFmtId="0" fontId="27" fillId="0" borderId="0" xfId="0" applyFont="1" applyFill="1" applyAlignment="1">
      <alignment vertical="center" wrapText="1"/>
    </xf>
    <xf numFmtId="0" fontId="0" fillId="0" borderId="4" xfId="0" applyBorder="1" applyAlignment="1">
      <alignment horizontal="center"/>
    </xf>
    <xf numFmtId="2" fontId="0" fillId="0" borderId="0" xfId="0" applyNumberFormat="1"/>
    <xf numFmtId="49" fontId="0" fillId="0" borderId="0" xfId="0" applyNumberFormat="1" applyAlignment="1">
      <alignment horizontal="left" indent="1"/>
    </xf>
    <xf numFmtId="0" fontId="47" fillId="0" borderId="0" xfId="0" applyFont="1" applyFill="1" applyBorder="1"/>
    <xf numFmtId="0" fontId="2" fillId="0" borderId="0" xfId="0" applyFont="1" applyFill="1" applyBorder="1" applyAlignment="1">
      <alignment horizontal="center" wrapText="1"/>
    </xf>
    <xf numFmtId="0" fontId="13" fillId="0" borderId="0" xfId="0" applyFont="1" applyFill="1" applyBorder="1" applyAlignment="1">
      <alignment horizontal="center" wrapText="1"/>
    </xf>
    <xf numFmtId="0" fontId="2" fillId="0" borderId="0" xfId="0" applyFont="1" applyFill="1" applyBorder="1" applyAlignment="1">
      <alignment horizontal="center"/>
    </xf>
    <xf numFmtId="0" fontId="68" fillId="0" borderId="0" xfId="0" applyFont="1" applyFill="1" applyBorder="1" applyAlignment="1"/>
    <xf numFmtId="0" fontId="69" fillId="0" borderId="0" xfId="0" applyFont="1" applyFill="1" applyBorder="1" applyAlignment="1">
      <alignment horizontal="center"/>
    </xf>
    <xf numFmtId="0" fontId="68" fillId="0" borderId="0" xfId="0" applyFont="1" applyFill="1" applyAlignment="1"/>
    <xf numFmtId="0" fontId="68" fillId="0" borderId="0" xfId="0" applyNumberFormat="1" applyFont="1" applyFill="1" applyBorder="1" applyAlignment="1">
      <alignment horizontal="center"/>
    </xf>
    <xf numFmtId="0" fontId="25" fillId="0" borderId="0" xfId="0" applyFont="1" applyFill="1" applyBorder="1" applyAlignment="1"/>
    <xf numFmtId="0" fontId="26" fillId="0" borderId="0" xfId="0" applyFont="1" applyFill="1" applyBorder="1" applyAlignment="1">
      <alignment horizontal="center"/>
    </xf>
    <xf numFmtId="172" fontId="11" fillId="0" borderId="0" xfId="6" applyNumberFormat="1" applyFont="1" applyAlignment="1"/>
    <xf numFmtId="3" fontId="11" fillId="0" borderId="0" xfId="0" applyNumberFormat="1" applyFont="1" applyFill="1" applyBorder="1"/>
    <xf numFmtId="0" fontId="11" fillId="0" borderId="0" xfId="0" applyNumberFormat="1" applyFont="1" applyAlignment="1">
      <alignment horizontal="left"/>
    </xf>
    <xf numFmtId="0" fontId="20" fillId="0" borderId="0" xfId="0" applyFont="1" applyFill="1" applyAlignment="1"/>
    <xf numFmtId="3" fontId="5" fillId="0" borderId="0" xfId="0" applyNumberFormat="1" applyFont="1" applyFill="1" applyBorder="1" applyAlignment="1"/>
    <xf numFmtId="0" fontId="3" fillId="0" borderId="0" xfId="0" applyNumberFormat="1" applyFont="1" applyBorder="1" applyAlignment="1">
      <alignment horizontal="center"/>
    </xf>
    <xf numFmtId="0" fontId="11" fillId="0" borderId="0" xfId="0" applyNumberFormat="1" applyFont="1" applyFill="1" applyBorder="1" applyAlignment="1"/>
    <xf numFmtId="3" fontId="11" fillId="0" borderId="0" xfId="0" applyNumberFormat="1" applyFont="1" applyBorder="1" applyAlignment="1"/>
    <xf numFmtId="0" fontId="11" fillId="0" borderId="0" xfId="0" applyNumberFormat="1" applyFont="1" applyBorder="1" applyAlignment="1">
      <alignment horizontal="center"/>
    </xf>
    <xf numFmtId="0" fontId="11" fillId="0" borderId="0" xfId="0" applyNumberFormat="1" applyFont="1" applyBorder="1" applyAlignment="1">
      <alignment horizontal="left"/>
    </xf>
    <xf numFmtId="0" fontId="5" fillId="0" borderId="0" xfId="0" applyNumberFormat="1" applyFont="1" applyFill="1" applyBorder="1" applyAlignment="1"/>
    <xf numFmtId="3" fontId="5" fillId="0" borderId="0" xfId="0" applyNumberFormat="1" applyFont="1" applyFill="1" applyBorder="1"/>
    <xf numFmtId="0" fontId="5" fillId="0" borderId="4" xfId="0" applyNumberFormat="1" applyFont="1" applyFill="1" applyBorder="1" applyAlignment="1"/>
    <xf numFmtId="0" fontId="11" fillId="0" borderId="4" xfId="0" applyFont="1" applyFill="1" applyBorder="1" applyAlignment="1"/>
    <xf numFmtId="3" fontId="5" fillId="0" borderId="4" xfId="0" applyNumberFormat="1" applyFont="1" applyFill="1" applyBorder="1" applyAlignment="1"/>
    <xf numFmtId="3" fontId="5" fillId="0" borderId="4" xfId="0" applyNumberFormat="1" applyFont="1" applyFill="1" applyBorder="1"/>
    <xf numFmtId="0" fontId="11" fillId="0" borderId="2" xfId="0" applyFont="1" applyFill="1" applyBorder="1"/>
    <xf numFmtId="0" fontId="11" fillId="0" borderId="2" xfId="0" applyFont="1" applyBorder="1" applyAlignment="1"/>
    <xf numFmtId="168" fontId="5" fillId="0" borderId="0" xfId="0" applyNumberFormat="1" applyFont="1" applyBorder="1" applyAlignment="1">
      <alignment horizontal="left"/>
    </xf>
    <xf numFmtId="0" fontId="11" fillId="0" borderId="0" xfId="0" applyNumberFormat="1" applyFont="1" applyFill="1" applyAlignment="1">
      <alignment horizontal="center"/>
    </xf>
    <xf numFmtId="0" fontId="11" fillId="0" borderId="0" xfId="0" applyNumberFormat="1" applyFont="1" applyFill="1" applyAlignment="1"/>
    <xf numFmtId="3" fontId="5" fillId="0" borderId="0" xfId="0" applyNumberFormat="1" applyFont="1" applyFill="1" applyAlignment="1"/>
    <xf numFmtId="3" fontId="5" fillId="0" borderId="0" xfId="0" applyNumberFormat="1" applyFont="1" applyAlignment="1"/>
    <xf numFmtId="0" fontId="5" fillId="0" borderId="2" xfId="0" applyNumberFormat="1" applyFont="1" applyFill="1" applyBorder="1" applyAlignment="1"/>
    <xf numFmtId="3" fontId="5" fillId="0" borderId="2" xfId="0" applyNumberFormat="1" applyFont="1" applyBorder="1" applyAlignment="1"/>
    <xf numFmtId="3" fontId="5" fillId="0" borderId="2" xfId="0" applyNumberFormat="1" applyFont="1" applyFill="1" applyBorder="1" applyAlignment="1"/>
    <xf numFmtId="0" fontId="5" fillId="0" borderId="0" xfId="0" applyNumberFormat="1" applyFont="1" applyAlignment="1"/>
    <xf numFmtId="0" fontId="11" fillId="0" borderId="3" xfId="0" applyNumberFormat="1" applyFont="1" applyFill="1" applyBorder="1" applyAlignment="1"/>
    <xf numFmtId="3" fontId="5" fillId="0" borderId="3" xfId="0" applyNumberFormat="1" applyFont="1" applyFill="1" applyBorder="1" applyAlignment="1"/>
    <xf numFmtId="0" fontId="11" fillId="0" borderId="3" xfId="0" applyFont="1" applyBorder="1"/>
    <xf numFmtId="0" fontId="5" fillId="0" borderId="0" xfId="0" applyNumberFormat="1" applyFont="1" applyFill="1" applyAlignment="1"/>
    <xf numFmtId="3" fontId="11" fillId="0" borderId="0" xfId="0" applyNumberFormat="1" applyFont="1" applyFill="1" applyAlignment="1"/>
    <xf numFmtId="3" fontId="5" fillId="0" borderId="0" xfId="0" applyNumberFormat="1" applyFont="1" applyBorder="1" applyAlignment="1"/>
    <xf numFmtId="0" fontId="11" fillId="0" borderId="0" xfId="0" applyNumberFormat="1" applyFont="1" applyFill="1" applyAlignment="1">
      <alignment horizontal="right"/>
    </xf>
    <xf numFmtId="3" fontId="11" fillId="0" borderId="0" xfId="0" applyNumberFormat="1" applyFont="1" applyFill="1" applyBorder="1" applyAlignment="1"/>
    <xf numFmtId="0" fontId="11" fillId="0" borderId="2" xfId="0" applyNumberFormat="1" applyFont="1" applyFill="1" applyBorder="1" applyAlignment="1"/>
    <xf numFmtId="0" fontId="11" fillId="0" borderId="3" xfId="0" applyFont="1" applyFill="1" applyBorder="1"/>
    <xf numFmtId="3" fontId="11" fillId="0" borderId="3" xfId="0" applyNumberFormat="1" applyFont="1" applyFill="1" applyBorder="1" applyAlignment="1"/>
    <xf numFmtId="3" fontId="11" fillId="0" borderId="3" xfId="0" applyNumberFormat="1" applyFont="1" applyBorder="1"/>
    <xf numFmtId="168" fontId="5" fillId="0" borderId="0" xfId="0" applyNumberFormat="1" applyFont="1" applyAlignment="1">
      <alignment horizontal="center"/>
    </xf>
    <xf numFmtId="0" fontId="11" fillId="0" borderId="3" xfId="0" applyFont="1" applyBorder="1" applyAlignment="1">
      <alignment horizontal="left"/>
    </xf>
    <xf numFmtId="0" fontId="11" fillId="0" borderId="0" xfId="0" applyFont="1" applyFill="1" applyAlignment="1"/>
    <xf numFmtId="0" fontId="5" fillId="0" borderId="0" xfId="0" applyFont="1" applyFill="1" applyBorder="1" applyAlignment="1">
      <alignment horizontal="right"/>
    </xf>
    <xf numFmtId="0" fontId="11" fillId="0" borderId="0" xfId="0" applyNumberFormat="1" applyFont="1" applyFill="1" applyAlignment="1">
      <alignment horizontal="left"/>
    </xf>
    <xf numFmtId="3" fontId="5" fillId="0" borderId="0" xfId="0" applyNumberFormat="1" applyFont="1" applyFill="1" applyAlignment="1">
      <alignment horizontal="right"/>
    </xf>
    <xf numFmtId="10" fontId="5" fillId="0" borderId="0" xfId="0" applyNumberFormat="1" applyFont="1" applyFill="1" applyAlignment="1">
      <alignment horizontal="right"/>
    </xf>
    <xf numFmtId="0" fontId="11" fillId="0" borderId="2" xfId="0" applyNumberFormat="1" applyFont="1" applyFill="1" applyBorder="1" applyAlignment="1">
      <alignment horizontal="left"/>
    </xf>
    <xf numFmtId="3" fontId="11" fillId="0" borderId="2" xfId="0" applyNumberFormat="1" applyFont="1" applyBorder="1" applyAlignment="1">
      <alignment horizontal="right"/>
    </xf>
    <xf numFmtId="3" fontId="11" fillId="0" borderId="3" xfId="0" applyNumberFormat="1" applyFont="1" applyFill="1" applyBorder="1"/>
    <xf numFmtId="3" fontId="11" fillId="0" borderId="2" xfId="0" applyNumberFormat="1" applyFont="1" applyFill="1" applyBorder="1" applyAlignment="1"/>
    <xf numFmtId="3" fontId="11" fillId="0" borderId="0" xfId="0" applyNumberFormat="1" applyFont="1" applyFill="1" applyAlignment="1">
      <alignment horizontal="right"/>
    </xf>
    <xf numFmtId="3" fontId="11" fillId="0" borderId="2" xfId="0" applyNumberFormat="1" applyFont="1" applyFill="1" applyBorder="1" applyAlignment="1">
      <alignment horizontal="right"/>
    </xf>
    <xf numFmtId="3" fontId="5" fillId="0" borderId="0" xfId="0" applyNumberFormat="1" applyFont="1" applyBorder="1" applyAlignment="1">
      <alignment horizontal="right"/>
    </xf>
    <xf numFmtId="0" fontId="11" fillId="0" borderId="3" xfId="0" applyNumberFormat="1" applyFont="1" applyBorder="1" applyAlignment="1">
      <alignment horizontal="left"/>
    </xf>
    <xf numFmtId="0" fontId="11" fillId="0" borderId="3" xfId="0" applyFont="1" applyBorder="1" applyAlignment="1"/>
    <xf numFmtId="3" fontId="11" fillId="0" borderId="3" xfId="0" applyNumberFormat="1" applyFont="1" applyBorder="1" applyAlignment="1"/>
    <xf numFmtId="3" fontId="11" fillId="0" borderId="3" xfId="0" applyNumberFormat="1" applyFont="1" applyBorder="1" applyAlignment="1">
      <alignment horizontal="right"/>
    </xf>
    <xf numFmtId="165" fontId="5" fillId="0" borderId="4" xfId="3" applyFont="1" applyFill="1" applyBorder="1" applyAlignment="1">
      <alignment vertical="center"/>
    </xf>
    <xf numFmtId="3" fontId="5" fillId="0" borderId="4" xfId="0" applyNumberFormat="1" applyFont="1" applyBorder="1" applyAlignment="1"/>
    <xf numFmtId="3" fontId="11" fillId="0" borderId="0" xfId="0" applyNumberFormat="1" applyFont="1" applyAlignment="1"/>
    <xf numFmtId="0" fontId="11" fillId="0" borderId="0" xfId="0" applyNumberFormat="1" applyFont="1" applyAlignment="1"/>
    <xf numFmtId="171" fontId="5" fillId="0" borderId="0" xfId="0" applyNumberFormat="1" applyFont="1" applyAlignment="1"/>
    <xf numFmtId="3" fontId="5" fillId="0" borderId="0" xfId="0" applyNumberFormat="1" applyFont="1" applyAlignment="1">
      <alignment horizontal="left"/>
    </xf>
    <xf numFmtId="3" fontId="5" fillId="0" borderId="0" xfId="0" quotePrefix="1" applyNumberFormat="1" applyFont="1" applyAlignment="1">
      <alignment horizontal="right"/>
    </xf>
    <xf numFmtId="0" fontId="5" fillId="0" borderId="4" xfId="0" applyNumberFormat="1" applyFont="1" applyBorder="1" applyAlignment="1"/>
    <xf numFmtId="3" fontId="5" fillId="0" borderId="4" xfId="0" applyNumberFormat="1" applyFont="1" applyBorder="1" applyAlignment="1">
      <alignment horizontal="right"/>
    </xf>
    <xf numFmtId="0" fontId="11" fillId="0" borderId="0" xfId="0" applyNumberFormat="1" applyFont="1" applyBorder="1" applyAlignment="1"/>
    <xf numFmtId="0" fontId="11" fillId="0" borderId="0" xfId="0" applyFont="1" applyBorder="1" applyAlignment="1"/>
    <xf numFmtId="3" fontId="11" fillId="0" borderId="0" xfId="0" quotePrefix="1" applyNumberFormat="1" applyFont="1" applyBorder="1" applyAlignment="1">
      <alignment horizontal="right"/>
    </xf>
    <xf numFmtId="166" fontId="11" fillId="0" borderId="0" xfId="0" applyNumberFormat="1" applyFont="1" applyAlignment="1"/>
    <xf numFmtId="0" fontId="11" fillId="0" borderId="0" xfId="0" applyNumberFormat="1" applyFont="1" applyAlignment="1">
      <alignment horizontal="center"/>
    </xf>
    <xf numFmtId="168" fontId="11" fillId="0" borderId="3" xfId="0" applyNumberFormat="1" applyFont="1" applyBorder="1" applyAlignment="1">
      <alignment horizontal="left"/>
    </xf>
    <xf numFmtId="169" fontId="11" fillId="0" borderId="3" xfId="0" applyNumberFormat="1" applyFont="1" applyBorder="1" applyAlignment="1">
      <alignment horizontal="center"/>
    </xf>
    <xf numFmtId="168" fontId="11" fillId="0" borderId="0" xfId="0" applyNumberFormat="1" applyFont="1" applyBorder="1" applyAlignment="1">
      <alignment horizontal="left"/>
    </xf>
    <xf numFmtId="169" fontId="5" fillId="0" borderId="0" xfId="0" applyNumberFormat="1" applyFont="1" applyAlignment="1">
      <alignment horizontal="center"/>
    </xf>
    <xf numFmtId="0" fontId="5" fillId="0" borderId="0" xfId="0" applyNumberFormat="1" applyFont="1" applyFill="1"/>
    <xf numFmtId="170" fontId="5" fillId="0" borderId="0" xfId="0" applyNumberFormat="1" applyFont="1" applyAlignment="1"/>
    <xf numFmtId="168" fontId="5" fillId="0" borderId="0" xfId="0" applyNumberFormat="1" applyFont="1" applyFill="1" applyAlignment="1">
      <alignment horizontal="left"/>
    </xf>
    <xf numFmtId="0" fontId="70" fillId="0" borderId="0" xfId="0" applyFont="1" applyFill="1" applyAlignment="1">
      <alignment horizontal="center"/>
    </xf>
    <xf numFmtId="0" fontId="70" fillId="0" borderId="0" xfId="0" applyFont="1" applyFill="1"/>
    <xf numFmtId="10" fontId="5" fillId="0" borderId="0" xfId="0" applyNumberFormat="1" applyFont="1" applyFill="1"/>
    <xf numFmtId="0" fontId="70" fillId="0" borderId="0" xfId="0" applyFont="1"/>
    <xf numFmtId="10" fontId="5" fillId="0" borderId="0" xfId="6" applyNumberFormat="1" applyFont="1" applyAlignment="1"/>
    <xf numFmtId="169" fontId="5" fillId="0" borderId="0" xfId="0" applyNumberFormat="1" applyFont="1" applyFill="1" applyAlignment="1">
      <alignment horizontal="center"/>
    </xf>
    <xf numFmtId="0" fontId="11" fillId="0" borderId="2" xfId="0" applyNumberFormat="1" applyFont="1" applyBorder="1" applyAlignment="1">
      <alignment horizontal="left"/>
    </xf>
    <xf numFmtId="169" fontId="11" fillId="0" borderId="3" xfId="0" applyNumberFormat="1" applyFont="1" applyBorder="1" applyAlignment="1"/>
    <xf numFmtId="164" fontId="11" fillId="0" borderId="3" xfId="1" applyNumberFormat="1" applyFont="1" applyFill="1" applyBorder="1" applyAlignment="1">
      <alignment horizontal="right"/>
    </xf>
    <xf numFmtId="168" fontId="5" fillId="0" borderId="0" xfId="0" applyNumberFormat="1" applyFont="1" applyAlignment="1">
      <alignment horizontal="left"/>
    </xf>
    <xf numFmtId="169" fontId="5" fillId="0" borderId="0" xfId="0" applyNumberFormat="1" applyFont="1" applyAlignment="1"/>
    <xf numFmtId="0" fontId="71" fillId="0" borderId="4" xfId="0" applyFont="1" applyFill="1" applyBorder="1" applyAlignment="1">
      <alignment horizontal="center"/>
    </xf>
    <xf numFmtId="0" fontId="72" fillId="0" borderId="0" xfId="0" applyNumberFormat="1" applyFont="1" applyFill="1" applyBorder="1" applyAlignment="1">
      <alignment horizontal="center"/>
    </xf>
    <xf numFmtId="0" fontId="72" fillId="3" borderId="0" xfId="0" applyNumberFormat="1" applyFont="1" applyFill="1" applyBorder="1" applyAlignment="1">
      <alignment horizontal="center"/>
    </xf>
    <xf numFmtId="3" fontId="13" fillId="0" borderId="0" xfId="0" applyNumberFormat="1"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3" fontId="13" fillId="0" borderId="2" xfId="0" applyNumberFormat="1" applyFont="1" applyBorder="1" applyAlignment="1">
      <alignment horizontal="center"/>
    </xf>
    <xf numFmtId="3" fontId="13" fillId="0" borderId="3" xfId="0" applyNumberFormat="1" applyFont="1" applyFill="1" applyBorder="1" applyAlignment="1">
      <alignment horizontal="center"/>
    </xf>
    <xf numFmtId="3" fontId="13" fillId="0" borderId="0" xfId="0" applyNumberFormat="1" applyFont="1" applyFill="1" applyAlignment="1">
      <alignment horizontal="center"/>
    </xf>
    <xf numFmtId="0" fontId="15" fillId="0" borderId="0" xfId="0" applyFont="1" applyFill="1" applyBorder="1" applyAlignment="1">
      <alignment horizontal="center"/>
    </xf>
    <xf numFmtId="0" fontId="48" fillId="0" borderId="0" xfId="0" applyFont="1" applyAlignment="1">
      <alignment horizontal="center"/>
    </xf>
    <xf numFmtId="0" fontId="48" fillId="0" borderId="2" xfId="0" applyFont="1" applyBorder="1" applyAlignment="1">
      <alignment horizontal="center"/>
    </xf>
    <xf numFmtId="0" fontId="48" fillId="0" borderId="3" xfId="0" applyFont="1" applyBorder="1" applyAlignment="1">
      <alignment horizontal="center"/>
    </xf>
    <xf numFmtId="3" fontId="48" fillId="0" borderId="0" xfId="0" applyNumberFormat="1" applyFont="1" applyFill="1" applyAlignment="1">
      <alignment horizontal="center"/>
    </xf>
    <xf numFmtId="0" fontId="48" fillId="0" borderId="2" xfId="0" applyFont="1" applyFill="1" applyBorder="1" applyAlignment="1">
      <alignment horizontal="center"/>
    </xf>
    <xf numFmtId="0" fontId="48" fillId="0" borderId="4" xfId="0" applyFont="1" applyFill="1" applyBorder="1" applyAlignment="1">
      <alignment horizontal="center"/>
    </xf>
    <xf numFmtId="0" fontId="48" fillId="0" borderId="0" xfId="0" applyFont="1" applyFill="1" applyBorder="1" applyAlignment="1">
      <alignment horizontal="center"/>
    </xf>
    <xf numFmtId="3" fontId="48" fillId="0" borderId="2" xfId="0" applyNumberFormat="1" applyFont="1" applyFill="1" applyBorder="1" applyAlignment="1">
      <alignment horizontal="center"/>
    </xf>
    <xf numFmtId="3" fontId="48" fillId="0" borderId="4" xfId="0" applyNumberFormat="1" applyFont="1" applyFill="1" applyBorder="1" applyAlignment="1">
      <alignment horizontal="center"/>
    </xf>
    <xf numFmtId="3" fontId="48" fillId="0" borderId="0" xfId="0" applyNumberFormat="1" applyFont="1" applyFill="1" applyBorder="1" applyAlignment="1">
      <alignment horizontal="center"/>
    </xf>
    <xf numFmtId="0" fontId="2" fillId="0" borderId="3" xfId="0" applyFont="1" applyFill="1" applyBorder="1" applyAlignment="1">
      <alignment horizontal="center"/>
    </xf>
    <xf numFmtId="0" fontId="2" fillId="0" borderId="3" xfId="0" applyFont="1" applyBorder="1" applyAlignment="1">
      <alignment horizontal="center"/>
    </xf>
    <xf numFmtId="0" fontId="13" fillId="0" borderId="0" xfId="0" applyFont="1" applyFill="1" applyAlignment="1">
      <alignment horizontal="right"/>
    </xf>
    <xf numFmtId="0" fontId="13" fillId="0" borderId="0" xfId="0" applyFont="1" applyFill="1" applyBorder="1" applyAlignment="1">
      <alignment horizontal="center"/>
    </xf>
    <xf numFmtId="0" fontId="48" fillId="0" borderId="0" xfId="0" applyFont="1" applyFill="1" applyBorder="1" applyAlignment="1">
      <alignment horizontal="left"/>
    </xf>
    <xf numFmtId="0" fontId="48" fillId="0" borderId="0" xfId="0" applyNumberFormat="1" applyFont="1" applyAlignment="1">
      <alignment horizontal="center"/>
    </xf>
    <xf numFmtId="0" fontId="4" fillId="0" borderId="0" xfId="0" applyFont="1" applyFill="1" applyAlignment="1">
      <alignment horizontal="center"/>
    </xf>
    <xf numFmtId="0" fontId="48" fillId="0" borderId="4" xfId="0" applyNumberFormat="1" applyFont="1" applyFill="1" applyBorder="1" applyAlignment="1">
      <alignment horizontal="center"/>
    </xf>
    <xf numFmtId="0" fontId="48" fillId="0" borderId="0" xfId="0" applyNumberFormat="1" applyFont="1" applyFill="1" applyAlignment="1">
      <alignment horizontal="center"/>
    </xf>
    <xf numFmtId="0" fontId="2" fillId="0" borderId="2" xfId="0" applyNumberFormat="1" applyFont="1" applyBorder="1" applyAlignment="1">
      <alignment horizontal="center"/>
    </xf>
    <xf numFmtId="0" fontId="13" fillId="0" borderId="0" xfId="0" applyNumberFormat="1" applyFont="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72" fillId="3" borderId="0" xfId="0" applyNumberFormat="1" applyFont="1" applyFill="1" applyAlignment="1">
      <alignment horizontal="center"/>
    </xf>
    <xf numFmtId="0" fontId="72" fillId="0" borderId="0" xfId="0" applyNumberFormat="1" applyFont="1" applyFill="1" applyAlignment="1">
      <alignment horizontal="center"/>
    </xf>
    <xf numFmtId="3" fontId="48" fillId="0" borderId="2" xfId="0" applyNumberFormat="1" applyFont="1" applyBorder="1" applyAlignment="1">
      <alignment horizontal="center"/>
    </xf>
    <xf numFmtId="3" fontId="48" fillId="0" borderId="0" xfId="0" applyNumberFormat="1" applyFont="1" applyBorder="1" applyAlignment="1">
      <alignment horizontal="center"/>
    </xf>
    <xf numFmtId="0" fontId="44" fillId="0" borderId="0" xfId="0" applyFont="1" applyFill="1" applyAlignment="1">
      <alignment horizontal="center"/>
    </xf>
    <xf numFmtId="3" fontId="48" fillId="0" borderId="3" xfId="0" applyNumberFormat="1" applyFont="1" applyFill="1" applyBorder="1" applyAlignment="1">
      <alignment horizontal="center"/>
    </xf>
    <xf numFmtId="3" fontId="48" fillId="0" borderId="0" xfId="0" applyNumberFormat="1" applyFont="1" applyAlignment="1">
      <alignment horizontal="center"/>
    </xf>
    <xf numFmtId="0" fontId="48" fillId="0" borderId="0" xfId="0" applyNumberFormat="1" applyFont="1" applyFill="1" applyBorder="1" applyAlignment="1">
      <alignment horizontal="center"/>
    </xf>
    <xf numFmtId="0" fontId="2" fillId="0" borderId="3" xfId="0" applyNumberFormat="1" applyFont="1" applyBorder="1" applyAlignment="1">
      <alignment horizontal="center"/>
    </xf>
    <xf numFmtId="0" fontId="73" fillId="3" borderId="0" xfId="0" applyFont="1" applyFill="1" applyBorder="1" applyAlignment="1">
      <alignment horizontal="center"/>
    </xf>
    <xf numFmtId="3" fontId="13" fillId="0" borderId="0" xfId="0" applyNumberFormat="1" applyFont="1" applyBorder="1" applyAlignment="1">
      <alignment horizontal="center"/>
    </xf>
    <xf numFmtId="0" fontId="48" fillId="0" borderId="0" xfId="0" applyFont="1" applyBorder="1" applyAlignment="1">
      <alignment horizontal="center"/>
    </xf>
    <xf numFmtId="3" fontId="2" fillId="0" borderId="3" xfId="0" applyNumberFormat="1" applyFont="1" applyBorder="1" applyAlignment="1">
      <alignment horizontal="center"/>
    </xf>
    <xf numFmtId="0" fontId="74" fillId="0" borderId="0" xfId="0" applyFont="1" applyFill="1"/>
    <xf numFmtId="168" fontId="13" fillId="0" borderId="0" xfId="0" applyNumberFormat="1" applyFont="1" applyAlignment="1">
      <alignment horizontal="center"/>
    </xf>
    <xf numFmtId="0" fontId="48" fillId="0" borderId="4" xfId="0" applyNumberFormat="1" applyFont="1" applyBorder="1" applyAlignment="1">
      <alignment horizontal="center"/>
    </xf>
    <xf numFmtId="0" fontId="44" fillId="0" borderId="0" xfId="0" applyNumberFormat="1" applyFont="1" applyFill="1" applyBorder="1" applyAlignment="1">
      <alignment horizontal="center"/>
    </xf>
    <xf numFmtId="168" fontId="48" fillId="0" borderId="0" xfId="0" applyNumberFormat="1" applyFont="1" applyAlignment="1">
      <alignment horizontal="center"/>
    </xf>
    <xf numFmtId="3" fontId="2" fillId="0" borderId="2" xfId="0" applyNumberFormat="1" applyFont="1" applyBorder="1" applyAlignment="1">
      <alignment horizontal="center"/>
    </xf>
    <xf numFmtId="3" fontId="2" fillId="0" borderId="5" xfId="0" applyNumberFormat="1" applyFont="1" applyBorder="1" applyAlignment="1">
      <alignment horizontal="center"/>
    </xf>
    <xf numFmtId="3" fontId="2" fillId="0" borderId="0" xfId="0" applyNumberFormat="1" applyFont="1" applyBorder="1" applyAlignment="1">
      <alignment horizontal="center"/>
    </xf>
    <xf numFmtId="3" fontId="2" fillId="0" borderId="0" xfId="0" applyNumberFormat="1" applyFont="1" applyFill="1" applyBorder="1" applyAlignment="1">
      <alignment horizontal="center"/>
    </xf>
    <xf numFmtId="3" fontId="2" fillId="0" borderId="4" xfId="0" applyNumberFormat="1" applyFont="1" applyBorder="1" applyAlignment="1">
      <alignment horizontal="center"/>
    </xf>
    <xf numFmtId="0" fontId="2" fillId="0" borderId="5" xfId="0" applyFont="1" applyBorder="1" applyAlignment="1">
      <alignment horizontal="center"/>
    </xf>
    <xf numFmtId="0" fontId="32" fillId="0" borderId="0" xfId="0" applyFont="1" applyFill="1" applyBorder="1" applyAlignment="1">
      <alignment horizontal="center"/>
    </xf>
    <xf numFmtId="0" fontId="32" fillId="0" borderId="0" xfId="0" applyFont="1" applyBorder="1" applyAlignment="1">
      <alignment horizontal="center"/>
    </xf>
    <xf numFmtId="0" fontId="2" fillId="0" borderId="5" xfId="0" applyNumberFormat="1" applyFont="1" applyBorder="1" applyAlignment="1">
      <alignment horizontal="center"/>
    </xf>
    <xf numFmtId="0" fontId="11" fillId="0" borderId="6" xfId="0" applyNumberFormat="1" applyFont="1" applyBorder="1" applyAlignment="1">
      <alignment horizontal="center"/>
    </xf>
    <xf numFmtId="0" fontId="11" fillId="0" borderId="5" xfId="0" applyFont="1" applyBorder="1"/>
    <xf numFmtId="0" fontId="11" fillId="0" borderId="5" xfId="0" applyNumberFormat="1" applyFont="1" applyBorder="1" applyAlignment="1">
      <alignment horizontal="left"/>
    </xf>
    <xf numFmtId="0" fontId="11" fillId="0" borderId="5" xfId="0" applyFont="1" applyFill="1" applyBorder="1"/>
    <xf numFmtId="3" fontId="11" fillId="0" borderId="5" xfId="0" applyNumberFormat="1" applyFont="1" applyBorder="1" applyAlignment="1"/>
    <xf numFmtId="0" fontId="11" fillId="0" borderId="5" xfId="0" applyFont="1" applyBorder="1" applyAlignment="1"/>
    <xf numFmtId="0" fontId="11" fillId="0" borderId="5" xfId="0" applyNumberFormat="1" applyFont="1" applyBorder="1" applyAlignment="1">
      <alignment horizontal="center"/>
    </xf>
    <xf numFmtId="0" fontId="13" fillId="0" borderId="4" xfId="0" applyFont="1" applyBorder="1" applyAlignment="1">
      <alignment horizontal="center"/>
    </xf>
    <xf numFmtId="0" fontId="13" fillId="0" borderId="0" xfId="0" applyFont="1" applyBorder="1"/>
    <xf numFmtId="0" fontId="13" fillId="0" borderId="8" xfId="0" applyFont="1" applyBorder="1"/>
    <xf numFmtId="3" fontId="13" fillId="0" borderId="0" xfId="0" applyNumberFormat="1" applyFont="1" applyFill="1" applyBorder="1" applyAlignment="1">
      <alignment horizontal="right"/>
    </xf>
    <xf numFmtId="3" fontId="13" fillId="0" borderId="0" xfId="0" applyNumberFormat="1" applyFont="1" applyFill="1" applyBorder="1" applyAlignment="1">
      <alignment horizontal="center"/>
    </xf>
    <xf numFmtId="0" fontId="13" fillId="0" borderId="8" xfId="0" applyFont="1" applyFill="1" applyBorder="1"/>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0" fontId="13" fillId="0" borderId="16" xfId="0" applyFont="1" applyBorder="1"/>
    <xf numFmtId="0" fontId="13" fillId="0" borderId="1" xfId="0" applyFont="1" applyBorder="1"/>
    <xf numFmtId="0" fontId="13" fillId="0" borderId="1" xfId="0" applyFont="1" applyFill="1" applyBorder="1"/>
    <xf numFmtId="0" fontId="13" fillId="0" borderId="0" xfId="0" applyFont="1" applyFill="1" applyBorder="1" applyAlignment="1">
      <alignment horizontal="left"/>
    </xf>
    <xf numFmtId="0" fontId="48" fillId="0" borderId="1" xfId="0" applyNumberFormat="1" applyFont="1" applyFill="1" applyBorder="1" applyAlignment="1">
      <alignment horizontal="left"/>
    </xf>
    <xf numFmtId="0" fontId="13" fillId="0" borderId="1" xfId="0" applyFont="1" applyFill="1" applyBorder="1" applyAlignment="1">
      <alignment horizontal="center"/>
    </xf>
    <xf numFmtId="0" fontId="2" fillId="0" borderId="8" xfId="0" applyFont="1" applyBorder="1"/>
    <xf numFmtId="0" fontId="2" fillId="0" borderId="8" xfId="0" applyFont="1" applyBorder="1" applyAlignment="1">
      <alignment horizontal="center"/>
    </xf>
    <xf numFmtId="0" fontId="13" fillId="0" borderId="0" xfId="0" applyFont="1" applyFill="1" applyBorder="1" applyAlignment="1">
      <alignment horizontal="right"/>
    </xf>
    <xf numFmtId="164" fontId="13" fillId="0" borderId="0" xfId="1" applyNumberFormat="1" applyFont="1" applyFill="1" applyBorder="1"/>
    <xf numFmtId="0" fontId="13" fillId="0" borderId="0" xfId="0" applyFont="1" applyBorder="1" applyAlignment="1">
      <alignment horizontal="left"/>
    </xf>
    <xf numFmtId="0" fontId="13" fillId="0" borderId="7" xfId="0" applyFont="1" applyBorder="1" applyAlignment="1">
      <alignment horizontal="left"/>
    </xf>
    <xf numFmtId="0" fontId="13" fillId="0" borderId="7" xfId="0" applyFont="1" applyFill="1" applyBorder="1" applyAlignment="1">
      <alignment horizontal="left"/>
    </xf>
    <xf numFmtId="0" fontId="2" fillId="0" borderId="0" xfId="0" applyFont="1" applyBorder="1"/>
    <xf numFmtId="0" fontId="48" fillId="0" borderId="1" xfId="0" applyFont="1" applyBorder="1"/>
    <xf numFmtId="0" fontId="13" fillId="0" borderId="8" xfId="0" applyFont="1" applyBorder="1" applyAlignment="1">
      <alignment horizontal="center"/>
    </xf>
    <xf numFmtId="0" fontId="13" fillId="0" borderId="0" xfId="0" applyFont="1" applyBorder="1" applyAlignment="1"/>
    <xf numFmtId="2" fontId="13" fillId="0" borderId="0" xfId="0" applyNumberFormat="1" applyFont="1" applyFill="1" applyBorder="1" applyAlignment="1">
      <alignment horizontal="center"/>
    </xf>
    <xf numFmtId="0" fontId="48" fillId="0" borderId="0" xfId="0" applyNumberFormat="1" applyFont="1" applyFill="1" applyBorder="1" applyAlignment="1">
      <alignment horizontal="left"/>
    </xf>
    <xf numFmtId="0" fontId="69" fillId="0" borderId="0" xfId="0" applyNumberFormat="1" applyFont="1" applyFill="1" applyBorder="1" applyAlignment="1">
      <alignment horizontal="center"/>
    </xf>
    <xf numFmtId="0" fontId="13" fillId="6" borderId="0" xfId="0" applyFont="1" applyFill="1"/>
    <xf numFmtId="0" fontId="48" fillId="6" borderId="0" xfId="0" applyFont="1" applyFill="1"/>
    <xf numFmtId="0" fontId="2" fillId="6" borderId="0" xfId="0" applyFont="1" applyFill="1" applyBorder="1" applyAlignment="1">
      <alignment horizontal="center"/>
    </xf>
    <xf numFmtId="0" fontId="16" fillId="6" borderId="0" xfId="0" applyFont="1" applyFill="1" applyAlignment="1">
      <alignment horizontal="center"/>
    </xf>
    <xf numFmtId="0" fontId="75" fillId="6" borderId="0" xfId="0" applyFont="1" applyFill="1" applyAlignment="1">
      <alignment horizontal="center"/>
    </xf>
    <xf numFmtId="0" fontId="2" fillId="6" borderId="0" xfId="0" applyNumberFormat="1" applyFont="1" applyFill="1" applyBorder="1" applyAlignment="1">
      <alignment horizontal="center"/>
    </xf>
    <xf numFmtId="0" fontId="13" fillId="6" borderId="0" xfId="0" applyNumberFormat="1" applyFont="1" applyFill="1" applyBorder="1" applyAlignment="1">
      <alignment horizontal="center"/>
    </xf>
    <xf numFmtId="0" fontId="13" fillId="6" borderId="0" xfId="0" applyFont="1" applyFill="1" applyBorder="1" applyAlignment="1"/>
    <xf numFmtId="0" fontId="12" fillId="6" borderId="0" xfId="0" applyFont="1" applyFill="1" applyBorder="1" applyAlignment="1">
      <alignment horizontal="center"/>
    </xf>
    <xf numFmtId="37" fontId="13" fillId="6" borderId="0" xfId="0" applyNumberFormat="1" applyFont="1" applyFill="1" applyBorder="1" applyAlignment="1">
      <alignment horizontal="left"/>
    </xf>
    <xf numFmtId="0" fontId="12" fillId="6" borderId="0" xfId="0" applyFont="1" applyFill="1"/>
    <xf numFmtId="0" fontId="2" fillId="0" borderId="0" xfId="0" applyNumberFormat="1" applyFont="1" applyFill="1" applyBorder="1" applyAlignment="1"/>
    <xf numFmtId="0" fontId="13" fillId="0" borderId="8" xfId="0" applyNumberFormat="1" applyFont="1" applyFill="1" applyBorder="1" applyAlignment="1">
      <alignment horizontal="center"/>
    </xf>
    <xf numFmtId="0" fontId="15" fillId="0" borderId="0" xfId="0" applyNumberFormat="1" applyFont="1" applyFill="1" applyBorder="1" applyAlignment="1">
      <alignment horizontal="center"/>
    </xf>
    <xf numFmtId="3" fontId="48" fillId="0" borderId="8" xfId="0" applyNumberFormat="1" applyFont="1" applyFill="1" applyBorder="1" applyAlignment="1">
      <alignment horizontal="center"/>
    </xf>
    <xf numFmtId="0" fontId="48" fillId="0" borderId="8" xfId="0" applyNumberFormat="1" applyFont="1" applyFill="1" applyBorder="1" applyAlignment="1">
      <alignment horizontal="center"/>
    </xf>
    <xf numFmtId="0" fontId="48" fillId="0" borderId="0" xfId="0" applyNumberFormat="1" applyFont="1" applyBorder="1" applyAlignment="1">
      <alignment horizontal="center"/>
    </xf>
    <xf numFmtId="0" fontId="48" fillId="0" borderId="0" xfId="0" applyFont="1" applyBorder="1" applyAlignment="1"/>
    <xf numFmtId="3" fontId="48" fillId="0" borderId="8" xfId="0" applyNumberFormat="1" applyFont="1" applyBorder="1" applyAlignment="1">
      <alignment horizontal="center"/>
    </xf>
    <xf numFmtId="0" fontId="2" fillId="0" borderId="0" xfId="0" applyNumberFormat="1" applyFont="1" applyFill="1" applyBorder="1" applyAlignment="1">
      <alignment horizontal="left"/>
    </xf>
    <xf numFmtId="0" fontId="13" fillId="0" borderId="0" xfId="0" applyNumberFormat="1" applyFont="1" applyFill="1" applyBorder="1" applyAlignment="1">
      <alignment horizontal="center"/>
    </xf>
    <xf numFmtId="3" fontId="48" fillId="0" borderId="8" xfId="0" applyNumberFormat="1" applyFont="1" applyFill="1" applyBorder="1" applyAlignment="1">
      <alignment horizontal="right"/>
    </xf>
    <xf numFmtId="3" fontId="48" fillId="0" borderId="0" xfId="0" applyNumberFormat="1" applyFont="1" applyFill="1" applyBorder="1" applyAlignment="1">
      <alignment horizontal="right"/>
    </xf>
    <xf numFmtId="0" fontId="48" fillId="0" borderId="8" xfId="0" applyFont="1" applyFill="1" applyBorder="1"/>
    <xf numFmtId="0" fontId="48" fillId="0" borderId="0" xfId="0" applyFont="1" applyFill="1" applyBorder="1"/>
    <xf numFmtId="0" fontId="48" fillId="0" borderId="0" xfId="0" applyFont="1" applyBorder="1"/>
    <xf numFmtId="0" fontId="48" fillId="0" borderId="8" xfId="0" applyFont="1" applyFill="1" applyBorder="1" applyAlignment="1">
      <alignment horizontal="center"/>
    </xf>
    <xf numFmtId="0" fontId="48" fillId="0" borderId="0" xfId="0" applyFont="1" applyFill="1" applyBorder="1" applyAlignment="1"/>
    <xf numFmtId="0" fontId="13" fillId="0" borderId="0" xfId="0" applyFont="1" applyFill="1" applyBorder="1" applyAlignment="1"/>
    <xf numFmtId="3" fontId="15" fillId="0" borderId="0" xfId="0" applyNumberFormat="1" applyFont="1" applyFill="1" applyBorder="1" applyAlignment="1">
      <alignment horizontal="center"/>
    </xf>
    <xf numFmtId="0" fontId="48" fillId="0" borderId="8" xfId="0" applyFont="1" applyBorder="1" applyAlignment="1">
      <alignment horizontal="center"/>
    </xf>
    <xf numFmtId="0" fontId="2" fillId="0" borderId="0" xfId="0" applyNumberFormat="1" applyFont="1" applyBorder="1" applyAlignment="1">
      <alignment horizontal="left"/>
    </xf>
    <xf numFmtId="0" fontId="15" fillId="0" borderId="0" xfId="0" applyFont="1" applyBorder="1" applyAlignment="1">
      <alignment horizontal="center"/>
    </xf>
    <xf numFmtId="0" fontId="48" fillId="0" borderId="8" xfId="0" applyFont="1" applyBorder="1"/>
    <xf numFmtId="0" fontId="13" fillId="0" borderId="0" xfId="0" applyNumberFormat="1" applyFont="1" applyFill="1" applyBorder="1" applyAlignment="1">
      <alignment horizontal="right"/>
    </xf>
    <xf numFmtId="0" fontId="48" fillId="0" borderId="8" xfId="0" applyNumberFormat="1" applyFont="1" applyBorder="1" applyAlignment="1">
      <alignment horizontal="center"/>
    </xf>
    <xf numFmtId="0" fontId="48" fillId="0" borderId="0" xfId="0" applyNumberFormat="1" applyFont="1" applyFill="1" applyBorder="1" applyAlignment="1">
      <alignment horizontal="right"/>
    </xf>
    <xf numFmtId="0" fontId="48" fillId="0" borderId="0" xfId="0" applyNumberFormat="1" applyFont="1" applyBorder="1" applyAlignment="1">
      <alignment horizontal="left"/>
    </xf>
    <xf numFmtId="0" fontId="15" fillId="0" borderId="0" xfId="0" applyNumberFormat="1" applyFont="1" applyBorder="1" applyAlignment="1">
      <alignment horizontal="center"/>
    </xf>
    <xf numFmtId="0" fontId="48" fillId="0" borderId="16" xfId="0" applyNumberFormat="1" applyFont="1" applyFill="1" applyBorder="1" applyAlignment="1">
      <alignment horizontal="center"/>
    </xf>
    <xf numFmtId="0" fontId="48" fillId="0" borderId="1" xfId="0" applyNumberFormat="1" applyFont="1" applyFill="1" applyBorder="1" applyAlignment="1">
      <alignment horizontal="right"/>
    </xf>
    <xf numFmtId="0" fontId="48" fillId="0" borderId="1" xfId="0" applyFont="1" applyFill="1" applyBorder="1" applyAlignment="1"/>
    <xf numFmtId="0" fontId="15" fillId="0" borderId="1" xfId="0" applyNumberFormat="1" applyFont="1" applyFill="1" applyBorder="1" applyAlignment="1">
      <alignment horizontal="center"/>
    </xf>
    <xf numFmtId="3" fontId="48" fillId="0" borderId="16" xfId="0" applyNumberFormat="1" applyFont="1" applyBorder="1" applyAlignment="1">
      <alignment horizontal="center"/>
    </xf>
    <xf numFmtId="3" fontId="48" fillId="0" borderId="1" xfId="0" applyNumberFormat="1" applyFont="1" applyFill="1" applyBorder="1" applyAlignment="1">
      <alignment horizontal="center"/>
    </xf>
    <xf numFmtId="3" fontId="48" fillId="0" borderId="1" xfId="0" applyNumberFormat="1" applyFont="1" applyBorder="1" applyAlignment="1">
      <alignment horizontal="center"/>
    </xf>
    <xf numFmtId="0" fontId="15" fillId="0" borderId="0" xfId="0" applyFont="1" applyFill="1" applyBorder="1" applyAlignment="1"/>
    <xf numFmtId="0" fontId="48" fillId="0" borderId="0" xfId="0" applyFont="1" applyBorder="1" applyAlignment="1">
      <alignment horizontal="left"/>
    </xf>
    <xf numFmtId="3" fontId="13" fillId="0" borderId="0" xfId="0" applyNumberFormat="1" applyFont="1" applyFill="1" applyBorder="1" applyAlignment="1"/>
    <xf numFmtId="3" fontId="15" fillId="0" borderId="0" xfId="0" applyNumberFormat="1" applyFont="1" applyBorder="1" applyAlignment="1">
      <alignment horizontal="center"/>
    </xf>
    <xf numFmtId="0" fontId="48" fillId="0" borderId="1" xfId="0" applyNumberFormat="1" applyFont="1" applyBorder="1" applyAlignment="1">
      <alignment horizontal="center"/>
    </xf>
    <xf numFmtId="0" fontId="48" fillId="0" borderId="1" xfId="0" applyFont="1" applyBorder="1" applyAlignment="1"/>
    <xf numFmtId="0" fontId="48" fillId="0" borderId="1" xfId="0" applyFont="1" applyBorder="1" applyAlignment="1">
      <alignment horizontal="center"/>
    </xf>
    <xf numFmtId="0" fontId="13" fillId="0" borderId="16" xfId="0" applyNumberFormat="1" applyFont="1" applyFill="1" applyBorder="1" applyAlignment="1">
      <alignment horizontal="center"/>
    </xf>
    <xf numFmtId="0" fontId="13" fillId="0" borderId="1" xfId="0" applyNumberFormat="1" applyFont="1" applyFill="1" applyBorder="1" applyAlignment="1">
      <alignment horizontal="center"/>
    </xf>
    <xf numFmtId="0" fontId="13" fillId="0" borderId="1" xfId="0" applyNumberFormat="1" applyFont="1" applyFill="1" applyBorder="1" applyAlignment="1">
      <alignment horizontal="left"/>
    </xf>
    <xf numFmtId="0" fontId="13" fillId="0" borderId="8" xfId="0" applyFont="1" applyFill="1" applyBorder="1" applyAlignment="1">
      <alignment horizontal="center"/>
    </xf>
    <xf numFmtId="0" fontId="13" fillId="0" borderId="0" xfId="0" applyNumberFormat="1" applyFont="1" applyFill="1" applyBorder="1" applyAlignment="1"/>
    <xf numFmtId="0" fontId="4" fillId="0" borderId="16" xfId="0" applyFont="1" applyFill="1" applyBorder="1" applyAlignment="1">
      <alignment horizontal="left"/>
    </xf>
    <xf numFmtId="0" fontId="13" fillId="0" borderId="1" xfId="0" applyFont="1" applyFill="1" applyBorder="1" applyAlignment="1">
      <alignment horizontal="left"/>
    </xf>
    <xf numFmtId="0" fontId="13" fillId="0" borderId="1" xfId="0" applyNumberFormat="1" applyFont="1" applyFill="1" applyBorder="1" applyAlignment="1">
      <alignment horizontal="right"/>
    </xf>
    <xf numFmtId="0" fontId="15" fillId="0" borderId="1" xfId="0" applyFont="1" applyFill="1" applyBorder="1" applyAlignment="1">
      <alignment horizontal="center"/>
    </xf>
    <xf numFmtId="0" fontId="13" fillId="0" borderId="16" xfId="0" applyNumberFormat="1" applyFont="1" applyBorder="1" applyAlignment="1">
      <alignment horizontal="center"/>
    </xf>
    <xf numFmtId="0" fontId="13" fillId="0" borderId="1" xfId="0" applyNumberFormat="1" applyFont="1" applyBorder="1" applyAlignment="1">
      <alignment horizontal="left"/>
    </xf>
    <xf numFmtId="0" fontId="13" fillId="0" borderId="1" xfId="0" applyFont="1" applyFill="1" applyBorder="1" applyAlignment="1"/>
    <xf numFmtId="164" fontId="48" fillId="0" borderId="1" xfId="1" applyNumberFormat="1" applyFont="1" applyFill="1" applyBorder="1" applyAlignment="1">
      <alignment horizontal="center"/>
    </xf>
    <xf numFmtId="0" fontId="48" fillId="6" borderId="0" xfId="0" applyNumberFormat="1" applyFont="1" applyFill="1" applyBorder="1" applyAlignment="1">
      <alignment horizontal="center"/>
    </xf>
    <xf numFmtId="0" fontId="13" fillId="0" borderId="8" xfId="0" applyNumberFormat="1" applyFont="1" applyBorder="1" applyAlignment="1">
      <alignment horizontal="center"/>
    </xf>
    <xf numFmtId="168" fontId="2" fillId="0" borderId="0" xfId="0" applyNumberFormat="1" applyFont="1" applyBorder="1" applyAlignment="1">
      <alignment horizontal="left"/>
    </xf>
    <xf numFmtId="0" fontId="13" fillId="0" borderId="1" xfId="0" applyNumberFormat="1" applyFont="1" applyBorder="1" applyAlignment="1">
      <alignment horizontal="center"/>
    </xf>
    <xf numFmtId="170" fontId="13" fillId="0" borderId="1" xfId="0" applyNumberFormat="1" applyFont="1" applyBorder="1" applyAlignment="1"/>
    <xf numFmtId="168" fontId="48" fillId="0" borderId="1" xfId="6" applyNumberFormat="1" applyFont="1" applyBorder="1" applyAlignment="1">
      <alignment horizontal="center"/>
    </xf>
    <xf numFmtId="0" fontId="15" fillId="0" borderId="1" xfId="0" applyFont="1" applyFill="1" applyBorder="1" applyAlignment="1"/>
    <xf numFmtId="164" fontId="48" fillId="0" borderId="1" xfId="0" applyNumberFormat="1" applyFont="1" applyFill="1" applyBorder="1" applyAlignment="1">
      <alignment horizontal="center"/>
    </xf>
    <xf numFmtId="0" fontId="2" fillId="0" borderId="8" xfId="0" applyNumberFormat="1" applyFont="1" applyBorder="1" applyAlignment="1">
      <alignment horizontal="center"/>
    </xf>
    <xf numFmtId="0" fontId="2" fillId="0" borderId="0" xfId="0" applyFont="1" applyFill="1" applyBorder="1" applyAlignment="1"/>
    <xf numFmtId="3" fontId="2" fillId="0" borderId="0" xfId="0" applyNumberFormat="1" applyFont="1" applyBorder="1" applyAlignment="1"/>
    <xf numFmtId="3" fontId="48" fillId="0" borderId="0" xfId="0" applyNumberFormat="1" applyFont="1" applyFill="1" applyBorder="1" applyAlignment="1"/>
    <xf numFmtId="0" fontId="2" fillId="0" borderId="0" xfId="0" applyFont="1" applyBorder="1" applyAlignment="1">
      <alignment horizontal="left"/>
    </xf>
    <xf numFmtId="3" fontId="2" fillId="0" borderId="7" xfId="0" applyNumberFormat="1" applyFont="1" applyBorder="1" applyAlignment="1">
      <alignment horizontal="center"/>
    </xf>
    <xf numFmtId="164" fontId="13" fillId="0" borderId="7" xfId="1" applyNumberFormat="1" applyFont="1" applyFill="1" applyBorder="1" applyAlignment="1">
      <alignment horizontal="left"/>
    </xf>
    <xf numFmtId="168" fontId="13" fillId="0" borderId="0" xfId="6" applyNumberFormat="1" applyFont="1" applyFill="1" applyBorder="1"/>
    <xf numFmtId="0" fontId="13" fillId="0" borderId="0" xfId="0" applyFont="1" applyFill="1" applyBorder="1" applyAlignment="1">
      <alignment vertical="top" wrapText="1"/>
    </xf>
    <xf numFmtId="164" fontId="2" fillId="0" borderId="0" xfId="1" applyNumberFormat="1" applyFont="1" applyFill="1" applyBorder="1"/>
    <xf numFmtId="164" fontId="2" fillId="0" borderId="7" xfId="1" applyNumberFormat="1" applyFont="1" applyFill="1" applyBorder="1"/>
    <xf numFmtId="164" fontId="13" fillId="0" borderId="15" xfId="1" applyNumberFormat="1" applyFont="1" applyFill="1" applyBorder="1" applyAlignment="1">
      <alignment horizontal="left"/>
    </xf>
    <xf numFmtId="0" fontId="48" fillId="0" borderId="16" xfId="0" applyFont="1" applyBorder="1"/>
    <xf numFmtId="3" fontId="48" fillId="0" borderId="0" xfId="0" applyNumberFormat="1" applyFont="1" applyFill="1" applyBorder="1" applyAlignment="1">
      <alignment horizontal="left"/>
    </xf>
    <xf numFmtId="0" fontId="48" fillId="0" borderId="1" xfId="0" applyNumberFormat="1" applyFont="1" applyFill="1" applyBorder="1" applyAlignment="1">
      <alignment horizontal="center"/>
    </xf>
    <xf numFmtId="0" fontId="48" fillId="0" borderId="1" xfId="0" applyFont="1" applyFill="1" applyBorder="1"/>
    <xf numFmtId="2" fontId="2" fillId="0" borderId="8" xfId="0" applyNumberFormat="1" applyFont="1" applyFill="1" applyBorder="1" applyAlignment="1">
      <alignment horizontal="center"/>
    </xf>
    <xf numFmtId="0" fontId="13" fillId="6" borderId="0" xfId="0" applyFont="1" applyFill="1" applyAlignment="1">
      <alignment horizontal="left"/>
    </xf>
    <xf numFmtId="0" fontId="48" fillId="6" borderId="0" xfId="0" applyFont="1" applyFill="1" applyAlignment="1">
      <alignment horizontal="left"/>
    </xf>
    <xf numFmtId="0" fontId="13" fillId="0" borderId="1" xfId="0" applyFont="1" applyBorder="1" applyAlignment="1">
      <alignment horizontal="left"/>
    </xf>
    <xf numFmtId="0" fontId="13" fillId="0" borderId="15" xfId="0" applyFont="1" applyBorder="1" applyAlignment="1">
      <alignment horizontal="left"/>
    </xf>
    <xf numFmtId="0" fontId="48" fillId="0" borderId="7" xfId="0" applyFont="1" applyFill="1" applyBorder="1" applyAlignment="1">
      <alignment horizontal="left"/>
    </xf>
    <xf numFmtId="0" fontId="48" fillId="0" borderId="1" xfId="0" applyFont="1" applyBorder="1" applyAlignment="1">
      <alignment horizontal="left"/>
    </xf>
    <xf numFmtId="0" fontId="12" fillId="0" borderId="1" xfId="0" applyFont="1" applyBorder="1" applyAlignment="1">
      <alignment horizontal="left"/>
    </xf>
    <xf numFmtId="0" fontId="2" fillId="0" borderId="0" xfId="0" applyFont="1" applyFill="1" applyBorder="1" applyAlignment="1">
      <alignment horizontal="left"/>
    </xf>
    <xf numFmtId="164" fontId="48" fillId="0" borderId="16" xfId="1" applyNumberFormat="1" applyFont="1" applyFill="1" applyBorder="1" applyAlignment="1">
      <alignment horizontal="center"/>
    </xf>
    <xf numFmtId="3" fontId="13" fillId="0" borderId="0" xfId="0" applyNumberFormat="1" applyFont="1" applyBorder="1" applyAlignment="1"/>
    <xf numFmtId="0" fontId="48" fillId="0" borderId="1" xfId="0" applyNumberFormat="1" applyFont="1" applyBorder="1" applyAlignment="1">
      <alignment horizontal="left"/>
    </xf>
    <xf numFmtId="3" fontId="48" fillId="0" borderId="0" xfId="0" applyNumberFormat="1" applyFont="1" applyBorder="1" applyAlignment="1"/>
    <xf numFmtId="0" fontId="48" fillId="0" borderId="16" xfId="0" applyFont="1" applyFill="1" applyBorder="1"/>
    <xf numFmtId="0" fontId="4" fillId="0" borderId="16" xfId="0" applyFont="1" applyFill="1" applyBorder="1"/>
    <xf numFmtId="0" fontId="48" fillId="0" borderId="0" xfId="0" applyNumberFormat="1" applyFont="1" applyFill="1" applyBorder="1" applyAlignment="1"/>
    <xf numFmtId="3" fontId="15" fillId="0" borderId="0" xfId="0" applyNumberFormat="1" applyFont="1" applyFill="1" applyBorder="1" applyAlignment="1"/>
    <xf numFmtId="0" fontId="48" fillId="0" borderId="0" xfId="0" applyNumberFormat="1" applyFont="1" applyBorder="1" applyAlignment="1"/>
    <xf numFmtId="0" fontId="48" fillId="0" borderId="1" xfId="0" applyNumberFormat="1" applyFont="1" applyFill="1" applyBorder="1" applyAlignment="1"/>
    <xf numFmtId="3" fontId="48" fillId="0" borderId="0" xfId="0" applyNumberFormat="1" applyFont="1" applyBorder="1" applyAlignment="1">
      <alignment horizontal="left"/>
    </xf>
    <xf numFmtId="3" fontId="48" fillId="0" borderId="8" xfId="0" applyNumberFormat="1" applyFont="1" applyBorder="1" applyAlignment="1">
      <alignment horizontal="right"/>
    </xf>
    <xf numFmtId="0" fontId="48" fillId="0" borderId="8" xfId="0" applyFont="1" applyBorder="1" applyAlignment="1">
      <alignment horizontal="right"/>
    </xf>
    <xf numFmtId="164" fontId="48" fillId="0" borderId="16" xfId="1" applyNumberFormat="1" applyFont="1" applyFill="1" applyBorder="1" applyAlignment="1">
      <alignment horizontal="right"/>
    </xf>
    <xf numFmtId="164" fontId="48" fillId="0" borderId="16" xfId="0" applyNumberFormat="1" applyFont="1" applyFill="1" applyBorder="1" applyAlignment="1">
      <alignment horizontal="center"/>
    </xf>
    <xf numFmtId="9" fontId="48" fillId="0" borderId="0" xfId="6" applyFont="1" applyBorder="1" applyAlignment="1">
      <alignment horizontal="center"/>
    </xf>
    <xf numFmtId="0" fontId="71" fillId="0" borderId="0" xfId="0" applyFont="1" applyFill="1" applyBorder="1" applyAlignment="1">
      <alignment horizontal="center"/>
    </xf>
    <xf numFmtId="0" fontId="12" fillId="6" borderId="0" xfId="0" applyFont="1" applyFill="1" applyAlignment="1">
      <alignment horizontal="left"/>
    </xf>
    <xf numFmtId="0" fontId="13" fillId="0" borderId="0" xfId="0" applyFont="1" applyAlignment="1">
      <alignment vertical="top"/>
    </xf>
    <xf numFmtId="37" fontId="48" fillId="0" borderId="0" xfId="0" applyNumberFormat="1" applyFont="1" applyFill="1"/>
    <xf numFmtId="0" fontId="13" fillId="0" borderId="0" xfId="0" applyFont="1" applyFill="1" applyBorder="1" applyAlignment="1">
      <alignment wrapText="1"/>
    </xf>
    <xf numFmtId="0" fontId="48" fillId="0" borderId="0" xfId="0" applyFont="1" applyAlignment="1">
      <alignment horizontal="right"/>
    </xf>
    <xf numFmtId="37" fontId="48" fillId="0" borderId="0" xfId="0" applyNumberFormat="1" applyFont="1" applyFill="1" applyAlignment="1">
      <alignment horizontal="right" wrapText="1"/>
    </xf>
    <xf numFmtId="37" fontId="13" fillId="0" borderId="0" xfId="0" applyNumberFormat="1" applyFont="1" applyFill="1" applyAlignment="1">
      <alignment horizontal="right"/>
    </xf>
    <xf numFmtId="41" fontId="48" fillId="0" borderId="0" xfId="0" applyNumberFormat="1" applyFont="1" applyFill="1" applyBorder="1" applyAlignment="1">
      <alignment horizontal="right"/>
    </xf>
    <xf numFmtId="164" fontId="48" fillId="0" borderId="0" xfId="1" applyNumberFormat="1" applyFont="1" applyFill="1" applyAlignment="1">
      <alignment horizontal="right"/>
    </xf>
    <xf numFmtId="0" fontId="13" fillId="0" borderId="0" xfId="0" applyFont="1" applyAlignment="1">
      <alignment horizontal="right"/>
    </xf>
    <xf numFmtId="0" fontId="13" fillId="0" borderId="0" xfId="0" applyFont="1" applyAlignment="1">
      <alignment horizontal="right" wrapText="1"/>
    </xf>
    <xf numFmtId="41" fontId="48" fillId="0" borderId="0" xfId="0" applyNumberFormat="1" applyFont="1" applyFill="1" applyAlignment="1">
      <alignment horizontal="right"/>
    </xf>
    <xf numFmtId="0" fontId="37" fillId="0" borderId="0" xfId="0" applyFont="1"/>
    <xf numFmtId="0" fontId="37" fillId="0" borderId="0" xfId="0" applyFont="1" applyAlignment="1">
      <alignment horizontal="right"/>
    </xf>
    <xf numFmtId="0" fontId="37" fillId="0" borderId="0" xfId="0" applyFont="1" applyAlignment="1">
      <alignment horizontal="center"/>
    </xf>
    <xf numFmtId="0" fontId="47" fillId="0" borderId="0" xfId="0" applyFont="1"/>
    <xf numFmtId="0" fontId="47" fillId="0" borderId="0" xfId="0" applyFont="1" applyFill="1" applyAlignment="1">
      <alignment horizontal="center"/>
    </xf>
    <xf numFmtId="0" fontId="47" fillId="0" borderId="0" xfId="0" applyFont="1" applyFill="1" applyAlignment="1">
      <alignment horizontal="right"/>
    </xf>
    <xf numFmtId="0" fontId="47" fillId="0" borderId="0" xfId="0" applyFont="1" applyBorder="1" applyAlignment="1">
      <alignment horizontal="center"/>
    </xf>
    <xf numFmtId="0" fontId="37" fillId="0" borderId="0" xfId="0" applyFont="1" applyAlignment="1">
      <alignment horizontal="left" wrapText="1"/>
    </xf>
    <xf numFmtId="0" fontId="37" fillId="0" borderId="0" xfId="0" applyFont="1" applyAlignment="1">
      <alignment horizontal="right" wrapText="1"/>
    </xf>
    <xf numFmtId="0" fontId="47" fillId="0" borderId="0" xfId="0" applyNumberFormat="1" applyFont="1" applyFill="1" applyBorder="1" applyAlignment="1">
      <alignment horizontal="center"/>
    </xf>
    <xf numFmtId="37" fontId="37" fillId="0" borderId="0" xfId="0" applyNumberFormat="1" applyFont="1" applyAlignment="1">
      <alignment horizontal="right" wrapText="1"/>
    </xf>
    <xf numFmtId="37" fontId="37" fillId="0" borderId="0" xfId="0" applyNumberFormat="1" applyFont="1" applyAlignment="1">
      <alignment horizontal="right"/>
    </xf>
    <xf numFmtId="0" fontId="47" fillId="0" borderId="0" xfId="0" applyFont="1" applyFill="1"/>
    <xf numFmtId="0" fontId="37" fillId="0" borderId="0" xfId="0" applyFont="1" applyFill="1"/>
    <xf numFmtId="37" fontId="37" fillId="0" borderId="0" xfId="0" applyNumberFormat="1" applyFont="1" applyFill="1" applyAlignment="1">
      <alignment horizontal="right" wrapText="1"/>
    </xf>
    <xf numFmtId="37" fontId="47" fillId="0" borderId="0" xfId="0" applyNumberFormat="1" applyFont="1" applyFill="1"/>
    <xf numFmtId="41" fontId="37" fillId="0" borderId="0" xfId="0" applyNumberFormat="1" applyFont="1" applyFill="1" applyBorder="1" applyAlignment="1">
      <alignment horizontal="right"/>
    </xf>
    <xf numFmtId="0" fontId="13" fillId="6" borderId="0" xfId="0" applyFont="1" applyFill="1" applyBorder="1" applyAlignment="1">
      <alignment horizontal="center"/>
    </xf>
    <xf numFmtId="37" fontId="13" fillId="6" borderId="0" xfId="0" applyNumberFormat="1" applyFont="1" applyFill="1" applyBorder="1"/>
    <xf numFmtId="0" fontId="13" fillId="6" borderId="0" xfId="0" applyFont="1" applyFill="1" applyBorder="1" applyAlignment="1">
      <alignment wrapText="1"/>
    </xf>
    <xf numFmtId="0" fontId="2" fillId="6" borderId="0" xfId="0" applyFont="1" applyFill="1" applyAlignment="1">
      <alignment horizontal="center"/>
    </xf>
    <xf numFmtId="0" fontId="31" fillId="6" borderId="0" xfId="0" applyFont="1" applyFill="1" applyAlignment="1">
      <alignment horizontal="center"/>
    </xf>
    <xf numFmtId="0" fontId="77" fillId="6" borderId="0" xfId="0" applyFont="1" applyFill="1" applyAlignment="1">
      <alignment horizontal="center"/>
    </xf>
    <xf numFmtId="0" fontId="77" fillId="6" borderId="0" xfId="0" applyFont="1" applyFill="1" applyAlignment="1">
      <alignment horizontal="left"/>
    </xf>
    <xf numFmtId="0" fontId="77" fillId="6" borderId="0" xfId="0" applyFont="1" applyFill="1" applyBorder="1"/>
    <xf numFmtId="0" fontId="48" fillId="6" borderId="0" xfId="0" applyFont="1" applyFill="1" applyBorder="1"/>
    <xf numFmtId="0" fontId="48" fillId="6" borderId="0" xfId="0" applyFont="1" applyFill="1" applyBorder="1" applyAlignment="1">
      <alignment horizontal="left"/>
    </xf>
    <xf numFmtId="0" fontId="16" fillId="6" borderId="0" xfId="0" applyFont="1" applyFill="1" applyBorder="1" applyAlignment="1">
      <alignment horizontal="centerContinuous"/>
    </xf>
    <xf numFmtId="0" fontId="55" fillId="6" borderId="0" xfId="0" applyFont="1" applyFill="1" applyBorder="1" applyAlignment="1">
      <alignment horizontal="centerContinuous"/>
    </xf>
    <xf numFmtId="0" fontId="25" fillId="6" borderId="0" xfId="0" applyFont="1" applyFill="1" applyBorder="1" applyAlignment="1">
      <alignment horizontal="centerContinuous"/>
    </xf>
    <xf numFmtId="0" fontId="13" fillId="6" borderId="0" xfId="0" applyFont="1" applyFill="1" applyBorder="1" applyAlignment="1">
      <alignment horizontal="left"/>
    </xf>
    <xf numFmtId="164" fontId="13" fillId="6" borderId="0" xfId="0" applyNumberFormat="1" applyFont="1" applyFill="1" applyBorder="1" applyAlignment="1">
      <alignment wrapText="1"/>
    </xf>
    <xf numFmtId="0" fontId="13" fillId="6" borderId="0" xfId="0" applyFont="1" applyFill="1" applyBorder="1"/>
    <xf numFmtId="0" fontId="15" fillId="6" borderId="0" xfId="0" applyFont="1" applyFill="1" applyBorder="1" applyAlignment="1">
      <alignment wrapText="1"/>
    </xf>
    <xf numFmtId="37" fontId="13" fillId="6" borderId="0" xfId="0" applyNumberFormat="1" applyFont="1" applyFill="1" applyBorder="1" applyAlignment="1">
      <alignment wrapText="1"/>
    </xf>
    <xf numFmtId="0" fontId="12" fillId="6" borderId="0" xfId="0" applyFont="1" applyFill="1" applyBorder="1"/>
    <xf numFmtId="164" fontId="76" fillId="6" borderId="0" xfId="1" applyNumberFormat="1" applyFont="1" applyFill="1" applyBorder="1"/>
    <xf numFmtId="37" fontId="13" fillId="6" borderId="0" xfId="0" applyNumberFormat="1" applyFont="1" applyFill="1" applyBorder="1" applyAlignment="1">
      <alignment horizontal="center"/>
    </xf>
    <xf numFmtId="37" fontId="13" fillId="6" borderId="17" xfId="0" applyNumberFormat="1" applyFont="1" applyFill="1" applyBorder="1"/>
    <xf numFmtId="0" fontId="13" fillId="6" borderId="0" xfId="0" applyFont="1" applyFill="1" applyAlignment="1">
      <alignment vertical="top"/>
    </xf>
    <xf numFmtId="164" fontId="13" fillId="0" borderId="17" xfId="1" applyNumberFormat="1" applyFont="1" applyFill="1" applyBorder="1" applyAlignment="1">
      <alignment horizontal="right"/>
    </xf>
    <xf numFmtId="37" fontId="13" fillId="0" borderId="17" xfId="0" applyNumberFormat="1" applyFont="1" applyFill="1" applyBorder="1"/>
    <xf numFmtId="0" fontId="45" fillId="6" borderId="0" xfId="0" applyFont="1" applyFill="1" applyAlignment="1">
      <alignment horizontal="center"/>
    </xf>
    <xf numFmtId="0" fontId="37" fillId="6" borderId="18" xfId="0" applyFont="1" applyFill="1" applyBorder="1" applyAlignment="1">
      <alignment horizontal="center"/>
    </xf>
    <xf numFmtId="0" fontId="47" fillId="6" borderId="19" xfId="0" applyFont="1" applyFill="1" applyBorder="1" applyAlignment="1">
      <alignment horizontal="right"/>
    </xf>
    <xf numFmtId="37" fontId="37" fillId="6" borderId="19" xfId="0" applyNumberFormat="1" applyFont="1" applyFill="1" applyBorder="1"/>
    <xf numFmtId="0" fontId="37" fillId="6" borderId="19" xfId="0" applyFont="1" applyFill="1" applyBorder="1"/>
    <xf numFmtId="0" fontId="37" fillId="6" borderId="0" xfId="0" applyFont="1" applyFill="1"/>
    <xf numFmtId="0" fontId="47" fillId="6" borderId="20" xfId="0" applyFont="1" applyFill="1" applyBorder="1" applyAlignment="1">
      <alignment horizontal="right"/>
    </xf>
    <xf numFmtId="37" fontId="37" fillId="6" borderId="20" xfId="0" applyNumberFormat="1" applyFont="1" applyFill="1" applyBorder="1"/>
    <xf numFmtId="0" fontId="37" fillId="6" borderId="20" xfId="0" applyFont="1" applyFill="1" applyBorder="1"/>
    <xf numFmtId="0" fontId="47" fillId="6" borderId="21" xfId="0" applyFont="1" applyFill="1" applyBorder="1" applyAlignment="1">
      <alignment horizontal="right"/>
    </xf>
    <xf numFmtId="37" fontId="37" fillId="6" borderId="21" xfId="0" applyNumberFormat="1" applyFont="1" applyFill="1" applyBorder="1"/>
    <xf numFmtId="172" fontId="37" fillId="6" borderId="19" xfId="0" applyNumberFormat="1" applyFont="1" applyFill="1" applyBorder="1"/>
    <xf numFmtId="0" fontId="47" fillId="6" borderId="22" xfId="0" applyFont="1" applyFill="1" applyBorder="1" applyAlignment="1">
      <alignment horizontal="right"/>
    </xf>
    <xf numFmtId="0" fontId="37" fillId="6" borderId="22" xfId="0" applyFont="1" applyFill="1" applyBorder="1"/>
    <xf numFmtId="0" fontId="47" fillId="6" borderId="17" xfId="0" applyFont="1" applyFill="1" applyBorder="1" applyAlignment="1">
      <alignment horizontal="right"/>
    </xf>
    <xf numFmtId="37" fontId="37" fillId="6" borderId="17" xfId="0" applyNumberFormat="1" applyFont="1" applyFill="1" applyBorder="1"/>
    <xf numFmtId="37" fontId="47" fillId="6" borderId="17" xfId="0" applyNumberFormat="1" applyFont="1" applyFill="1" applyBorder="1"/>
    <xf numFmtId="37" fontId="37" fillId="6" borderId="17" xfId="0" applyNumberFormat="1" applyFont="1" applyFill="1" applyBorder="1" applyAlignment="1">
      <alignment horizontal="left"/>
    </xf>
    <xf numFmtId="0" fontId="37" fillId="6" borderId="0" xfId="0" applyFont="1" applyFill="1" applyAlignment="1">
      <alignment horizontal="left"/>
    </xf>
    <xf numFmtId="0" fontId="37" fillId="6" borderId="0" xfId="0" applyFont="1" applyFill="1" applyBorder="1"/>
    <xf numFmtId="37" fontId="37" fillId="6" borderId="0" xfId="0" applyNumberFormat="1" applyFont="1" applyFill="1" applyBorder="1" applyAlignment="1">
      <alignment horizontal="center"/>
    </xf>
    <xf numFmtId="0" fontId="47" fillId="6" borderId="0" xfId="0" applyFont="1" applyFill="1"/>
    <xf numFmtId="0" fontId="47" fillId="6" borderId="0" xfId="0" applyFont="1" applyFill="1" applyAlignment="1">
      <alignment horizontal="left"/>
    </xf>
    <xf numFmtId="0" fontId="45" fillId="0" borderId="0" xfId="0" applyFont="1" applyFill="1"/>
    <xf numFmtId="10" fontId="48" fillId="0" borderId="16" xfId="6" applyNumberFormat="1" applyFont="1" applyFill="1" applyBorder="1" applyAlignment="1">
      <alignment horizontal="center"/>
    </xf>
    <xf numFmtId="0" fontId="2" fillId="0" borderId="8" xfId="0" applyFont="1" applyFill="1" applyBorder="1" applyAlignment="1">
      <alignment horizontal="center"/>
    </xf>
    <xf numFmtId="0" fontId="13" fillId="7" borderId="0" xfId="0" applyFont="1" applyFill="1"/>
    <xf numFmtId="16" fontId="13" fillId="0" borderId="0" xfId="0" applyNumberFormat="1" applyFont="1" applyAlignment="1">
      <alignment horizontal="center"/>
    </xf>
    <xf numFmtId="0" fontId="13" fillId="0" borderId="0" xfId="0" applyFont="1" applyAlignment="1">
      <alignment horizontal="center" vertical="top"/>
    </xf>
    <xf numFmtId="0" fontId="13" fillId="0" borderId="0" xfId="0" applyFont="1" applyAlignment="1"/>
    <xf numFmtId="164" fontId="13" fillId="0" borderId="0" xfId="1" applyNumberFormat="1" applyFont="1"/>
    <xf numFmtId="167" fontId="13" fillId="4" borderId="0" xfId="2" applyNumberFormat="1" applyFont="1" applyFill="1"/>
    <xf numFmtId="0" fontId="46" fillId="7" borderId="0" xfId="0" applyFont="1" applyFill="1" applyBorder="1"/>
    <xf numFmtId="164" fontId="46" fillId="7" borderId="0" xfId="0" applyNumberFormat="1" applyFont="1" applyFill="1" applyBorder="1"/>
    <xf numFmtId="43" fontId="46" fillId="0" borderId="0" xfId="0" applyNumberFormat="1" applyFont="1" applyFill="1" applyBorder="1"/>
    <xf numFmtId="0" fontId="4" fillId="7" borderId="0" xfId="0" applyFont="1" applyFill="1" applyAlignment="1">
      <alignment horizontal="left"/>
    </xf>
    <xf numFmtId="167" fontId="13" fillId="7" borderId="0" xfId="0" applyNumberFormat="1" applyFont="1" applyFill="1"/>
    <xf numFmtId="167" fontId="13" fillId="0" borderId="0" xfId="2" applyNumberFormat="1" applyFont="1"/>
    <xf numFmtId="167" fontId="13" fillId="0" borderId="0" xfId="0" applyNumberFormat="1" applyFont="1"/>
    <xf numFmtId="164" fontId="13" fillId="0" borderId="0" xfId="0" applyNumberFormat="1" applyFont="1" applyFill="1" applyBorder="1"/>
    <xf numFmtId="167" fontId="13" fillId="0" borderId="0" xfId="2" applyNumberFormat="1" applyFont="1" applyFill="1" applyAlignment="1">
      <alignment horizontal="left"/>
    </xf>
    <xf numFmtId="167" fontId="13" fillId="0" borderId="0" xfId="2" applyNumberFormat="1" applyFont="1" applyAlignment="1">
      <alignment horizontal="left"/>
    </xf>
    <xf numFmtId="0" fontId="13" fillId="0" borderId="16" xfId="0" applyFont="1" applyBorder="1" applyAlignment="1">
      <alignment horizontal="center"/>
    </xf>
    <xf numFmtId="0" fontId="13" fillId="0" borderId="15" xfId="0" applyFont="1" applyBorder="1" applyAlignment="1">
      <alignment horizontal="center"/>
    </xf>
    <xf numFmtId="0" fontId="13" fillId="7" borderId="0" xfId="0" applyFont="1" applyFill="1" applyAlignment="1">
      <alignment horizontal="center" wrapText="1"/>
    </xf>
    <xf numFmtId="0" fontId="13" fillId="0" borderId="0" xfId="0" applyFont="1" applyAlignment="1">
      <alignment wrapText="1"/>
    </xf>
    <xf numFmtId="0" fontId="13" fillId="0" borderId="0" xfId="0" applyFont="1" applyAlignment="1">
      <alignment horizontal="center" wrapText="1"/>
    </xf>
    <xf numFmtId="43" fontId="13" fillId="0" borderId="0" xfId="1" applyFont="1" applyAlignment="1">
      <alignment horizontal="center" wrapText="1"/>
    </xf>
    <xf numFmtId="164" fontId="13" fillId="0" borderId="0" xfId="1" applyNumberFormat="1" applyFont="1" applyFill="1" applyBorder="1" applyAlignment="1">
      <alignment horizontal="center" wrapText="1"/>
    </xf>
    <xf numFmtId="0" fontId="13" fillId="7" borderId="0" xfId="0" applyFont="1" applyFill="1" applyAlignment="1">
      <alignment horizontal="left"/>
    </xf>
    <xf numFmtId="0" fontId="13" fillId="7" borderId="0" xfId="0" applyFont="1" applyFill="1" applyAlignment="1">
      <alignment horizontal="center"/>
    </xf>
    <xf numFmtId="164" fontId="13" fillId="7" borderId="0" xfId="1" applyNumberFormat="1" applyFont="1" applyFill="1" applyAlignment="1">
      <alignment horizontal="center" wrapText="1"/>
    </xf>
    <xf numFmtId="164" fontId="13" fillId="0" borderId="0" xfId="0" applyNumberFormat="1" applyFont="1"/>
    <xf numFmtId="164" fontId="13" fillId="0" borderId="4" xfId="0" applyNumberFormat="1" applyFont="1" applyBorder="1"/>
    <xf numFmtId="43" fontId="13" fillId="0" borderId="0" xfId="0" applyNumberFormat="1" applyFont="1" applyFill="1" applyBorder="1"/>
    <xf numFmtId="166" fontId="13" fillId="7" borderId="0" xfId="0" applyNumberFormat="1" applyFont="1" applyFill="1"/>
    <xf numFmtId="0" fontId="13" fillId="7" borderId="0" xfId="0" applyNumberFormat="1" applyFont="1" applyFill="1"/>
    <xf numFmtId="0" fontId="46" fillId="0" borderId="0" xfId="0" applyFont="1" applyFill="1" applyBorder="1"/>
    <xf numFmtId="164" fontId="46" fillId="0" borderId="0" xfId="0" applyNumberFormat="1" applyFont="1" applyFill="1" applyBorder="1"/>
    <xf numFmtId="43" fontId="46" fillId="0" borderId="0" xfId="0" applyNumberFormat="1" applyFont="1"/>
    <xf numFmtId="167" fontId="13" fillId="7" borderId="0" xfId="2" applyNumberFormat="1" applyFont="1" applyFill="1" applyAlignment="1">
      <alignment horizontal="left"/>
    </xf>
    <xf numFmtId="0" fontId="4" fillId="0" borderId="0" xfId="0" applyFont="1" applyFill="1" applyAlignment="1">
      <alignment horizontal="left"/>
    </xf>
    <xf numFmtId="0" fontId="13" fillId="0" borderId="0" xfId="0" applyNumberFormat="1" applyFont="1" applyAlignment="1">
      <alignment horizontal="left"/>
    </xf>
    <xf numFmtId="167" fontId="13" fillId="0" borderId="0" xfId="0" applyNumberFormat="1" applyFont="1" applyAlignment="1">
      <alignment horizontal="center"/>
    </xf>
    <xf numFmtId="44" fontId="13" fillId="0" borderId="0" xfId="2" applyFont="1" applyBorder="1" applyAlignment="1">
      <alignment horizontal="center"/>
    </xf>
    <xf numFmtId="43" fontId="13" fillId="0" borderId="0" xfId="1" applyFont="1" applyBorder="1" applyAlignment="1">
      <alignment horizontal="center"/>
    </xf>
    <xf numFmtId="43" fontId="13" fillId="0" borderId="0" xfId="1" applyFont="1"/>
    <xf numFmtId="43" fontId="13" fillId="0" borderId="0" xfId="1" applyFont="1" applyFill="1" applyBorder="1" applyAlignment="1">
      <alignment horizontal="center"/>
    </xf>
    <xf numFmtId="3" fontId="13" fillId="0" borderId="8" xfId="0" applyNumberFormat="1" applyFont="1" applyFill="1" applyBorder="1" applyAlignment="1"/>
    <xf numFmtId="37" fontId="13" fillId="6" borderId="19" xfId="0" applyNumberFormat="1" applyFont="1" applyFill="1" applyBorder="1"/>
    <xf numFmtId="171" fontId="5" fillId="0" borderId="0" xfId="0" applyNumberFormat="1" applyFont="1" applyFill="1" applyAlignment="1"/>
    <xf numFmtId="2" fontId="13" fillId="0" borderId="0" xfId="0" applyNumberFormat="1" applyFont="1" applyFill="1"/>
    <xf numFmtId="2" fontId="35" fillId="0" borderId="8" xfId="0" applyNumberFormat="1" applyFont="1" applyFill="1" applyBorder="1" applyAlignment="1">
      <alignment horizontal="center"/>
    </xf>
    <xf numFmtId="43" fontId="35" fillId="0" borderId="8" xfId="1" applyNumberFormat="1" applyFont="1" applyFill="1" applyBorder="1"/>
    <xf numFmtId="167" fontId="13" fillId="0" borderId="0" xfId="2" applyNumberFormat="1" applyFont="1" applyBorder="1" applyAlignment="1">
      <alignment horizontal="center"/>
    </xf>
    <xf numFmtId="167" fontId="13" fillId="0" borderId="0" xfId="1" applyNumberFormat="1" applyFont="1" applyFill="1" applyBorder="1" applyAlignment="1">
      <alignment horizontal="center" wrapText="1"/>
    </xf>
    <xf numFmtId="167" fontId="13" fillId="0" borderId="0" xfId="0" applyNumberFormat="1" applyFont="1" applyFill="1" applyBorder="1"/>
    <xf numFmtId="0" fontId="44" fillId="6" borderId="19" xfId="0" applyFont="1" applyFill="1" applyBorder="1"/>
    <xf numFmtId="0" fontId="12" fillId="6" borderId="23" xfId="0" applyFont="1" applyFill="1" applyBorder="1"/>
    <xf numFmtId="0" fontId="44" fillId="6" borderId="2" xfId="0" applyFont="1" applyFill="1" applyBorder="1"/>
    <xf numFmtId="0" fontId="44" fillId="6" borderId="24" xfId="0" applyFont="1" applyFill="1" applyBorder="1" applyAlignment="1">
      <alignment horizontal="center"/>
    </xf>
    <xf numFmtId="0" fontId="12" fillId="6" borderId="25" xfId="0" applyFont="1" applyFill="1" applyBorder="1" applyAlignment="1">
      <alignment horizontal="left"/>
    </xf>
    <xf numFmtId="0" fontId="44" fillId="6" borderId="0" xfId="0" applyFont="1" applyFill="1" applyBorder="1"/>
    <xf numFmtId="0" fontId="44" fillId="6" borderId="0" xfId="0" applyFont="1" applyFill="1" applyBorder="1" applyAlignment="1">
      <alignment horizontal="center"/>
    </xf>
    <xf numFmtId="0" fontId="44" fillId="6" borderId="26" xfId="0" applyFont="1" applyFill="1" applyBorder="1" applyAlignment="1">
      <alignment horizontal="center"/>
    </xf>
    <xf numFmtId="0" fontId="44" fillId="6" borderId="2" xfId="0" applyFont="1" applyFill="1" applyBorder="1" applyAlignment="1">
      <alignment horizontal="center"/>
    </xf>
    <xf numFmtId="0" fontId="44" fillId="6" borderId="26" xfId="0" applyFont="1" applyFill="1" applyBorder="1"/>
    <xf numFmtId="0" fontId="79" fillId="6" borderId="0" xfId="0" applyFont="1" applyFill="1" applyBorder="1" applyAlignment="1">
      <alignment horizontal="left"/>
    </xf>
    <xf numFmtId="0" fontId="4" fillId="6" borderId="0" xfId="0" applyNumberFormat="1" applyFont="1" applyFill="1" applyBorder="1" applyAlignment="1">
      <alignment horizontal="center"/>
    </xf>
    <xf numFmtId="0" fontId="4" fillId="6" borderId="0" xfId="0" applyFont="1" applyFill="1"/>
    <xf numFmtId="0" fontId="4" fillId="6" borderId="0" xfId="0" applyFont="1" applyFill="1" applyBorder="1" applyAlignment="1"/>
    <xf numFmtId="37" fontId="44" fillId="6" borderId="0" xfId="0" applyNumberFormat="1" applyFont="1" applyFill="1" applyBorder="1" applyAlignment="1">
      <alignment horizontal="left"/>
    </xf>
    <xf numFmtId="0" fontId="44" fillId="6" borderId="0" xfId="0" applyFont="1" applyFill="1"/>
    <xf numFmtId="0" fontId="44" fillId="6" borderId="0" xfId="0" applyFont="1" applyFill="1" applyAlignment="1">
      <alignment horizontal="left"/>
    </xf>
    <xf numFmtId="0" fontId="12" fillId="4" borderId="27" xfId="0" applyFont="1" applyFill="1" applyBorder="1" applyAlignment="1">
      <alignment horizontal="center"/>
    </xf>
    <xf numFmtId="0" fontId="12" fillId="4" borderId="28" xfId="0" applyFont="1" applyFill="1" applyBorder="1" applyAlignment="1">
      <alignment horizontal="center" wrapText="1"/>
    </xf>
    <xf numFmtId="0" fontId="12" fillId="4" borderId="29" xfId="0" applyFont="1" applyFill="1" applyBorder="1" applyAlignment="1">
      <alignment horizontal="center" wrapText="1"/>
    </xf>
    <xf numFmtId="3" fontId="12" fillId="4" borderId="0" xfId="0" applyNumberFormat="1" applyFont="1" applyFill="1" applyBorder="1" applyAlignment="1">
      <alignment horizontal="center"/>
    </xf>
    <xf numFmtId="0" fontId="4" fillId="6" borderId="0" xfId="0" applyFont="1" applyFill="1" applyAlignment="1">
      <alignment horizontal="left"/>
    </xf>
    <xf numFmtId="0" fontId="12" fillId="4" borderId="29" xfId="0" applyFont="1" applyFill="1" applyBorder="1" applyAlignment="1">
      <alignment horizontal="left" wrapText="1"/>
    </xf>
    <xf numFmtId="0" fontId="44" fillId="4" borderId="27" xfId="0" applyFont="1" applyFill="1" applyBorder="1" applyAlignment="1">
      <alignment horizontal="left"/>
    </xf>
    <xf numFmtId="0" fontId="44" fillId="4" borderId="30" xfId="0" applyFont="1" applyFill="1" applyBorder="1" applyAlignment="1">
      <alignment horizontal="left"/>
    </xf>
    <xf numFmtId="3" fontId="35" fillId="7" borderId="8" xfId="0" applyNumberFormat="1" applyFont="1" applyFill="1" applyBorder="1" applyAlignment="1">
      <alignment horizontal="center"/>
    </xf>
    <xf numFmtId="3" fontId="18" fillId="0" borderId="0" xfId="0" applyNumberFormat="1" applyFont="1" applyFill="1" applyAlignment="1">
      <alignment horizontal="right"/>
    </xf>
    <xf numFmtId="3" fontId="70" fillId="0" borderId="0" xfId="0" applyNumberFormat="1" applyFont="1" applyFill="1" applyBorder="1" applyAlignment="1"/>
    <xf numFmtId="0" fontId="70" fillId="0" borderId="4" xfId="0" applyNumberFormat="1" applyFont="1" applyFill="1" applyBorder="1" applyAlignment="1">
      <alignment horizontal="left"/>
    </xf>
    <xf numFmtId="3" fontId="70" fillId="0" borderId="3" xfId="0" applyNumberFormat="1" applyFont="1" applyFill="1" applyBorder="1" applyAlignment="1"/>
    <xf numFmtId="0" fontId="70" fillId="3" borderId="0" xfId="0" applyFont="1" applyFill="1"/>
    <xf numFmtId="3" fontId="70" fillId="0" borderId="0" xfId="0" applyNumberFormat="1" applyFont="1" applyFill="1" applyAlignment="1"/>
    <xf numFmtId="3" fontId="70" fillId="0" borderId="4" xfId="0" applyNumberFormat="1" applyFont="1" applyFill="1" applyBorder="1" applyAlignment="1"/>
    <xf numFmtId="0" fontId="70" fillId="0" borderId="0" xfId="0" applyFont="1" applyFill="1" applyAlignment="1"/>
    <xf numFmtId="0" fontId="70" fillId="0" borderId="4" xfId="0" applyFont="1" applyFill="1" applyBorder="1" applyAlignment="1"/>
    <xf numFmtId="0" fontId="70" fillId="0" borderId="0" xfId="0" applyFont="1" applyBorder="1" applyAlignment="1"/>
    <xf numFmtId="0" fontId="70" fillId="0" borderId="0" xfId="0" applyNumberFormat="1" applyFont="1" applyFill="1" applyAlignment="1">
      <alignment horizontal="left"/>
    </xf>
    <xf numFmtId="3" fontId="70" fillId="0" borderId="0" xfId="0" applyNumberFormat="1" applyFont="1" applyBorder="1" applyAlignment="1"/>
    <xf numFmtId="3" fontId="3" fillId="0" borderId="3" xfId="0" applyNumberFormat="1" applyFont="1" applyFill="1" applyBorder="1" applyAlignment="1"/>
    <xf numFmtId="0" fontId="70" fillId="0" borderId="0" xfId="0" applyFont="1" applyAlignment="1"/>
    <xf numFmtId="3" fontId="70" fillId="0" borderId="0" xfId="0" applyNumberFormat="1" applyFont="1" applyAlignment="1"/>
    <xf numFmtId="168" fontId="70" fillId="0" borderId="0" xfId="0" applyNumberFormat="1" applyFont="1" applyFill="1" applyAlignment="1">
      <alignment horizontal="left"/>
    </xf>
    <xf numFmtId="3" fontId="70" fillId="0" borderId="0" xfId="0" applyNumberFormat="1" applyFont="1" applyFill="1" applyBorder="1" applyAlignment="1">
      <alignment horizontal="right"/>
    </xf>
    <xf numFmtId="0" fontId="70" fillId="0" borderId="0" xfId="0" applyFont="1" applyFill="1" applyAlignment="1">
      <alignment horizontal="left"/>
    </xf>
    <xf numFmtId="0" fontId="70" fillId="0" borderId="0" xfId="0" applyFont="1" applyFill="1" applyBorder="1" applyAlignment="1"/>
    <xf numFmtId="0" fontId="70" fillId="0" borderId="0" xfId="0" applyFont="1" applyFill="1" applyBorder="1"/>
    <xf numFmtId="0" fontId="70" fillId="3" borderId="0" xfId="0" applyFont="1" applyFill="1" applyBorder="1" applyAlignment="1">
      <alignment horizontal="center" wrapText="1"/>
    </xf>
    <xf numFmtId="0" fontId="70" fillId="0" borderId="0" xfId="0" applyFont="1" applyFill="1" applyBorder="1" applyAlignment="1">
      <alignment horizontal="center" wrapText="1"/>
    </xf>
    <xf numFmtId="3" fontId="70" fillId="0" borderId="2" xfId="0" applyNumberFormat="1" applyFont="1" applyBorder="1" applyAlignment="1"/>
    <xf numFmtId="3" fontId="70" fillId="0" borderId="0" xfId="0" applyNumberFormat="1" applyFont="1"/>
    <xf numFmtId="3" fontId="3" fillId="0" borderId="0" xfId="0" applyNumberFormat="1" applyFont="1" applyFill="1" applyBorder="1" applyAlignment="1"/>
    <xf numFmtId="3" fontId="70" fillId="0" borderId="0" xfId="0" applyNumberFormat="1" applyFont="1" applyAlignment="1">
      <alignment horizontal="center"/>
    </xf>
    <xf numFmtId="3" fontId="3" fillId="0" borderId="3" xfId="0" applyNumberFormat="1" applyFont="1" applyBorder="1"/>
    <xf numFmtId="3" fontId="70" fillId="0" borderId="0" xfId="0" applyNumberFormat="1" applyFont="1" applyFill="1" applyAlignment="1">
      <alignment horizontal="right"/>
    </xf>
    <xf numFmtId="171" fontId="70" fillId="0" borderId="0" xfId="6" applyNumberFormat="1" applyFont="1" applyAlignment="1">
      <alignment horizontal="right"/>
    </xf>
    <xf numFmtId="3" fontId="3" fillId="0" borderId="0" xfId="0" applyNumberFormat="1" applyFont="1" applyBorder="1" applyAlignment="1">
      <alignment horizontal="right"/>
    </xf>
    <xf numFmtId="172" fontId="70" fillId="0" borderId="0" xfId="0" applyNumberFormat="1" applyFont="1" applyAlignment="1">
      <alignment horizontal="right"/>
    </xf>
    <xf numFmtId="3" fontId="3" fillId="0" borderId="2" xfId="0" applyNumberFormat="1" applyFont="1" applyBorder="1" applyAlignment="1"/>
    <xf numFmtId="10" fontId="70" fillId="0" borderId="0" xfId="0" applyNumberFormat="1" applyFont="1" applyAlignment="1">
      <alignment horizontal="right"/>
    </xf>
    <xf numFmtId="3" fontId="3" fillId="0" borderId="2" xfId="0" applyNumberFormat="1" applyFont="1" applyFill="1" applyBorder="1" applyAlignment="1">
      <alignment horizontal="right"/>
    </xf>
    <xf numFmtId="3" fontId="3" fillId="0" borderId="0" xfId="0" applyNumberFormat="1" applyFont="1" applyFill="1" applyBorder="1" applyAlignment="1">
      <alignment horizontal="right"/>
    </xf>
    <xf numFmtId="3" fontId="70" fillId="0" borderId="0" xfId="0" applyNumberFormat="1" applyFont="1" applyBorder="1" applyAlignment="1">
      <alignment horizontal="right"/>
    </xf>
    <xf numFmtId="3" fontId="70" fillId="0" borderId="4" xfId="0" applyNumberFormat="1" applyFont="1" applyFill="1" applyBorder="1" applyAlignment="1">
      <alignment horizontal="right"/>
    </xf>
    <xf numFmtId="166" fontId="70" fillId="0" borderId="0" xfId="0" applyNumberFormat="1" applyFont="1" applyAlignment="1"/>
    <xf numFmtId="10" fontId="3" fillId="0" borderId="0" xfId="0" applyNumberFormat="1" applyFont="1" applyFill="1" applyAlignment="1">
      <alignment horizontal="right"/>
    </xf>
    <xf numFmtId="3" fontId="16" fillId="0" borderId="5" xfId="0" applyNumberFormat="1" applyFont="1" applyBorder="1"/>
    <xf numFmtId="3" fontId="3" fillId="0" borderId="0" xfId="0" applyNumberFormat="1" applyFont="1" applyBorder="1"/>
    <xf numFmtId="3" fontId="3" fillId="0" borderId="5" xfId="0" applyNumberFormat="1" applyFont="1" applyFill="1" applyBorder="1"/>
    <xf numFmtId="164" fontId="3" fillId="0" borderId="0" xfId="1" applyNumberFormat="1" applyFont="1" applyAlignment="1"/>
    <xf numFmtId="164" fontId="3" fillId="0" borderId="0" xfId="1" applyNumberFormat="1" applyFont="1" applyFill="1" applyBorder="1" applyAlignment="1"/>
    <xf numFmtId="167" fontId="3" fillId="0" borderId="5" xfId="2" applyNumberFormat="1" applyFont="1" applyBorder="1" applyAlignment="1">
      <alignment horizontal="center"/>
    </xf>
    <xf numFmtId="0" fontId="25" fillId="0" borderId="0" xfId="0" applyFont="1" applyFill="1"/>
    <xf numFmtId="0" fontId="25" fillId="0" borderId="0" xfId="0" applyFont="1"/>
    <xf numFmtId="164" fontId="13" fillId="0" borderId="0" xfId="1" applyNumberFormat="1" applyFont="1" applyAlignment="1"/>
    <xf numFmtId="164" fontId="13" fillId="0" borderId="0" xfId="1" applyNumberFormat="1" applyFont="1" applyFill="1" applyAlignment="1"/>
    <xf numFmtId="9" fontId="13" fillId="0" borderId="0" xfId="6" applyFont="1" applyFill="1" applyBorder="1" applyAlignment="1">
      <alignment horizontal="center"/>
    </xf>
    <xf numFmtId="3" fontId="13" fillId="0" borderId="0" xfId="0" applyNumberFormat="1" applyFont="1" applyFill="1" applyBorder="1" applyAlignment="1">
      <alignment horizontal="left"/>
    </xf>
    <xf numFmtId="0" fontId="35" fillId="7" borderId="9" xfId="0" applyFont="1" applyFill="1" applyBorder="1" applyAlignment="1">
      <alignment horizontal="center"/>
    </xf>
    <xf numFmtId="0" fontId="35" fillId="7" borderId="8" xfId="0" applyFont="1" applyFill="1" applyBorder="1" applyAlignment="1">
      <alignment horizontal="center"/>
    </xf>
    <xf numFmtId="2" fontId="13" fillId="0" borderId="0" xfId="0" applyNumberFormat="1" applyFont="1"/>
    <xf numFmtId="37" fontId="13" fillId="4" borderId="19" xfId="0" applyNumberFormat="1" applyFont="1" applyFill="1" applyBorder="1"/>
    <xf numFmtId="3" fontId="3" fillId="0" borderId="0" xfId="0" applyNumberFormat="1" applyFont="1" applyFill="1" applyAlignment="1"/>
    <xf numFmtId="0" fontId="13" fillId="0" borderId="16" xfId="0" applyFont="1" applyFill="1" applyBorder="1"/>
    <xf numFmtId="0" fontId="12" fillId="4" borderId="31" xfId="0" applyFont="1" applyFill="1" applyBorder="1" applyAlignment="1">
      <alignment horizontal="center"/>
    </xf>
    <xf numFmtId="164" fontId="5" fillId="0" borderId="0" xfId="1" applyNumberFormat="1" applyFont="1" applyFill="1" applyBorder="1"/>
    <xf numFmtId="164" fontId="3" fillId="0" borderId="0" xfId="1" applyNumberFormat="1" applyFont="1" applyFill="1"/>
    <xf numFmtId="172" fontId="37" fillId="0" borderId="19" xfId="0" applyNumberFormat="1" applyFont="1" applyFill="1" applyBorder="1"/>
    <xf numFmtId="0" fontId="13" fillId="4" borderId="19" xfId="0" applyFont="1" applyFill="1" applyBorder="1" applyAlignment="1">
      <alignment horizontal="center"/>
    </xf>
    <xf numFmtId="0" fontId="13" fillId="4" borderId="19" xfId="0" applyFont="1" applyFill="1" applyBorder="1" applyAlignment="1">
      <alignment wrapText="1"/>
    </xf>
    <xf numFmtId="176" fontId="13" fillId="6" borderId="0" xfId="4" applyNumberFormat="1" applyFont="1" applyFill="1" applyBorder="1" applyAlignment="1" applyProtection="1">
      <alignment horizontal="left" indent="1"/>
      <protection locked="0"/>
    </xf>
    <xf numFmtId="0" fontId="3" fillId="6" borderId="0" xfId="5" applyFont="1" applyFill="1" applyBorder="1"/>
    <xf numFmtId="0" fontId="12" fillId="4" borderId="19" xfId="0" applyFont="1" applyFill="1" applyBorder="1"/>
    <xf numFmtId="0" fontId="44" fillId="4" borderId="19" xfId="0" applyFont="1" applyFill="1" applyBorder="1"/>
    <xf numFmtId="37" fontId="13" fillId="4" borderId="19" xfId="0" applyNumberFormat="1" applyFont="1" applyFill="1" applyBorder="1" applyAlignment="1">
      <alignment horizontal="right"/>
    </xf>
    <xf numFmtId="0" fontId="15" fillId="4" borderId="19" xfId="0" applyFont="1" applyFill="1" applyBorder="1" applyAlignment="1">
      <alignment wrapText="1"/>
    </xf>
    <xf numFmtId="0" fontId="12" fillId="4" borderId="22" xfId="0" applyFont="1" applyFill="1" applyBorder="1"/>
    <xf numFmtId="0" fontId="44" fillId="4" borderId="22" xfId="0" applyFont="1" applyFill="1" applyBorder="1"/>
    <xf numFmtId="37" fontId="13" fillId="4" borderId="22" xfId="0" applyNumberFormat="1" applyFont="1" applyFill="1" applyBorder="1"/>
    <xf numFmtId="176" fontId="13" fillId="6" borderId="0" xfId="4" applyNumberFormat="1" applyFont="1" applyFill="1" applyBorder="1" applyAlignment="1" applyProtection="1">
      <alignment horizontal="center"/>
      <protection locked="0"/>
    </xf>
    <xf numFmtId="0" fontId="2" fillId="6" borderId="0" xfId="5" applyFont="1" applyFill="1" applyBorder="1"/>
    <xf numFmtId="164" fontId="13" fillId="4" borderId="19" xfId="1" applyNumberFormat="1" applyFont="1" applyFill="1" applyBorder="1" applyAlignment="1">
      <alignment horizontal="right"/>
    </xf>
    <xf numFmtId="164" fontId="13" fillId="4" borderId="22" xfId="1" applyNumberFormat="1" applyFont="1" applyFill="1" applyBorder="1" applyAlignment="1">
      <alignment horizontal="right"/>
    </xf>
    <xf numFmtId="0" fontId="13" fillId="6" borderId="18" xfId="0" applyFont="1" applyFill="1" applyBorder="1"/>
    <xf numFmtId="37" fontId="13" fillId="6" borderId="32" xfId="0" applyNumberFormat="1" applyFont="1" applyFill="1" applyBorder="1" applyAlignment="1">
      <alignment horizontal="right"/>
    </xf>
    <xf numFmtId="37" fontId="13" fillId="6" borderId="32" xfId="0" applyNumberFormat="1" applyFont="1" applyFill="1" applyBorder="1"/>
    <xf numFmtId="0" fontId="2" fillId="6" borderId="19" xfId="0" applyFont="1" applyFill="1" applyBorder="1" applyAlignment="1"/>
    <xf numFmtId="0" fontId="2" fillId="6" borderId="19" xfId="0" applyFont="1" applyFill="1" applyBorder="1"/>
    <xf numFmtId="3" fontId="19" fillId="0" borderId="2" xfId="0" applyNumberFormat="1" applyFont="1" applyFill="1" applyBorder="1" applyAlignment="1">
      <alignment horizontal="right"/>
    </xf>
    <xf numFmtId="0" fontId="13" fillId="0" borderId="0" xfId="0" applyFont="1" applyFill="1" applyAlignment="1">
      <alignment horizontal="center" wrapText="1"/>
    </xf>
    <xf numFmtId="0" fontId="13" fillId="0" borderId="16" xfId="0" applyFont="1" applyBorder="1" applyAlignment="1"/>
    <xf numFmtId="0" fontId="13" fillId="0" borderId="15" xfId="0" applyFont="1" applyBorder="1" applyAlignment="1"/>
    <xf numFmtId="43" fontId="13" fillId="0" borderId="0" xfId="1" applyFont="1" applyFill="1" applyAlignment="1">
      <alignment horizontal="center" wrapText="1"/>
    </xf>
    <xf numFmtId="164" fontId="13" fillId="0" borderId="0" xfId="1" applyNumberFormat="1" applyFont="1" applyFill="1" applyAlignment="1">
      <alignment horizontal="center" wrapText="1"/>
    </xf>
    <xf numFmtId="164" fontId="13" fillId="0" borderId="0" xfId="0" applyNumberFormat="1" applyFont="1" applyFill="1" applyBorder="1" applyAlignment="1">
      <alignment horizontal="center" wrapText="1"/>
    </xf>
    <xf numFmtId="164" fontId="13" fillId="7" borderId="0" xfId="0" applyNumberFormat="1" applyFont="1" applyFill="1"/>
    <xf numFmtId="43" fontId="13" fillId="7" borderId="0" xfId="0" applyNumberFormat="1" applyFont="1" applyFill="1"/>
    <xf numFmtId="43" fontId="13" fillId="0" borderId="0" xfId="0" applyNumberFormat="1" applyFont="1"/>
    <xf numFmtId="3" fontId="13" fillId="7" borderId="0" xfId="0" applyNumberFormat="1" applyFont="1" applyFill="1" applyAlignment="1"/>
    <xf numFmtId="43" fontId="13" fillId="0" borderId="0" xfId="1" applyFont="1" applyBorder="1"/>
    <xf numFmtId="0" fontId="13" fillId="0" borderId="0" xfId="0" applyNumberFormat="1" applyFont="1"/>
    <xf numFmtId="167" fontId="13" fillId="0" borderId="0" xfId="2" applyNumberFormat="1" applyFont="1" applyFill="1"/>
    <xf numFmtId="0" fontId="13" fillId="0" borderId="0" xfId="2" applyNumberFormat="1" applyFont="1" applyFill="1" applyAlignment="1">
      <alignment horizontal="left"/>
    </xf>
    <xf numFmtId="164" fontId="4" fillId="0" borderId="0" xfId="0" applyNumberFormat="1" applyFont="1" applyFill="1"/>
    <xf numFmtId="0" fontId="13" fillId="8" borderId="0" xfId="0" applyFont="1" applyFill="1"/>
    <xf numFmtId="164" fontId="13" fillId="0" borderId="0" xfId="0" applyNumberFormat="1" applyFont="1" applyAlignment="1">
      <alignment horizontal="left"/>
    </xf>
    <xf numFmtId="164" fontId="13" fillId="0" borderId="0" xfId="0" applyNumberFormat="1" applyFont="1" applyAlignment="1">
      <alignment horizontal="center"/>
    </xf>
    <xf numFmtId="172" fontId="13" fillId="0" borderId="0" xfId="6" applyNumberFormat="1" applyFont="1"/>
    <xf numFmtId="172" fontId="13" fillId="0" borderId="0" xfId="0" applyNumberFormat="1" applyFont="1"/>
    <xf numFmtId="168" fontId="13" fillId="0" borderId="0" xfId="6" applyNumberFormat="1" applyFont="1"/>
    <xf numFmtId="167" fontId="13" fillId="0" borderId="0" xfId="0" applyNumberFormat="1" applyFont="1" applyFill="1"/>
    <xf numFmtId="3" fontId="13" fillId="0" borderId="0" xfId="0" applyNumberFormat="1" applyFont="1"/>
    <xf numFmtId="164" fontId="2" fillId="0" borderId="0" xfId="1" applyNumberFormat="1" applyFont="1" applyFill="1" applyAlignment="1"/>
    <xf numFmtId="3" fontId="13" fillId="0" borderId="8" xfId="0" applyNumberFormat="1" applyFont="1" applyFill="1" applyBorder="1" applyAlignment="1">
      <alignment horizontal="right"/>
    </xf>
    <xf numFmtId="2" fontId="15" fillId="0" borderId="0" xfId="0" applyNumberFormat="1" applyFont="1" applyFill="1"/>
    <xf numFmtId="49" fontId="0" fillId="0" borderId="0" xfId="0" applyNumberFormat="1" applyFill="1" applyAlignment="1">
      <alignment horizontal="left" indent="1"/>
    </xf>
    <xf numFmtId="0" fontId="13" fillId="3" borderId="0" xfId="0" applyFont="1" applyFill="1" applyBorder="1" applyAlignment="1">
      <alignment horizontal="left"/>
    </xf>
    <xf numFmtId="0" fontId="13" fillId="3" borderId="0" xfId="0" applyFont="1" applyFill="1" applyBorder="1"/>
    <xf numFmtId="0" fontId="81" fillId="3" borderId="0" xfId="0" applyFont="1" applyFill="1" applyBorder="1"/>
    <xf numFmtId="164" fontId="81" fillId="3" borderId="0" xfId="1" applyNumberFormat="1" applyFont="1" applyFill="1" applyBorder="1"/>
    <xf numFmtId="178" fontId="13" fillId="0" borderId="0" xfId="0" applyNumberFormat="1" applyFont="1"/>
    <xf numFmtId="0" fontId="15" fillId="0" borderId="0" xfId="0" applyFont="1"/>
    <xf numFmtId="0" fontId="71" fillId="0" borderId="0" xfId="0" applyFont="1"/>
    <xf numFmtId="164" fontId="13" fillId="0" borderId="34" xfId="1" applyNumberFormat="1" applyFont="1" applyFill="1" applyBorder="1"/>
    <xf numFmtId="164" fontId="13" fillId="0" borderId="1" xfId="0" applyNumberFormat="1" applyFont="1" applyFill="1" applyBorder="1" applyAlignment="1">
      <alignment horizontal="center"/>
    </xf>
    <xf numFmtId="164" fontId="83" fillId="7" borderId="0" xfId="0" applyNumberFormat="1" applyFont="1" applyFill="1" applyBorder="1"/>
    <xf numFmtId="164" fontId="83" fillId="7" borderId="0" xfId="0" applyNumberFormat="1" applyFont="1" applyFill="1"/>
    <xf numFmtId="49" fontId="15" fillId="0" borderId="0" xfId="0" applyNumberFormat="1" applyFont="1" applyFill="1" applyAlignment="1">
      <alignment horizontal="left" indent="1"/>
    </xf>
    <xf numFmtId="2" fontId="4" fillId="0" borderId="0" xfId="0" applyNumberFormat="1" applyFont="1" applyFill="1"/>
    <xf numFmtId="2" fontId="87" fillId="0" borderId="0" xfId="0" applyNumberFormat="1" applyFont="1"/>
    <xf numFmtId="49" fontId="4" fillId="0" borderId="0" xfId="0" applyNumberFormat="1" applyFont="1" applyAlignment="1">
      <alignment horizontal="left" indent="1"/>
    </xf>
    <xf numFmtId="49" fontId="87" fillId="0" borderId="0" xfId="0" applyNumberFormat="1" applyFont="1" applyFill="1" applyAlignment="1">
      <alignment horizontal="left" indent="1"/>
    </xf>
    <xf numFmtId="0" fontId="15" fillId="0" borderId="0" xfId="0" applyFont="1" applyFill="1"/>
    <xf numFmtId="0" fontId="80" fillId="0" borderId="0" xfId="0" applyFont="1"/>
    <xf numFmtId="3" fontId="13" fillId="7" borderId="0" xfId="0" applyNumberFormat="1" applyFont="1" applyFill="1" applyAlignment="1">
      <alignment horizontal="right" wrapText="1"/>
    </xf>
    <xf numFmtId="0" fontId="88" fillId="0" borderId="0" xfId="0" applyFont="1"/>
    <xf numFmtId="164" fontId="53" fillId="0" borderId="0" xfId="0" applyNumberFormat="1" applyFont="1" applyBorder="1"/>
    <xf numFmtId="164" fontId="53" fillId="0" borderId="0" xfId="1" applyNumberFormat="1" applyFont="1" applyBorder="1"/>
    <xf numFmtId="164" fontId="53" fillId="0" borderId="8" xfId="0" applyNumberFormat="1" applyFont="1" applyBorder="1"/>
    <xf numFmtId="164" fontId="53" fillId="0" borderId="7" xfId="1" applyNumberFormat="1" applyFont="1" applyBorder="1"/>
    <xf numFmtId="167" fontId="53" fillId="0" borderId="13" xfId="2" applyNumberFormat="1" applyFont="1" applyBorder="1"/>
    <xf numFmtId="0" fontId="53" fillId="0" borderId="8" xfId="0" applyFont="1" applyBorder="1"/>
    <xf numFmtId="167" fontId="53" fillId="0" borderId="7" xfId="0" applyNumberFormat="1" applyFont="1" applyBorder="1"/>
    <xf numFmtId="0" fontId="84" fillId="0" borderId="0" xfId="0" applyFont="1" applyFill="1" applyBorder="1" applyAlignment="1">
      <alignment horizontal="center" wrapText="1"/>
    </xf>
    <xf numFmtId="167" fontId="84" fillId="0" borderId="0" xfId="2" applyNumberFormat="1" applyFont="1" applyFill="1" applyBorder="1" applyAlignment="1">
      <alignment horizontal="center"/>
    </xf>
    <xf numFmtId="43" fontId="84" fillId="0" borderId="0" xfId="0" applyNumberFormat="1" applyFont="1" applyFill="1" applyBorder="1"/>
    <xf numFmtId="0" fontId="84" fillId="0" borderId="0" xfId="0" applyFont="1" applyFill="1" applyBorder="1" applyAlignment="1">
      <alignment horizontal="center"/>
    </xf>
    <xf numFmtId="0" fontId="84" fillId="0" borderId="0" xfId="0" applyFont="1" applyFill="1" applyBorder="1" applyAlignment="1">
      <alignment horizontal="left"/>
    </xf>
    <xf numFmtId="167" fontId="84" fillId="0" borderId="0" xfId="0" applyNumberFormat="1" applyFont="1" applyFill="1" applyBorder="1"/>
    <xf numFmtId="167" fontId="86" fillId="0" borderId="0" xfId="0" applyNumberFormat="1" applyFont="1" applyFill="1" applyBorder="1" applyAlignment="1">
      <alignment horizontal="center" wrapText="1"/>
    </xf>
    <xf numFmtId="0" fontId="84" fillId="0" borderId="0" xfId="0" applyFont="1" applyFill="1" applyBorder="1"/>
    <xf numFmtId="167" fontId="86" fillId="0" borderId="0" xfId="0" applyNumberFormat="1" applyFont="1" applyFill="1" applyBorder="1"/>
    <xf numFmtId="37" fontId="84" fillId="0" borderId="0" xfId="0" applyNumberFormat="1" applyFont="1" applyFill="1" applyBorder="1"/>
    <xf numFmtId="0" fontId="85" fillId="0" borderId="0" xfId="0" applyFont="1" applyFill="1" applyBorder="1"/>
    <xf numFmtId="0" fontId="70" fillId="0" borderId="0" xfId="0" applyFont="1" applyAlignment="1">
      <alignment horizontal="right"/>
    </xf>
    <xf numFmtId="0" fontId="3" fillId="0" borderId="0" xfId="0" applyFont="1" applyFill="1"/>
    <xf numFmtId="0" fontId="48" fillId="0" borderId="0" xfId="0" applyFont="1" applyFill="1" applyAlignment="1">
      <alignment horizontal="left" wrapText="1"/>
    </xf>
    <xf numFmtId="168" fontId="48" fillId="0" borderId="0" xfId="6" applyNumberFormat="1" applyFont="1" applyFill="1" applyAlignment="1">
      <alignment horizontal="center" wrapText="1"/>
    </xf>
    <xf numFmtId="0" fontId="48" fillId="0" borderId="0" xfId="0" applyFont="1" applyAlignment="1">
      <alignment horizontal="left" wrapText="1"/>
    </xf>
    <xf numFmtId="0" fontId="48" fillId="0" borderId="0" xfId="0" applyFont="1" applyAlignment="1">
      <alignment horizontal="right" wrapText="1"/>
    </xf>
    <xf numFmtId="0" fontId="48" fillId="0" borderId="0" xfId="0" applyFont="1" applyAlignment="1">
      <alignment horizontal="left" vertical="center" wrapText="1"/>
    </xf>
    <xf numFmtId="0" fontId="48" fillId="0" borderId="4" xfId="0" applyFont="1" applyBorder="1"/>
    <xf numFmtId="0" fontId="48" fillId="0" borderId="0" xfId="0" applyFont="1" applyFill="1" applyAlignment="1">
      <alignment horizontal="left" vertical="center" wrapText="1"/>
    </xf>
    <xf numFmtId="0" fontId="48" fillId="0" borderId="0" xfId="0" applyFont="1" applyFill="1" applyAlignment="1">
      <alignment horizontal="right"/>
    </xf>
    <xf numFmtId="0" fontId="48" fillId="0" borderId="0" xfId="0" applyFont="1" applyFill="1" applyAlignment="1">
      <alignment horizontal="left"/>
    </xf>
    <xf numFmtId="0" fontId="2" fillId="0" borderId="0" xfId="0" applyFont="1" applyAlignment="1">
      <alignment horizontal="center"/>
    </xf>
    <xf numFmtId="0" fontId="54" fillId="0" borderId="0" xfId="0" applyFont="1" applyFill="1"/>
    <xf numFmtId="0" fontId="88" fillId="0" borderId="0" xfId="0" applyFont="1" applyFill="1"/>
    <xf numFmtId="0" fontId="88" fillId="0" borderId="0" xfId="0" applyFont="1" applyAlignment="1">
      <alignment horizontal="center"/>
    </xf>
    <xf numFmtId="164" fontId="88" fillId="0" borderId="0" xfId="1" applyNumberFormat="1" applyFont="1" applyAlignment="1"/>
    <xf numFmtId="0" fontId="2" fillId="0" borderId="0" xfId="0" applyFont="1" applyAlignment="1">
      <alignment horizontal="right"/>
    </xf>
    <xf numFmtId="0" fontId="88" fillId="0" borderId="0" xfId="0" applyFont="1" applyFill="1" applyAlignment="1">
      <alignment horizontal="left"/>
    </xf>
    <xf numFmtId="164" fontId="88" fillId="0" borderId="0" xfId="0" applyNumberFormat="1" applyFont="1"/>
    <xf numFmtId="0" fontId="88" fillId="0" borderId="0" xfId="0" applyFont="1" applyAlignment="1">
      <alignment horizontal="left" wrapText="1"/>
    </xf>
    <xf numFmtId="0" fontId="88" fillId="0" borderId="0" xfId="0" applyFont="1" applyFill="1" applyAlignment="1"/>
    <xf numFmtId="0" fontId="88" fillId="0" borderId="0" xfId="0" applyFont="1" applyAlignment="1"/>
    <xf numFmtId="0" fontId="88" fillId="0" borderId="0" xfId="0" applyFont="1" applyFill="1" applyAlignment="1">
      <alignment horizontal="center"/>
    </xf>
    <xf numFmtId="164" fontId="88" fillId="0" borderId="0" xfId="1" applyNumberFormat="1" applyFont="1" applyFill="1" applyAlignment="1"/>
    <xf numFmtId="0" fontId="88" fillId="9" borderId="0" xfId="0" applyFont="1" applyFill="1"/>
    <xf numFmtId="0" fontId="88" fillId="0" borderId="0" xfId="0" applyFont="1" applyAlignment="1">
      <alignment horizontal="left" vertical="center"/>
    </xf>
    <xf numFmtId="0" fontId="88" fillId="0" borderId="0" xfId="0" applyFont="1" applyAlignment="1">
      <alignment horizontal="left" vertical="center" wrapText="1"/>
    </xf>
    <xf numFmtId="0" fontId="88" fillId="0" borderId="0" xfId="0" applyFont="1" applyFill="1" applyAlignment="1">
      <alignment horizontal="left" vertical="center" wrapText="1"/>
    </xf>
    <xf numFmtId="0" fontId="88" fillId="0" borderId="0" xfId="0" applyFont="1" applyAlignment="1">
      <alignment horizontal="left"/>
    </xf>
    <xf numFmtId="0" fontId="88" fillId="0" borderId="0" xfId="0" applyFont="1" applyFill="1" applyAlignment="1">
      <alignment horizontal="left" wrapText="1"/>
    </xf>
    <xf numFmtId="0" fontId="88" fillId="0" borderId="0" xfId="0" applyFont="1" applyFill="1" applyAlignment="1">
      <alignment horizontal="center" vertical="top"/>
    </xf>
    <xf numFmtId="164" fontId="88" fillId="0" borderId="0" xfId="1" applyNumberFormat="1" applyFont="1" applyFill="1" applyBorder="1" applyAlignment="1"/>
    <xf numFmtId="0" fontId="89" fillId="6" borderId="0" xfId="0" applyFont="1" applyFill="1" applyAlignment="1">
      <alignment horizontal="left"/>
    </xf>
    <xf numFmtId="0" fontId="90" fillId="6" borderId="0" xfId="0" applyFont="1" applyFill="1" applyAlignment="1">
      <alignment horizontal="center"/>
    </xf>
    <xf numFmtId="0" fontId="89" fillId="6" borderId="0" xfId="0" applyFont="1" applyFill="1"/>
    <xf numFmtId="0" fontId="89" fillId="0" borderId="0" xfId="0" applyFont="1" applyFill="1"/>
    <xf numFmtId="0" fontId="90" fillId="6" borderId="0" xfId="0" applyFont="1" applyFill="1"/>
    <xf numFmtId="10" fontId="11" fillId="0" borderId="0" xfId="6" applyNumberFormat="1" applyFont="1" applyAlignment="1"/>
    <xf numFmtId="10" fontId="3" fillId="0" borderId="3" xfId="6" applyNumberFormat="1" applyFont="1" applyBorder="1" applyAlignment="1"/>
    <xf numFmtId="10" fontId="11" fillId="0" borderId="3" xfId="6" applyNumberFormat="1" applyFont="1" applyBorder="1" applyAlignment="1"/>
    <xf numFmtId="10" fontId="70" fillId="0" borderId="0" xfId="6" applyNumberFormat="1" applyFont="1" applyAlignment="1"/>
    <xf numFmtId="10" fontId="70" fillId="0" borderId="0" xfId="6" applyNumberFormat="1" applyFont="1" applyBorder="1" applyAlignment="1"/>
    <xf numFmtId="10" fontId="70" fillId="0" borderId="0" xfId="6" applyNumberFormat="1" applyFont="1" applyFill="1" applyBorder="1" applyAlignment="1"/>
    <xf numFmtId="10" fontId="5" fillId="0" borderId="4" xfId="0" applyNumberFormat="1" applyFont="1" applyFill="1" applyBorder="1" applyAlignment="1">
      <alignment horizontal="right"/>
    </xf>
    <xf numFmtId="10" fontId="70" fillId="0" borderId="4" xfId="0" applyNumberFormat="1" applyFont="1" applyBorder="1" applyAlignment="1">
      <alignment horizontal="right"/>
    </xf>
    <xf numFmtId="10" fontId="5" fillId="0" borderId="0" xfId="0" applyNumberFormat="1" applyFont="1" applyBorder="1" applyAlignment="1">
      <alignment horizontal="right"/>
    </xf>
    <xf numFmtId="10" fontId="3" fillId="0" borderId="0" xfId="6" applyNumberFormat="1" applyFont="1" applyAlignment="1"/>
    <xf numFmtId="10" fontId="37" fillId="0" borderId="0" xfId="6" applyNumberFormat="1" applyFont="1" applyFill="1" applyAlignment="1">
      <alignment horizontal="center" wrapText="1"/>
    </xf>
    <xf numFmtId="10" fontId="37" fillId="0" borderId="0" xfId="0" applyNumberFormat="1" applyFont="1" applyFill="1" applyAlignment="1">
      <alignment horizontal="center" wrapText="1"/>
    </xf>
    <xf numFmtId="10" fontId="7" fillId="0" borderId="0" xfId="6" applyNumberFormat="1" applyFont="1" applyFill="1" applyBorder="1" applyAlignment="1"/>
    <xf numFmtId="10" fontId="7" fillId="0" borderId="0" xfId="6" applyNumberFormat="1" applyFont="1" applyAlignment="1"/>
    <xf numFmtId="10" fontId="7" fillId="0" borderId="4" xfId="6" applyNumberFormat="1" applyFont="1" applyBorder="1" applyAlignment="1"/>
    <xf numFmtId="10" fontId="5" fillId="0" borderId="0" xfId="6" applyNumberFormat="1" applyFont="1" applyFill="1" applyAlignment="1"/>
    <xf numFmtId="10" fontId="5" fillId="0" borderId="4" xfId="6" applyNumberFormat="1" applyFont="1" applyBorder="1" applyAlignment="1"/>
    <xf numFmtId="10" fontId="13" fillId="0" borderId="0" xfId="6" applyNumberFormat="1" applyFont="1" applyBorder="1"/>
    <xf numFmtId="10" fontId="13" fillId="0" borderId="1" xfId="6" applyNumberFormat="1" applyFont="1" applyFill="1" applyBorder="1"/>
    <xf numFmtId="37" fontId="89" fillId="6" borderId="0" xfId="0" applyNumberFormat="1" applyFont="1" applyFill="1" applyAlignment="1">
      <alignment horizontal="center"/>
    </xf>
    <xf numFmtId="0" fontId="68" fillId="0" borderId="0" xfId="0" applyFont="1" applyFill="1" applyBorder="1" applyAlignment="1">
      <alignment horizontal="left"/>
    </xf>
    <xf numFmtId="3" fontId="68" fillId="0" borderId="0" xfId="0" applyNumberFormat="1" applyFont="1" applyFill="1" applyAlignment="1"/>
    <xf numFmtId="172" fontId="16" fillId="0" borderId="0" xfId="6" applyNumberFormat="1" applyFont="1" applyFill="1" applyAlignment="1"/>
    <xf numFmtId="0" fontId="68" fillId="0" borderId="0" xfId="0" applyFont="1" applyFill="1"/>
    <xf numFmtId="43" fontId="25" fillId="0" borderId="0" xfId="1" applyFont="1" applyFill="1"/>
    <xf numFmtId="174" fontId="25" fillId="0" borderId="0" xfId="6" applyNumberFormat="1" applyFont="1" applyFill="1"/>
    <xf numFmtId="43" fontId="25" fillId="0" borderId="0" xfId="0" applyNumberFormat="1" applyFont="1" applyFill="1"/>
    <xf numFmtId="0" fontId="4" fillId="6" borderId="19" xfId="0" applyFont="1" applyFill="1" applyBorder="1"/>
    <xf numFmtId="0" fontId="4" fillId="4" borderId="19" xfId="0" applyFont="1" applyFill="1" applyBorder="1"/>
    <xf numFmtId="0" fontId="4" fillId="4" borderId="22" xfId="0" applyFont="1" applyFill="1" applyBorder="1"/>
    <xf numFmtId="0" fontId="4" fillId="6" borderId="2" xfId="0" applyFont="1" applyFill="1" applyBorder="1"/>
    <xf numFmtId="37" fontId="4" fillId="6" borderId="2" xfId="0" applyNumberFormat="1" applyFont="1" applyFill="1" applyBorder="1"/>
    <xf numFmtId="37" fontId="4" fillId="6" borderId="2" xfId="0" applyNumberFormat="1" applyFont="1" applyFill="1" applyBorder="1" applyAlignment="1">
      <alignment horizontal="center"/>
    </xf>
    <xf numFmtId="0" fontId="4" fillId="6" borderId="24" xfId="0" applyFont="1" applyFill="1" applyBorder="1" applyAlignment="1">
      <alignment horizontal="center"/>
    </xf>
    <xf numFmtId="0" fontId="4" fillId="6" borderId="0" xfId="0" applyFont="1" applyFill="1" applyBorder="1"/>
    <xf numFmtId="0" fontId="4" fillId="6" borderId="0" xfId="0" applyFont="1" applyFill="1" applyBorder="1" applyAlignment="1">
      <alignment horizontal="center"/>
    </xf>
    <xf numFmtId="0" fontId="4" fillId="6" borderId="26" xfId="0" applyFont="1" applyFill="1" applyBorder="1" applyAlignment="1">
      <alignment horizontal="center"/>
    </xf>
    <xf numFmtId="0" fontId="4" fillId="6" borderId="2" xfId="0" applyFont="1" applyFill="1" applyBorder="1" applyAlignment="1">
      <alignment horizontal="center"/>
    </xf>
    <xf numFmtId="0" fontId="91" fillId="0" borderId="0" xfId="0" quotePrefix="1" applyFont="1"/>
    <xf numFmtId="37" fontId="91" fillId="0" borderId="0" xfId="0" quotePrefix="1" applyNumberFormat="1" applyFont="1" applyAlignment="1">
      <alignment horizontal="center"/>
    </xf>
    <xf numFmtId="3" fontId="13" fillId="10" borderId="0" xfId="0" applyNumberFormat="1" applyFont="1" applyFill="1" applyAlignment="1"/>
    <xf numFmtId="3" fontId="13" fillId="10" borderId="4" xfId="0" applyNumberFormat="1" applyFont="1" applyFill="1" applyBorder="1" applyAlignment="1"/>
    <xf numFmtId="167" fontId="13" fillId="10" borderId="0" xfId="2" applyNumberFormat="1" applyFont="1" applyFill="1"/>
    <xf numFmtId="172" fontId="13" fillId="10" borderId="0" xfId="6" applyNumberFormat="1" applyFont="1" applyFill="1"/>
    <xf numFmtId="164" fontId="13" fillId="10" borderId="0" xfId="1" applyNumberFormat="1" applyFont="1" applyFill="1" applyAlignment="1">
      <alignment horizontal="left"/>
    </xf>
    <xf numFmtId="37" fontId="13" fillId="10" borderId="0" xfId="0" applyNumberFormat="1" applyFont="1" applyFill="1" applyAlignment="1"/>
    <xf numFmtId="37" fontId="13" fillId="10" borderId="0" xfId="1" applyNumberFormat="1" applyFont="1" applyFill="1"/>
    <xf numFmtId="37" fontId="13" fillId="10" borderId="4" xfId="1" applyNumberFormat="1" applyFont="1" applyFill="1" applyBorder="1"/>
    <xf numFmtId="2" fontId="35" fillId="10" borderId="8" xfId="0" applyNumberFormat="1" applyFont="1" applyFill="1" applyBorder="1" applyAlignment="1">
      <alignment horizontal="center"/>
    </xf>
    <xf numFmtId="0" fontId="35" fillId="10" borderId="8" xfId="0" applyFont="1" applyFill="1" applyBorder="1" applyAlignment="1">
      <alignment horizontal="center"/>
    </xf>
    <xf numFmtId="167" fontId="35" fillId="0" borderId="7" xfId="0" applyNumberFormat="1" applyFont="1" applyFill="1" applyBorder="1"/>
    <xf numFmtId="167" fontId="35" fillId="0" borderId="8" xfId="0" applyNumberFormat="1" applyFont="1" applyFill="1" applyBorder="1"/>
    <xf numFmtId="0" fontId="35" fillId="0" borderId="7" xfId="0" applyFont="1" applyFill="1" applyBorder="1"/>
    <xf numFmtId="164" fontId="38" fillId="0" borderId="0" xfId="0" applyNumberFormat="1" applyFont="1" applyFill="1" applyBorder="1"/>
    <xf numFmtId="164" fontId="53" fillId="0" borderId="0" xfId="0" applyNumberFormat="1" applyFont="1" applyFill="1" applyBorder="1"/>
    <xf numFmtId="164" fontId="53" fillId="0" borderId="0" xfId="1" applyNumberFormat="1" applyFont="1" applyFill="1" applyBorder="1"/>
    <xf numFmtId="164" fontId="35" fillId="0" borderId="0" xfId="0" applyNumberFormat="1" applyFont="1" applyFill="1" applyBorder="1"/>
    <xf numFmtId="0" fontId="93" fillId="12" borderId="0" xfId="0" applyFont="1" applyFill="1" applyAlignment="1">
      <alignment horizontal="center"/>
    </xf>
    <xf numFmtId="0" fontId="2" fillId="6" borderId="0" xfId="0" applyFont="1" applyFill="1" applyAlignment="1">
      <alignment horizontal="center"/>
    </xf>
    <xf numFmtId="164" fontId="2" fillId="7" borderId="0" xfId="0" applyNumberFormat="1" applyFont="1" applyFill="1"/>
    <xf numFmtId="164" fontId="35" fillId="0" borderId="8" xfId="0" applyNumberFormat="1" applyFont="1" applyFill="1" applyBorder="1"/>
    <xf numFmtId="3" fontId="1" fillId="0" borderId="0" xfId="0" applyNumberFormat="1" applyFont="1" applyFill="1" applyBorder="1" applyAlignment="1">
      <alignment horizontal="right"/>
    </xf>
    <xf numFmtId="0" fontId="92" fillId="8" borderId="0" xfId="0" applyFont="1" applyFill="1"/>
    <xf numFmtId="0" fontId="1" fillId="0" borderId="0" xfId="0" applyNumberFormat="1" applyFont="1" applyAlignment="1">
      <alignment horizontal="left"/>
    </xf>
    <xf numFmtId="37" fontId="96" fillId="6" borderId="19" xfId="0" applyNumberFormat="1" applyFont="1" applyFill="1" applyBorder="1"/>
    <xf numFmtId="37" fontId="96" fillId="6" borderId="20" xfId="0" applyNumberFormat="1" applyFont="1" applyFill="1" applyBorder="1"/>
    <xf numFmtId="37" fontId="96" fillId="6" borderId="21" xfId="0" applyNumberFormat="1" applyFont="1" applyFill="1" applyBorder="1"/>
    <xf numFmtId="37" fontId="13" fillId="11" borderId="19" xfId="0" applyNumberFormat="1" applyFont="1" applyFill="1" applyBorder="1"/>
    <xf numFmtId="0" fontId="13" fillId="11" borderId="19" xfId="0" applyFont="1" applyFill="1" applyBorder="1" applyAlignment="1">
      <alignment wrapText="1"/>
    </xf>
    <xf numFmtId="0" fontId="1" fillId="11" borderId="19" xfId="0" applyFont="1" applyFill="1" applyBorder="1" applyAlignment="1">
      <alignment wrapText="1"/>
    </xf>
    <xf numFmtId="176" fontId="1" fillId="11" borderId="19" xfId="4" applyNumberFormat="1" applyFont="1" applyFill="1" applyBorder="1" applyAlignment="1" applyProtection="1">
      <alignment horizontal="left" indent="1"/>
      <protection locked="0"/>
    </xf>
    <xf numFmtId="176" fontId="13" fillId="11" borderId="19" xfId="4" applyNumberFormat="1" applyFont="1" applyFill="1" applyBorder="1" applyAlignment="1" applyProtection="1">
      <alignment horizontal="left" indent="1"/>
      <protection locked="0"/>
    </xf>
    <xf numFmtId="0" fontId="13" fillId="11" borderId="19" xfId="0" applyFont="1" applyFill="1" applyBorder="1" applyAlignment="1">
      <alignment horizontal="center"/>
    </xf>
    <xf numFmtId="0" fontId="1" fillId="11" borderId="19" xfId="0" applyFont="1" applyFill="1" applyBorder="1" applyAlignment="1">
      <alignment horizontal="left" wrapText="1"/>
    </xf>
    <xf numFmtId="176" fontId="13" fillId="11" borderId="18" xfId="4" applyNumberFormat="1" applyFont="1" applyFill="1" applyBorder="1" applyAlignment="1" applyProtection="1">
      <alignment horizontal="left" indent="1"/>
      <protection locked="0"/>
    </xf>
    <xf numFmtId="37" fontId="13" fillId="11" borderId="21" xfId="0" applyNumberFormat="1" applyFont="1" applyFill="1" applyBorder="1"/>
    <xf numFmtId="37" fontId="13" fillId="11" borderId="32" xfId="0" applyNumberFormat="1" applyFont="1" applyFill="1" applyBorder="1"/>
    <xf numFmtId="0" fontId="13" fillId="11" borderId="19" xfId="0" applyFont="1" applyFill="1" applyBorder="1" applyAlignment="1">
      <alignment horizontal="left" wrapText="1"/>
    </xf>
    <xf numFmtId="37" fontId="13" fillId="11" borderId="22" xfId="0" applyNumberFormat="1" applyFont="1" applyFill="1" applyBorder="1"/>
    <xf numFmtId="37" fontId="13" fillId="11" borderId="18" xfId="0" applyNumberFormat="1" applyFont="1" applyFill="1" applyBorder="1"/>
    <xf numFmtId="176" fontId="13" fillId="11" borderId="19" xfId="4" applyNumberFormat="1" applyFont="1" applyFill="1" applyBorder="1" applyAlignment="1" applyProtection="1">
      <alignment horizontal="left" vertical="top" indent="1"/>
      <protection locked="0"/>
    </xf>
    <xf numFmtId="37" fontId="13" fillId="11" borderId="19" xfId="0" applyNumberFormat="1" applyFont="1" applyFill="1" applyBorder="1" applyAlignment="1"/>
    <xf numFmtId="37" fontId="13" fillId="11" borderId="19" xfId="0" applyNumberFormat="1" applyFont="1" applyFill="1" applyBorder="1" applyAlignment="1">
      <alignment vertical="top"/>
    </xf>
    <xf numFmtId="0" fontId="97" fillId="6" borderId="0" xfId="0" applyFont="1" applyFill="1" applyAlignment="1">
      <alignment horizontal="center"/>
    </xf>
    <xf numFmtId="0" fontId="98" fillId="6" borderId="0" xfId="0" applyFont="1" applyFill="1" applyAlignment="1">
      <alignment horizontal="center"/>
    </xf>
    <xf numFmtId="3" fontId="5" fillId="10" borderId="0" xfId="0" applyNumberFormat="1" applyFont="1" applyFill="1" applyAlignment="1"/>
    <xf numFmtId="10" fontId="5" fillId="10" borderId="0" xfId="0" applyNumberFormat="1" applyFont="1" applyFill="1"/>
    <xf numFmtId="3" fontId="95" fillId="0" borderId="36" xfId="0" applyNumberFormat="1" applyFont="1" applyFill="1" applyBorder="1" applyAlignment="1">
      <alignment horizontal="center"/>
    </xf>
    <xf numFmtId="3" fontId="13" fillId="0" borderId="8" xfId="0" applyNumberFormat="1" applyFont="1" applyBorder="1" applyAlignment="1">
      <alignment horizontal="center"/>
    </xf>
    <xf numFmtId="3" fontId="92" fillId="4" borderId="0" xfId="0" applyNumberFormat="1" applyFont="1" applyFill="1" applyBorder="1" applyAlignment="1">
      <alignment horizontal="center"/>
    </xf>
    <xf numFmtId="176" fontId="1" fillId="11" borderId="19" xfId="4" applyNumberFormat="1" applyFont="1" applyFill="1" applyBorder="1" applyAlignment="1" applyProtection="1">
      <alignment horizontal="left" vertical="top" indent="1"/>
      <protection locked="0"/>
    </xf>
    <xf numFmtId="37" fontId="1" fillId="11" borderId="19" xfId="0" applyNumberFormat="1" applyFont="1" applyFill="1" applyBorder="1" applyAlignment="1"/>
    <xf numFmtId="37" fontId="1" fillId="11" borderId="19" xfId="0" applyNumberFormat="1" applyFont="1" applyFill="1" applyBorder="1" applyAlignment="1">
      <alignment vertical="top"/>
    </xf>
    <xf numFmtId="164" fontId="1" fillId="0" borderId="0" xfId="1" applyNumberFormat="1" applyFont="1" applyAlignment="1"/>
    <xf numFmtId="164" fontId="1" fillId="0" borderId="0" xfId="1" applyNumberFormat="1" applyFont="1" applyFill="1" applyAlignment="1"/>
    <xf numFmtId="172" fontId="37" fillId="13" borderId="19" xfId="0" applyNumberFormat="1" applyFont="1" applyFill="1" applyBorder="1"/>
    <xf numFmtId="37" fontId="47" fillId="13" borderId="19" xfId="0" applyNumberFormat="1" applyFont="1" applyFill="1" applyBorder="1"/>
    <xf numFmtId="49" fontId="1" fillId="0" borderId="0" xfId="0" applyNumberFormat="1" applyFont="1" applyFill="1" applyAlignment="1">
      <alignment horizontal="left" indent="1"/>
    </xf>
    <xf numFmtId="0" fontId="5" fillId="13" borderId="0" xfId="0" applyFont="1" applyFill="1" applyAlignment="1"/>
    <xf numFmtId="0" fontId="13" fillId="0" borderId="0" xfId="0" applyNumberFormat="1" applyFont="1" applyFill="1" applyBorder="1" applyAlignment="1">
      <alignment horizontal="left"/>
    </xf>
    <xf numFmtId="0" fontId="13" fillId="0" borderId="0" xfId="0" applyFont="1" applyFill="1" applyBorder="1" applyAlignment="1">
      <alignment horizontal="left"/>
    </xf>
    <xf numFmtId="0" fontId="13" fillId="0" borderId="0" xfId="0" applyFont="1" applyFill="1" applyBorder="1" applyAlignment="1">
      <alignment horizontal="center"/>
    </xf>
    <xf numFmtId="0" fontId="3" fillId="10" borderId="33" xfId="0" applyFont="1" applyFill="1" applyBorder="1" applyAlignment="1">
      <alignment horizontal="center" wrapText="1"/>
    </xf>
    <xf numFmtId="164" fontId="70" fillId="10" borderId="0" xfId="1" applyNumberFormat="1" applyFont="1" applyFill="1"/>
    <xf numFmtId="3" fontId="70" fillId="10" borderId="0" xfId="0" applyNumberFormat="1" applyFont="1" applyFill="1" applyAlignment="1"/>
    <xf numFmtId="3" fontId="70" fillId="10" borderId="4" xfId="0" applyNumberFormat="1" applyFont="1" applyFill="1" applyBorder="1" applyAlignment="1"/>
    <xf numFmtId="3" fontId="70" fillId="10" borderId="0" xfId="0" applyNumberFormat="1" applyFont="1" applyFill="1" applyBorder="1" applyAlignment="1"/>
    <xf numFmtId="3" fontId="5" fillId="10" borderId="0" xfId="0" applyNumberFormat="1" applyFont="1" applyFill="1" applyAlignment="1">
      <alignment horizontal="right"/>
    </xf>
    <xf numFmtId="3" fontId="5" fillId="10" borderId="0" xfId="0" applyNumberFormat="1" applyFont="1" applyFill="1" applyBorder="1" applyAlignment="1"/>
    <xf numFmtId="3" fontId="70" fillId="10" borderId="0" xfId="0" applyNumberFormat="1" applyFont="1" applyFill="1" applyAlignment="1">
      <alignment horizontal="right"/>
    </xf>
    <xf numFmtId="3" fontId="70" fillId="10" borderId="0" xfId="0" applyNumberFormat="1" applyFont="1" applyFill="1" applyBorder="1" applyAlignment="1">
      <alignment horizontal="right"/>
    </xf>
    <xf numFmtId="3" fontId="70" fillId="10" borderId="4" xfId="0" applyNumberFormat="1" applyFont="1" applyFill="1" applyBorder="1" applyAlignment="1">
      <alignment horizontal="right"/>
    </xf>
    <xf numFmtId="3" fontId="5" fillId="10" borderId="4" xfId="0" applyNumberFormat="1" applyFont="1" applyFill="1" applyBorder="1" applyAlignment="1"/>
    <xf numFmtId="164" fontId="3" fillId="10" borderId="0" xfId="1" applyNumberFormat="1" applyFont="1" applyFill="1" applyAlignment="1"/>
    <xf numFmtId="0" fontId="70" fillId="0" borderId="0" xfId="0" applyNumberFormat="1" applyFont="1" applyFill="1" applyAlignment="1"/>
    <xf numFmtId="37" fontId="1" fillId="11" borderId="19" xfId="0" applyNumberFormat="1" applyFont="1" applyFill="1" applyBorder="1"/>
    <xf numFmtId="37" fontId="48" fillId="10" borderId="0" xfId="0" applyNumberFormat="1" applyFont="1" applyFill="1" applyAlignment="1">
      <alignment horizontal="right" wrapText="1"/>
    </xf>
    <xf numFmtId="164" fontId="48" fillId="10" borderId="4" xfId="1" applyNumberFormat="1" applyFont="1" applyFill="1" applyBorder="1" applyAlignment="1">
      <alignment horizontal="right" wrapText="1"/>
    </xf>
    <xf numFmtId="37" fontId="1" fillId="10" borderId="0" xfId="0" applyNumberFormat="1" applyFont="1" applyFill="1" applyAlignment="1">
      <alignment horizontal="right" wrapText="1"/>
    </xf>
    <xf numFmtId="0" fontId="48" fillId="10" borderId="0" xfId="0" applyFont="1" applyFill="1" applyAlignment="1">
      <alignment horizontal="right"/>
    </xf>
    <xf numFmtId="0" fontId="48" fillId="10" borderId="4" xfId="0" applyFont="1" applyFill="1" applyBorder="1" applyAlignment="1">
      <alignment horizontal="right"/>
    </xf>
    <xf numFmtId="37" fontId="48" fillId="10" borderId="4" xfId="0" applyNumberFormat="1" applyFont="1" applyFill="1" applyBorder="1" applyAlignment="1">
      <alignment horizontal="right" wrapText="1"/>
    </xf>
    <xf numFmtId="41" fontId="37" fillId="10" borderId="4" xfId="0" applyNumberFormat="1" applyFont="1" applyFill="1" applyBorder="1" applyAlignment="1">
      <alignment horizontal="right"/>
    </xf>
    <xf numFmtId="0" fontId="48" fillId="10" borderId="0" xfId="0" applyFont="1" applyFill="1"/>
    <xf numFmtId="0" fontId="48" fillId="10" borderId="0" xfId="0" applyFont="1" applyFill="1" applyAlignment="1">
      <alignment horizontal="left" wrapText="1"/>
    </xf>
    <xf numFmtId="42" fontId="1" fillId="10" borderId="0" xfId="1" applyNumberFormat="1" applyFont="1" applyFill="1" applyAlignment="1"/>
    <xf numFmtId="164" fontId="1" fillId="10" borderId="0" xfId="1" applyNumberFormat="1" applyFont="1" applyFill="1" applyAlignment="1"/>
    <xf numFmtId="164" fontId="1" fillId="10" borderId="0" xfId="1" applyNumberFormat="1" applyFont="1" applyFill="1" applyBorder="1" applyAlignment="1">
      <alignment wrapText="1"/>
    </xf>
    <xf numFmtId="164" fontId="1" fillId="10" borderId="0" xfId="1" applyNumberFormat="1" applyFont="1" applyFill="1" applyAlignment="1">
      <alignment vertical="center" wrapText="1"/>
    </xf>
    <xf numFmtId="42" fontId="13" fillId="10" borderId="3" xfId="1" applyNumberFormat="1" applyFont="1" applyFill="1" applyBorder="1" applyAlignment="1"/>
    <xf numFmtId="9" fontId="92" fillId="0" borderId="0" xfId="6" applyFont="1" applyFill="1" applyBorder="1" applyAlignment="1">
      <alignment horizontal="center"/>
    </xf>
    <xf numFmtId="3" fontId="92" fillId="0" borderId="0" xfId="0" applyNumberFormat="1" applyFont="1" applyFill="1" applyBorder="1" applyAlignment="1">
      <alignment horizontal="right"/>
    </xf>
    <xf numFmtId="0" fontId="1" fillId="0" borderId="0" xfId="0" applyNumberFormat="1" applyFont="1" applyFill="1" applyBorder="1" applyAlignment="1"/>
    <xf numFmtId="3" fontId="92" fillId="0" borderId="35" xfId="0" applyNumberFormat="1" applyFont="1" applyFill="1" applyBorder="1" applyAlignment="1">
      <alignment horizontal="right"/>
    </xf>
    <xf numFmtId="0" fontId="92" fillId="0" borderId="0" xfId="0" applyFont="1" applyFill="1" applyBorder="1" applyAlignment="1">
      <alignment horizontal="center"/>
    </xf>
    <xf numFmtId="0" fontId="92" fillId="0" borderId="1" xfId="0" applyFont="1" applyFill="1" applyBorder="1" applyAlignment="1">
      <alignment horizontal="center"/>
    </xf>
    <xf numFmtId="3" fontId="15" fillId="10" borderId="0" xfId="0" applyNumberFormat="1" applyFont="1" applyFill="1" applyBorder="1" applyAlignment="1">
      <alignment horizontal="right"/>
    </xf>
    <xf numFmtId="0" fontId="92" fillId="0" borderId="29" xfId="0" applyFont="1" applyFill="1" applyBorder="1" applyAlignment="1">
      <alignment horizontal="center" wrapText="1"/>
    </xf>
    <xf numFmtId="3" fontId="92" fillId="0" borderId="8" xfId="0" applyNumberFormat="1" applyFont="1" applyFill="1" applyBorder="1" applyAlignment="1">
      <alignment horizontal="right"/>
    </xf>
    <xf numFmtId="37" fontId="92" fillId="10" borderId="0" xfId="0" applyNumberFormat="1" applyFont="1" applyFill="1" applyBorder="1" applyAlignment="1">
      <alignment horizontal="center"/>
    </xf>
    <xf numFmtId="0" fontId="1" fillId="0" borderId="1" xfId="0" applyNumberFormat="1" applyFont="1" applyFill="1" applyBorder="1" applyAlignment="1">
      <alignment horizontal="left"/>
    </xf>
    <xf numFmtId="3" fontId="92" fillId="0" borderId="16" xfId="0" applyNumberFormat="1" applyFont="1" applyFill="1" applyBorder="1" applyAlignment="1">
      <alignment horizontal="right"/>
    </xf>
    <xf numFmtId="3" fontId="92" fillId="0" borderId="1" xfId="0" applyNumberFormat="1" applyFont="1" applyFill="1" applyBorder="1" applyAlignment="1">
      <alignment horizontal="center"/>
    </xf>
    <xf numFmtId="177" fontId="15" fillId="0" borderId="8" xfId="1" applyNumberFormat="1" applyFont="1" applyFill="1" applyBorder="1" applyAlignment="1">
      <alignment horizontal="center"/>
    </xf>
    <xf numFmtId="3" fontId="15" fillId="0" borderId="8" xfId="0" applyNumberFormat="1" applyFont="1" applyFill="1" applyBorder="1" applyAlignment="1"/>
    <xf numFmtId="164" fontId="92" fillId="0" borderId="0" xfId="1" applyNumberFormat="1" applyFont="1" applyFill="1" applyBorder="1"/>
    <xf numFmtId="3" fontId="92" fillId="0" borderId="8" xfId="0" applyNumberFormat="1" applyFont="1" applyFill="1" applyBorder="1" applyAlignment="1">
      <alignment horizontal="center"/>
    </xf>
    <xf numFmtId="3" fontId="92" fillId="0" borderId="8" xfId="0" applyNumberFormat="1" applyFont="1" applyFill="1" applyBorder="1" applyAlignment="1"/>
    <xf numFmtId="3" fontId="92" fillId="0" borderId="0" xfId="0" applyNumberFormat="1" applyFont="1" applyFill="1" applyBorder="1" applyAlignment="1">
      <alignment horizontal="center"/>
    </xf>
    <xf numFmtId="3" fontId="92" fillId="10" borderId="0" xfId="0" applyNumberFormat="1" applyFont="1" applyFill="1" applyBorder="1" applyAlignment="1">
      <alignment horizontal="center"/>
    </xf>
    <xf numFmtId="177" fontId="92" fillId="0" borderId="16" xfId="1" applyNumberFormat="1" applyFont="1" applyFill="1" applyBorder="1" applyAlignment="1">
      <alignment horizontal="center"/>
    </xf>
    <xf numFmtId="164" fontId="13" fillId="0" borderId="16" xfId="1" applyNumberFormat="1" applyFont="1" applyFill="1" applyBorder="1" applyAlignment="1"/>
    <xf numFmtId="164" fontId="2" fillId="10" borderId="0" xfId="1" applyNumberFormat="1" applyFont="1" applyFill="1" applyAlignment="1">
      <alignment horizontal="left"/>
    </xf>
    <xf numFmtId="3" fontId="13" fillId="0" borderId="0" xfId="0" applyNumberFormat="1" applyFont="1" applyFill="1" applyAlignment="1"/>
    <xf numFmtId="164" fontId="94" fillId="10" borderId="8" xfId="1" applyNumberFormat="1" applyFont="1" applyFill="1" applyBorder="1"/>
    <xf numFmtId="164" fontId="82" fillId="10" borderId="8" xfId="1" applyNumberFormat="1" applyFont="1" applyFill="1" applyBorder="1"/>
    <xf numFmtId="164" fontId="94" fillId="10" borderId="8" xfId="0" applyNumberFormat="1" applyFont="1" applyFill="1" applyBorder="1"/>
    <xf numFmtId="164" fontId="94" fillId="10" borderId="0" xfId="0" applyNumberFormat="1" applyFont="1" applyFill="1" applyBorder="1"/>
    <xf numFmtId="164" fontId="94" fillId="10" borderId="7" xfId="1" applyNumberFormat="1" applyFont="1" applyFill="1" applyBorder="1"/>
    <xf numFmtId="0" fontId="1" fillId="0" borderId="0" xfId="0" applyFont="1" applyFill="1"/>
    <xf numFmtId="164" fontId="1" fillId="11" borderId="19" xfId="13" applyNumberFormat="1" applyFont="1" applyFill="1" applyBorder="1" applyAlignment="1">
      <alignment horizontal="center"/>
    </xf>
    <xf numFmtId="0" fontId="1" fillId="0" borderId="0" xfId="0" applyFont="1"/>
    <xf numFmtId="0" fontId="3" fillId="0" borderId="0" xfId="0" applyFont="1" applyAlignment="1"/>
    <xf numFmtId="0" fontId="0" fillId="0" borderId="0" xfId="0" applyAlignment="1">
      <alignment horizontal="right"/>
    </xf>
    <xf numFmtId="2" fontId="13" fillId="0" borderId="0" xfId="0" applyNumberFormat="1" applyFont="1" applyFill="1" applyAlignment="1">
      <alignment horizontal="right"/>
    </xf>
    <xf numFmtId="2" fontId="13" fillId="0" borderId="0" xfId="0" applyNumberFormat="1" applyFont="1" applyAlignment="1">
      <alignment horizontal="right"/>
    </xf>
    <xf numFmtId="0" fontId="23" fillId="3" borderId="0" xfId="0" applyFont="1" applyFill="1" applyBorder="1" applyAlignment="1">
      <alignment horizontal="left"/>
    </xf>
    <xf numFmtId="0" fontId="16" fillId="0" borderId="0" xfId="0" applyFont="1" applyAlignment="1">
      <alignment horizontal="center"/>
    </xf>
    <xf numFmtId="0" fontId="58" fillId="0" borderId="0" xfId="0" applyFont="1" applyFill="1" applyBorder="1" applyAlignment="1">
      <alignment horizontal="center"/>
    </xf>
    <xf numFmtId="0" fontId="42" fillId="5" borderId="10" xfId="0" applyFont="1" applyFill="1" applyBorder="1" applyAlignment="1">
      <alignment horizontal="center"/>
    </xf>
    <xf numFmtId="0" fontId="42" fillId="5" borderId="11" xfId="0" applyFont="1" applyFill="1" applyBorder="1" applyAlignment="1">
      <alignment horizontal="center"/>
    </xf>
    <xf numFmtId="0" fontId="29" fillId="0" borderId="10" xfId="0" applyFont="1" applyFill="1" applyBorder="1" applyAlignment="1">
      <alignment horizontal="left"/>
    </xf>
    <xf numFmtId="0" fontId="54" fillId="5" borderId="16" xfId="0" applyFont="1" applyFill="1" applyBorder="1" applyAlignment="1">
      <alignment horizontal="left"/>
    </xf>
    <xf numFmtId="0" fontId="54" fillId="5" borderId="1" xfId="0" applyFont="1" applyFill="1" applyBorder="1" applyAlignment="1">
      <alignment horizontal="left"/>
    </xf>
    <xf numFmtId="0" fontId="29" fillId="5" borderId="9" xfId="0" applyFont="1" applyFill="1" applyBorder="1" applyAlignment="1">
      <alignment horizontal="left"/>
    </xf>
    <xf numFmtId="0" fontId="29" fillId="5" borderId="10" xfId="0" applyFont="1" applyFill="1" applyBorder="1" applyAlignment="1">
      <alignment horizontal="left"/>
    </xf>
    <xf numFmtId="0" fontId="16" fillId="6" borderId="0" xfId="0" applyFont="1" applyFill="1" applyAlignment="1">
      <alignment horizontal="center"/>
    </xf>
    <xf numFmtId="0" fontId="25" fillId="6" borderId="0" xfId="0" applyFont="1" applyFill="1" applyAlignment="1"/>
    <xf numFmtId="0" fontId="12" fillId="6" borderId="39" xfId="0" applyFont="1" applyFill="1" applyBorder="1" applyAlignment="1">
      <alignment horizontal="left" wrapText="1"/>
    </xf>
    <xf numFmtId="0" fontId="12" fillId="6" borderId="4" xfId="0" applyFont="1" applyFill="1" applyBorder="1" applyAlignment="1">
      <alignment horizontal="left" wrapText="1"/>
    </xf>
    <xf numFmtId="0" fontId="12" fillId="6" borderId="40" xfId="0" applyFont="1" applyFill="1" applyBorder="1" applyAlignment="1">
      <alignment horizontal="left" wrapText="1"/>
    </xf>
    <xf numFmtId="0" fontId="12" fillId="6" borderId="25" xfId="0" applyFont="1" applyFill="1" applyBorder="1" applyAlignment="1">
      <alignment horizontal="left" wrapText="1"/>
    </xf>
    <xf numFmtId="0" fontId="12" fillId="6" borderId="0" xfId="0" applyFont="1" applyFill="1" applyBorder="1" applyAlignment="1">
      <alignment horizontal="left" wrapText="1"/>
    </xf>
    <xf numFmtId="0" fontId="12" fillId="6" borderId="26" xfId="0" applyFont="1" applyFill="1" applyBorder="1" applyAlignment="1">
      <alignment horizontal="left" wrapText="1"/>
    </xf>
    <xf numFmtId="0" fontId="16" fillId="6" borderId="0" xfId="0" applyFont="1" applyFill="1" applyBorder="1" applyAlignment="1">
      <alignment horizontal="center"/>
    </xf>
    <xf numFmtId="0" fontId="3" fillId="6" borderId="0" xfId="5" applyFont="1" applyFill="1" applyBorder="1" applyAlignment="1">
      <alignment horizontal="left"/>
    </xf>
    <xf numFmtId="0" fontId="13" fillId="6" borderId="0" xfId="0" applyFont="1" applyFill="1" applyBorder="1" applyAlignment="1">
      <alignment horizontal="center"/>
    </xf>
    <xf numFmtId="0" fontId="2" fillId="6" borderId="0" xfId="0" applyFont="1" applyFill="1" applyAlignment="1">
      <alignment horizontal="center"/>
    </xf>
    <xf numFmtId="0" fontId="13" fillId="6" borderId="0" xfId="0" applyFont="1" applyFill="1" applyAlignment="1">
      <alignment horizontal="center"/>
    </xf>
    <xf numFmtId="0" fontId="3" fillId="6" borderId="0" xfId="0" applyFont="1" applyFill="1" applyBorder="1" applyAlignment="1">
      <alignment horizontal="left"/>
    </xf>
    <xf numFmtId="0" fontId="12" fillId="6" borderId="25" xfId="0" applyFont="1" applyFill="1" applyBorder="1" applyAlignment="1">
      <alignment vertical="top" wrapText="1"/>
    </xf>
    <xf numFmtId="0" fontId="12" fillId="6" borderId="0" xfId="0" applyFont="1" applyFill="1" applyBorder="1" applyAlignment="1">
      <alignment vertical="top" wrapText="1"/>
    </xf>
    <xf numFmtId="0" fontId="12" fillId="6" borderId="26" xfId="0" applyFont="1" applyFill="1" applyBorder="1" applyAlignment="1">
      <alignment vertical="top" wrapText="1"/>
    </xf>
    <xf numFmtId="0" fontId="2" fillId="0" borderId="37" xfId="0" applyFont="1" applyFill="1" applyBorder="1" applyAlignment="1">
      <alignment horizontal="left"/>
    </xf>
    <xf numFmtId="0" fontId="2" fillId="0" borderId="38" xfId="0" applyFont="1" applyFill="1" applyBorder="1" applyAlignment="1">
      <alignment horizontal="left"/>
    </xf>
    <xf numFmtId="0" fontId="78" fillId="6" borderId="0" xfId="0" applyFont="1" applyFill="1" applyAlignment="1">
      <alignment horizontal="center"/>
    </xf>
    <xf numFmtId="0" fontId="48" fillId="6" borderId="0" xfId="0" applyFont="1" applyFill="1" applyAlignment="1">
      <alignment horizontal="center"/>
    </xf>
    <xf numFmtId="0" fontId="2" fillId="6" borderId="37" xfId="0" applyFont="1" applyFill="1" applyBorder="1" applyAlignment="1">
      <alignment horizontal="left"/>
    </xf>
    <xf numFmtId="0" fontId="2" fillId="6" borderId="38" xfId="0" applyFont="1" applyFill="1" applyBorder="1" applyAlignment="1">
      <alignment horizontal="left"/>
    </xf>
    <xf numFmtId="0" fontId="75" fillId="6" borderId="0" xfId="0" applyFont="1" applyFill="1" applyBorder="1" applyAlignment="1">
      <alignment horizontal="center"/>
    </xf>
    <xf numFmtId="176" fontId="13" fillId="11" borderId="18" xfId="4" applyNumberFormat="1" applyFont="1" applyFill="1" applyBorder="1" applyAlignment="1" applyProtection="1">
      <alignment horizontal="left"/>
      <protection locked="0"/>
    </xf>
    <xf numFmtId="176" fontId="13" fillId="11" borderId="32" xfId="4" applyNumberFormat="1" applyFont="1" applyFill="1" applyBorder="1" applyAlignment="1" applyProtection="1">
      <alignment horizontal="left"/>
      <protection locked="0"/>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xf numFmtId="0" fontId="33" fillId="0" borderId="0" xfId="0" applyFont="1" applyAlignment="1">
      <alignment horizontal="center"/>
    </xf>
    <xf numFmtId="0" fontId="70" fillId="0" borderId="0" xfId="0" applyFont="1" applyAlignment="1">
      <alignment horizontal="center"/>
    </xf>
    <xf numFmtId="0" fontId="0" fillId="0" borderId="0" xfId="0" applyAlignment="1"/>
    <xf numFmtId="0" fontId="39" fillId="0" borderId="0" xfId="0" applyFont="1" applyAlignment="1">
      <alignment horizontal="center"/>
    </xf>
    <xf numFmtId="3" fontId="48" fillId="0" borderId="0" xfId="0" applyNumberFormat="1" applyFont="1" applyBorder="1" applyAlignment="1">
      <alignment horizontal="left" wrapText="1"/>
    </xf>
    <xf numFmtId="0" fontId="48" fillId="0" borderId="0" xfId="0" applyFont="1" applyBorder="1" applyAlignment="1">
      <alignment horizontal="left" wrapText="1"/>
    </xf>
    <xf numFmtId="0" fontId="48" fillId="0" borderId="7" xfId="0" applyFont="1" applyBorder="1" applyAlignment="1">
      <alignment horizontal="left" wrapText="1"/>
    </xf>
    <xf numFmtId="3" fontId="1" fillId="0" borderId="0" xfId="0" applyNumberFormat="1" applyFont="1" applyBorder="1" applyAlignment="1">
      <alignment horizontal="left" wrapText="1"/>
    </xf>
    <xf numFmtId="0" fontId="48" fillId="0" borderId="0" xfId="0" applyFont="1" applyFill="1" applyBorder="1" applyAlignment="1">
      <alignment horizontal="left" wrapText="1"/>
    </xf>
    <xf numFmtId="0" fontId="48" fillId="0" borderId="7" xfId="0" applyFont="1" applyFill="1" applyBorder="1" applyAlignment="1">
      <alignment horizontal="left" wrapText="1"/>
    </xf>
    <xf numFmtId="0" fontId="12" fillId="4" borderId="41" xfId="0" applyFont="1" applyFill="1" applyBorder="1" applyAlignment="1">
      <alignment horizontal="left" wrapText="1"/>
    </xf>
    <xf numFmtId="0" fontId="44" fillId="4" borderId="27" xfId="0" applyFont="1" applyFill="1" applyBorder="1" applyAlignment="1">
      <alignment horizontal="left" wrapText="1"/>
    </xf>
    <xf numFmtId="0" fontId="44" fillId="4" borderId="30" xfId="0" applyFont="1" applyFill="1" applyBorder="1" applyAlignment="1">
      <alignment horizontal="left" wrapText="1"/>
    </xf>
    <xf numFmtId="3" fontId="48" fillId="0" borderId="0" xfId="0" applyNumberFormat="1" applyFont="1" applyFill="1" applyBorder="1" applyAlignment="1">
      <alignment horizontal="left" wrapText="1"/>
    </xf>
    <xf numFmtId="0" fontId="2" fillId="0" borderId="0" xfId="0" applyFont="1" applyFill="1" applyBorder="1" applyAlignment="1">
      <alignment horizontal="left" wrapText="1"/>
    </xf>
    <xf numFmtId="0" fontId="13" fillId="0" borderId="0" xfId="0" applyFont="1" applyFill="1" applyBorder="1" applyAlignment="1">
      <alignment horizontal="left" wrapText="1"/>
    </xf>
    <xf numFmtId="0" fontId="13" fillId="0" borderId="7" xfId="0" applyFont="1" applyFill="1" applyBorder="1" applyAlignment="1">
      <alignment horizontal="left" wrapText="1"/>
    </xf>
    <xf numFmtId="3" fontId="48" fillId="0" borderId="1" xfId="0" applyNumberFormat="1" applyFont="1" applyBorder="1" applyAlignment="1">
      <alignment horizontal="left" wrapText="1"/>
    </xf>
    <xf numFmtId="0" fontId="48" fillId="0" borderId="1" xfId="0" applyFont="1" applyBorder="1" applyAlignment="1">
      <alignment horizontal="left" wrapText="1"/>
    </xf>
    <xf numFmtId="0" fontId="48" fillId="0" borderId="15" xfId="0" applyFont="1" applyBorder="1" applyAlignment="1">
      <alignment horizontal="left" wrapText="1"/>
    </xf>
    <xf numFmtId="0" fontId="48" fillId="0" borderId="1" xfId="0" applyFont="1" applyFill="1" applyBorder="1" applyAlignment="1">
      <alignment horizontal="left" wrapText="1"/>
    </xf>
    <xf numFmtId="0" fontId="48" fillId="0" borderId="15" xfId="0" applyFont="1" applyFill="1" applyBorder="1" applyAlignment="1">
      <alignment horizontal="left" wrapText="1"/>
    </xf>
    <xf numFmtId="0" fontId="12" fillId="4" borderId="31" xfId="0" applyFont="1" applyFill="1" applyBorder="1" applyAlignment="1">
      <alignment horizontal="center"/>
    </xf>
    <xf numFmtId="0" fontId="12" fillId="4" borderId="27" xfId="0" applyFont="1" applyFill="1" applyBorder="1" applyAlignment="1">
      <alignment horizontal="center"/>
    </xf>
    <xf numFmtId="0" fontId="12" fillId="0" borderId="0" xfId="0" applyFont="1" applyFill="1" applyBorder="1" applyAlignment="1">
      <alignment horizontal="left" wrapText="1"/>
    </xf>
    <xf numFmtId="0" fontId="2" fillId="0" borderId="7" xfId="0" applyFont="1" applyFill="1" applyBorder="1" applyAlignment="1">
      <alignment horizontal="left" wrapText="1"/>
    </xf>
    <xf numFmtId="3" fontId="13" fillId="0" borderId="0" xfId="0" applyNumberFormat="1" applyFont="1" applyFill="1" applyBorder="1" applyAlignment="1">
      <alignment horizontal="left" wrapText="1"/>
    </xf>
    <xf numFmtId="3" fontId="15" fillId="0" borderId="0" xfId="0" applyNumberFormat="1" applyFont="1" applyFill="1" applyBorder="1" applyAlignment="1">
      <alignment horizontal="left" wrapText="1"/>
    </xf>
    <xf numFmtId="3" fontId="13" fillId="0" borderId="0" xfId="0" applyNumberFormat="1" applyFont="1" applyBorder="1" applyAlignment="1">
      <alignment horizontal="left" wrapText="1"/>
    </xf>
    <xf numFmtId="0" fontId="13" fillId="0" borderId="0" xfId="0" applyFont="1" applyBorder="1" applyAlignment="1">
      <alignment horizontal="left" wrapText="1"/>
    </xf>
    <xf numFmtId="0" fontId="13" fillId="0" borderId="7" xfId="0" applyFont="1" applyBorder="1" applyAlignment="1">
      <alignment horizontal="left" wrapText="1"/>
    </xf>
    <xf numFmtId="3" fontId="92" fillId="0" borderId="0" xfId="0" applyNumberFormat="1" applyFont="1" applyFill="1" applyBorder="1" applyAlignment="1">
      <alignment horizontal="left" wrapText="1"/>
    </xf>
    <xf numFmtId="3" fontId="92" fillId="0" borderId="7" xfId="0" applyNumberFormat="1" applyFont="1" applyFill="1" applyBorder="1" applyAlignment="1">
      <alignment horizontal="left" wrapText="1"/>
    </xf>
    <xf numFmtId="0" fontId="13" fillId="0" borderId="0" xfId="0" applyNumberFormat="1" applyFont="1" applyFill="1" applyBorder="1" applyAlignment="1">
      <alignment horizontal="left" vertical="top" wrapText="1"/>
    </xf>
    <xf numFmtId="0" fontId="13" fillId="0" borderId="7" xfId="0" applyNumberFormat="1" applyFont="1" applyFill="1" applyBorder="1" applyAlignment="1">
      <alignment horizontal="left" vertical="top" wrapText="1"/>
    </xf>
    <xf numFmtId="0" fontId="44" fillId="4" borderId="27" xfId="0" applyFont="1" applyFill="1" applyBorder="1" applyAlignment="1">
      <alignment horizontal="center"/>
    </xf>
    <xf numFmtId="0" fontId="2" fillId="0" borderId="1" xfId="0" applyFont="1" applyFill="1" applyBorder="1" applyAlignment="1">
      <alignment horizontal="center" wrapText="1"/>
    </xf>
    <xf numFmtId="0" fontId="13" fillId="0" borderId="1" xfId="0" applyFont="1" applyFill="1" applyBorder="1" applyAlignment="1">
      <alignment horizontal="center" wrapText="1"/>
    </xf>
    <xf numFmtId="0" fontId="13" fillId="0" borderId="15" xfId="0" applyFont="1" applyFill="1" applyBorder="1" applyAlignment="1">
      <alignment horizontal="center" wrapText="1"/>
    </xf>
    <xf numFmtId="164" fontId="2" fillId="0" borderId="0" xfId="1" applyNumberFormat="1" applyFont="1" applyFill="1" applyBorder="1" applyAlignment="1">
      <alignment horizontal="left"/>
    </xf>
    <xf numFmtId="164" fontId="13" fillId="0" borderId="0" xfId="1" applyNumberFormat="1" applyFont="1" applyFill="1" applyBorder="1" applyAlignment="1">
      <alignment horizontal="left"/>
    </xf>
    <xf numFmtId="0" fontId="2" fillId="0" borderId="1" xfId="0" applyFont="1" applyFill="1" applyBorder="1" applyAlignment="1">
      <alignment horizontal="left" wrapText="1"/>
    </xf>
    <xf numFmtId="0" fontId="13" fillId="0" borderId="1" xfId="0" applyFont="1" applyFill="1" applyBorder="1" applyAlignment="1">
      <alignment horizontal="left" wrapText="1"/>
    </xf>
    <xf numFmtId="0" fontId="13" fillId="0" borderId="15" xfId="0" applyFont="1" applyFill="1" applyBorder="1" applyAlignment="1">
      <alignment horizontal="left" wrapText="1"/>
    </xf>
    <xf numFmtId="0" fontId="12" fillId="4" borderId="41" xfId="0" applyFont="1" applyFill="1" applyBorder="1" applyAlignment="1">
      <alignment horizontal="center" wrapText="1"/>
    </xf>
    <xf numFmtId="0" fontId="44" fillId="4" borderId="27" xfId="0" applyFont="1" applyFill="1" applyBorder="1" applyAlignment="1">
      <alignment horizontal="center" wrapText="1"/>
    </xf>
    <xf numFmtId="0" fontId="44" fillId="4" borderId="30" xfId="0" applyFont="1" applyFill="1" applyBorder="1" applyAlignment="1">
      <alignment horizontal="center" wrapText="1"/>
    </xf>
    <xf numFmtId="0" fontId="13" fillId="0" borderId="0" xfId="0" applyNumberFormat="1" applyFont="1" applyFill="1" applyBorder="1" applyAlignment="1">
      <alignment horizontal="left"/>
    </xf>
    <xf numFmtId="0" fontId="13" fillId="0" borderId="7" xfId="0" applyNumberFormat="1" applyFont="1" applyFill="1" applyBorder="1" applyAlignment="1">
      <alignment horizontal="left"/>
    </xf>
    <xf numFmtId="0" fontId="48" fillId="0" borderId="1" xfId="0" applyNumberFormat="1" applyFont="1" applyFill="1" applyBorder="1" applyAlignment="1">
      <alignment horizontal="left"/>
    </xf>
    <xf numFmtId="0" fontId="48" fillId="0" borderId="15" xfId="0" applyNumberFormat="1" applyFont="1" applyFill="1" applyBorder="1" applyAlignment="1">
      <alignment horizontal="left"/>
    </xf>
    <xf numFmtId="0" fontId="48" fillId="0" borderId="0" xfId="0" applyNumberFormat="1" applyFont="1" applyFill="1" applyBorder="1" applyAlignment="1">
      <alignment horizontal="left"/>
    </xf>
    <xf numFmtId="0" fontId="48" fillId="0" borderId="7" xfId="0" applyNumberFormat="1" applyFont="1" applyFill="1" applyBorder="1" applyAlignment="1">
      <alignment horizontal="left"/>
    </xf>
    <xf numFmtId="0" fontId="2" fillId="0" borderId="0" xfId="0" applyFont="1" applyFill="1" applyBorder="1" applyAlignment="1">
      <alignment horizontal="center" wrapText="1"/>
    </xf>
    <xf numFmtId="0" fontId="2" fillId="0" borderId="7" xfId="0" applyFont="1" applyFill="1" applyBorder="1" applyAlignment="1">
      <alignment horizontal="center" wrapText="1"/>
    </xf>
    <xf numFmtId="0" fontId="1" fillId="0" borderId="0" xfId="0" applyNumberFormat="1" applyFont="1" applyFill="1" applyBorder="1" applyAlignment="1">
      <alignment horizontal="left"/>
    </xf>
    <xf numFmtId="0" fontId="12" fillId="4" borderId="27" xfId="0" applyFont="1" applyFill="1" applyBorder="1" applyAlignment="1">
      <alignment horizontal="left" wrapText="1"/>
    </xf>
    <xf numFmtId="0" fontId="12" fillId="4" borderId="30" xfId="0" applyFont="1" applyFill="1" applyBorder="1" applyAlignment="1">
      <alignment horizontal="left" wrapText="1"/>
    </xf>
    <xf numFmtId="0" fontId="13" fillId="0" borderId="0" xfId="0" applyFont="1" applyFill="1" applyBorder="1" applyAlignment="1">
      <alignment horizontal="center" wrapText="1"/>
    </xf>
    <xf numFmtId="0" fontId="13" fillId="0" borderId="7" xfId="0" applyFont="1" applyFill="1" applyBorder="1" applyAlignment="1">
      <alignment horizontal="center" wrapText="1"/>
    </xf>
    <xf numFmtId="9" fontId="1" fillId="0" borderId="8" xfId="6" applyFont="1" applyFill="1" applyBorder="1" applyAlignment="1">
      <alignment horizontal="left" vertical="top" wrapText="1"/>
    </xf>
    <xf numFmtId="9" fontId="13" fillId="0" borderId="0" xfId="6" applyFont="1" applyFill="1" applyBorder="1" applyAlignment="1">
      <alignment horizontal="left" vertical="top" wrapText="1"/>
    </xf>
    <xf numFmtId="9" fontId="13" fillId="0" borderId="7" xfId="6" applyFont="1" applyFill="1" applyBorder="1" applyAlignment="1">
      <alignment horizontal="left" vertical="top" wrapText="1"/>
    </xf>
    <xf numFmtId="9" fontId="13" fillId="0" borderId="16" xfId="6" applyFont="1" applyFill="1" applyBorder="1" applyAlignment="1">
      <alignment horizontal="left" vertical="top" wrapText="1"/>
    </xf>
    <xf numFmtId="9" fontId="13" fillId="0" borderId="1" xfId="6" applyFont="1" applyFill="1" applyBorder="1" applyAlignment="1">
      <alignment horizontal="left" vertical="top" wrapText="1"/>
    </xf>
    <xf numFmtId="9" fontId="13" fillId="0" borderId="15" xfId="6" applyFont="1" applyFill="1" applyBorder="1" applyAlignment="1">
      <alignment horizontal="left" vertical="top" wrapText="1"/>
    </xf>
    <xf numFmtId="0" fontId="1" fillId="0" borderId="0" xfId="0" applyFont="1" applyFill="1" applyBorder="1" applyAlignment="1">
      <alignment horizontal="left" wrapText="1"/>
    </xf>
    <xf numFmtId="0" fontId="12" fillId="4" borderId="31" xfId="0" applyFont="1" applyFill="1" applyBorder="1" applyAlignment="1">
      <alignment horizontal="left" wrapText="1"/>
    </xf>
    <xf numFmtId="9" fontId="13" fillId="0" borderId="8" xfId="6" applyFont="1" applyFill="1" applyBorder="1" applyAlignment="1">
      <alignment horizontal="left" vertical="top" wrapText="1"/>
    </xf>
    <xf numFmtId="0" fontId="12" fillId="4" borderId="30" xfId="0" applyFont="1" applyFill="1" applyBorder="1" applyAlignment="1">
      <alignment horizontal="center"/>
    </xf>
    <xf numFmtId="164" fontId="2" fillId="0" borderId="16" xfId="1" applyNumberFormat="1" applyFont="1" applyFill="1" applyBorder="1" applyAlignment="1">
      <alignment horizontal="center"/>
    </xf>
    <xf numFmtId="164" fontId="13" fillId="0" borderId="1" xfId="1" applyNumberFormat="1" applyFont="1" applyFill="1" applyBorder="1" applyAlignment="1">
      <alignment horizontal="center"/>
    </xf>
    <xf numFmtId="164" fontId="2" fillId="0" borderId="1" xfId="1" applyNumberFormat="1" applyFont="1" applyFill="1" applyBorder="1" applyAlignment="1">
      <alignment horizontal="center"/>
    </xf>
    <xf numFmtId="164" fontId="2" fillId="0" borderId="1" xfId="1" applyNumberFormat="1" applyFont="1" applyFill="1" applyBorder="1" applyAlignment="1">
      <alignment horizontal="left"/>
    </xf>
    <xf numFmtId="164" fontId="13" fillId="0" borderId="1" xfId="1" applyNumberFormat="1" applyFont="1" applyFill="1" applyBorder="1" applyAlignment="1">
      <alignment horizontal="left"/>
    </xf>
    <xf numFmtId="164" fontId="2" fillId="0" borderId="8" xfId="1" applyNumberFormat="1" applyFont="1" applyFill="1" applyBorder="1" applyAlignment="1">
      <alignment horizontal="center"/>
    </xf>
    <xf numFmtId="164" fontId="13" fillId="0" borderId="0" xfId="1" applyNumberFormat="1" applyFont="1" applyFill="1" applyBorder="1" applyAlignment="1">
      <alignment horizontal="center"/>
    </xf>
    <xf numFmtId="164" fontId="2" fillId="0" borderId="0" xfId="1" applyNumberFormat="1" applyFont="1" applyFill="1" applyBorder="1" applyAlignment="1">
      <alignment horizontal="center"/>
    </xf>
    <xf numFmtId="0" fontId="12" fillId="4" borderId="27" xfId="0" applyFont="1" applyFill="1" applyBorder="1" applyAlignment="1">
      <alignment horizontal="left"/>
    </xf>
    <xf numFmtId="0" fontId="44" fillId="4" borderId="27" xfId="0" applyFont="1" applyFill="1" applyBorder="1" applyAlignment="1">
      <alignment horizontal="left"/>
    </xf>
    <xf numFmtId="2" fontId="2" fillId="0" borderId="8"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Border="1" applyAlignment="1">
      <alignment horizontal="center"/>
    </xf>
    <xf numFmtId="2" fontId="2" fillId="0" borderId="0" xfId="0" applyNumberFormat="1" applyFont="1" applyFill="1" applyBorder="1" applyAlignment="1">
      <alignment horizontal="left"/>
    </xf>
    <xf numFmtId="0" fontId="13" fillId="0" borderId="0" xfId="0" applyFont="1" applyFill="1" applyBorder="1" applyAlignment="1">
      <alignment horizontal="left"/>
    </xf>
    <xf numFmtId="0" fontId="2" fillId="0" borderId="15" xfId="0" applyFont="1" applyFill="1" applyBorder="1" applyAlignment="1">
      <alignment horizontal="left" wrapText="1"/>
    </xf>
    <xf numFmtId="164" fontId="48" fillId="0" borderId="1" xfId="0" applyNumberFormat="1" applyFont="1" applyFill="1" applyBorder="1" applyAlignment="1">
      <alignment horizontal="left" wrapText="1"/>
    </xf>
    <xf numFmtId="164" fontId="48" fillId="0" borderId="15" xfId="0" applyNumberFormat="1" applyFont="1" applyFill="1" applyBorder="1" applyAlignment="1">
      <alignment horizontal="left" wrapText="1"/>
    </xf>
    <xf numFmtId="3" fontId="13" fillId="0" borderId="1" xfId="0" applyNumberFormat="1" applyFont="1" applyBorder="1" applyAlignment="1">
      <alignment horizontal="left" wrapText="1"/>
    </xf>
    <xf numFmtId="0" fontId="13" fillId="0" borderId="1" xfId="0" applyFont="1" applyBorder="1" applyAlignment="1">
      <alignment horizontal="left" wrapText="1"/>
    </xf>
    <xf numFmtId="0" fontId="13" fillId="0" borderId="15" xfId="0" applyFont="1" applyBorder="1" applyAlignment="1">
      <alignment horizontal="left" wrapText="1"/>
    </xf>
    <xf numFmtId="0" fontId="1" fillId="0" borderId="1" xfId="0" applyFont="1" applyFill="1" applyBorder="1" applyAlignment="1">
      <alignment horizontal="left" wrapText="1"/>
    </xf>
    <xf numFmtId="0" fontId="13" fillId="0" borderId="0" xfId="0" applyFont="1" applyBorder="1" applyAlignment="1">
      <alignment horizontal="center"/>
    </xf>
    <xf numFmtId="0" fontId="13" fillId="0" borderId="7" xfId="0" applyFont="1" applyBorder="1" applyAlignment="1">
      <alignment horizontal="center"/>
    </xf>
    <xf numFmtId="0" fontId="2" fillId="0" borderId="2" xfId="0" applyFont="1" applyFill="1" applyBorder="1" applyAlignment="1">
      <alignment horizontal="left" wrapText="1"/>
    </xf>
    <xf numFmtId="0" fontId="2" fillId="0" borderId="42" xfId="0" applyFont="1" applyFill="1" applyBorder="1" applyAlignment="1">
      <alignment horizontal="left" wrapText="1"/>
    </xf>
    <xf numFmtId="0" fontId="13" fillId="0" borderId="0" xfId="0" applyFont="1" applyAlignment="1">
      <alignment horizontal="left" vertical="top" wrapText="1"/>
    </xf>
    <xf numFmtId="0" fontId="13" fillId="0" borderId="0" xfId="0" applyFont="1" applyAlignment="1">
      <alignment vertical="top"/>
    </xf>
    <xf numFmtId="0" fontId="13" fillId="0" borderId="9" xfId="0" applyFont="1" applyBorder="1" applyAlignment="1">
      <alignment horizontal="center"/>
    </xf>
    <xf numFmtId="0" fontId="13" fillId="0" borderId="11" xfId="0" applyFont="1" applyBorder="1" applyAlignment="1">
      <alignment horizontal="center"/>
    </xf>
    <xf numFmtId="0" fontId="13" fillId="0" borderId="0" xfId="0" applyFont="1" applyFill="1" applyBorder="1" applyAlignment="1">
      <alignment horizontal="center"/>
    </xf>
    <xf numFmtId="0" fontId="4" fillId="0" borderId="0" xfId="0" applyFont="1" applyFill="1" applyAlignment="1">
      <alignment horizontal="center"/>
    </xf>
    <xf numFmtId="0" fontId="38" fillId="0" borderId="6" xfId="0" applyFont="1" applyBorder="1" applyAlignment="1">
      <alignment horizontal="center"/>
    </xf>
    <xf numFmtId="0" fontId="38" fillId="0" borderId="5" xfId="0" applyFont="1" applyBorder="1" applyAlignment="1">
      <alignment horizontal="center"/>
    </xf>
    <xf numFmtId="0" fontId="0" fillId="0" borderId="5" xfId="0" applyBorder="1" applyAlignment="1">
      <alignment horizontal="center"/>
    </xf>
    <xf numFmtId="0" fontId="0" fillId="0" borderId="43" xfId="0" applyBorder="1" applyAlignment="1">
      <alignment horizontal="center"/>
    </xf>
    <xf numFmtId="0" fontId="38" fillId="0" borderId="9" xfId="0" applyFont="1" applyBorder="1" applyAlignment="1">
      <alignment horizontal="center"/>
    </xf>
    <xf numFmtId="0" fontId="38" fillId="0" borderId="10" xfId="0" applyFont="1" applyBorder="1" applyAlignment="1">
      <alignment horizontal="center"/>
    </xf>
    <xf numFmtId="0" fontId="38" fillId="0" borderId="11" xfId="0" applyFont="1" applyBorder="1" applyAlignment="1">
      <alignment horizontal="center"/>
    </xf>
    <xf numFmtId="0" fontId="7" fillId="0" borderId="0" xfId="0" applyFont="1" applyAlignment="1">
      <alignment horizontal="center"/>
    </xf>
    <xf numFmtId="0" fontId="0" fillId="0" borderId="0" xfId="0" applyBorder="1" applyAlignment="1">
      <alignment horizontal="center"/>
    </xf>
  </cellXfs>
  <cellStyles count="14">
    <cellStyle name="Comma" xfId="1" builtinId="3"/>
    <cellStyle name="Comma 158" xfId="13"/>
    <cellStyle name="Currency" xfId="2" builtinId="4"/>
    <cellStyle name="Normal" xfId="0" builtinId="0"/>
    <cellStyle name="Normal_1995 FCWS" xfId="3"/>
    <cellStyle name="Normal_2002 Sch M Adds and Deducts 8-14-03" xfId="4"/>
    <cellStyle name="Normal_AR workpaper --2002 Def Tax Exp by Account 8-14-02" xfId="5"/>
    <cellStyle name="Percent" xfId="6" builtinId="5"/>
    <cellStyle name="PSChar" xfId="7"/>
    <cellStyle name="PSDate" xfId="8"/>
    <cellStyle name="PSDec" xfId="9"/>
    <cellStyle name="PSHeading" xfId="10"/>
    <cellStyle name="PSInt" xfId="11"/>
    <cellStyle name="PSSpacer" xfId="12"/>
  </cellStyles>
  <dxfs count="0"/>
  <tableStyles count="0" defaultTableStyle="TableStyleMedium9" defaultPivotStyle="PivotStyleLight16"/>
  <colors>
    <mruColors>
      <color rgb="FFFFFF99"/>
      <color rgb="FFFFFFCC"/>
      <color rgb="FF0000FF"/>
      <color rgb="FFFF66FF"/>
      <color rgb="FFFFCCCC"/>
      <color rgb="FF99FFCC"/>
      <color rgb="FFCCECFF"/>
      <color rgb="FFFFAFF4"/>
      <color rgb="FFFF9999"/>
      <color rgb="FF99FF66"/>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 Id="rId9"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7.bin"/><Relationship Id="rId3" Type="http://schemas.openxmlformats.org/officeDocument/2006/relationships/printerSettings" Target="../printerSettings/printerSettings22.bin"/><Relationship Id="rId7" Type="http://schemas.openxmlformats.org/officeDocument/2006/relationships/printerSettings" Target="../printerSettings/printerSettings26.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printerSettings" Target="../printerSettings/printerSettings25.bin"/><Relationship Id="rId5" Type="http://schemas.openxmlformats.org/officeDocument/2006/relationships/printerSettings" Target="../printerSettings/printerSettings24.bin"/><Relationship Id="rId4" Type="http://schemas.openxmlformats.org/officeDocument/2006/relationships/printerSettings" Target="../printerSettings/printerSettings23.bin"/><Relationship Id="rId9"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6.bin"/><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 Id="rId9" Type="http://schemas.openxmlformats.org/officeDocument/2006/relationships/printerSettings" Target="../printerSettings/printerSettings37.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5.bin"/><Relationship Id="rId3" Type="http://schemas.openxmlformats.org/officeDocument/2006/relationships/printerSettings" Target="../printerSettings/printerSettings40.bin"/><Relationship Id="rId7" Type="http://schemas.openxmlformats.org/officeDocument/2006/relationships/printerSettings" Target="../printerSettings/printerSettings44.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6" Type="http://schemas.openxmlformats.org/officeDocument/2006/relationships/printerSettings" Target="../printerSettings/printerSettings43.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 Id="rId9" Type="http://schemas.openxmlformats.org/officeDocument/2006/relationships/printerSettings" Target="../printerSettings/printerSettings4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sheet1.xml><?xml version="1.0" encoding="utf-8"?>
<worksheet xmlns="http://schemas.openxmlformats.org/spreadsheetml/2006/main" xmlns:r="http://schemas.openxmlformats.org/officeDocument/2006/relationships">
  <sheetPr codeName="Sheet2">
    <pageSetUpPr fitToPage="1"/>
  </sheetPr>
  <dimension ref="A1:HE2964"/>
  <sheetViews>
    <sheetView tabSelected="1" zoomScale="70" zoomScaleNormal="70" zoomScaleSheetLayoutView="85" workbookViewId="0">
      <pane xSplit="6" ySplit="6" topLeftCell="G247" activePane="bottomRight" state="frozen"/>
      <selection activeCell="H286" sqref="H286"/>
      <selection pane="topRight" activeCell="H286" sqref="H286"/>
      <selection pane="bottomLeft" activeCell="H286" sqref="H286"/>
      <selection pane="bottomRight" activeCell="K238" sqref="K238"/>
    </sheetView>
  </sheetViews>
  <sheetFormatPr defaultRowHeight="15"/>
  <cols>
    <col min="1" max="1" width="6" style="55" bestFit="1" customWidth="1"/>
    <col min="2" max="2" width="3.42578125" style="27" customWidth="1"/>
    <col min="3" max="3" width="70" style="27" customWidth="1"/>
    <col min="4" max="4" width="29.5703125" style="27" customWidth="1"/>
    <col min="5" max="5" width="30" style="77" customWidth="1"/>
    <col min="6" max="6" width="52.5703125" style="39" customWidth="1"/>
    <col min="7" max="7" width="2.7109375" style="39" customWidth="1"/>
    <col min="8" max="8" width="18.28515625" style="472" customWidth="1"/>
    <col min="9" max="212" width="9.140625" style="39"/>
    <col min="213" max="213" width="9.28515625" style="39" bestFit="1" customWidth="1"/>
    <col min="214" max="16384" width="9.140625" style="39"/>
  </cols>
  <sheetData>
    <row r="1" spans="1:8" ht="21" customHeight="1">
      <c r="A1" s="165"/>
      <c r="B1" s="1199" t="s">
        <v>209</v>
      </c>
      <c r="C1" s="1199"/>
      <c r="D1" s="1199"/>
      <c r="E1" s="1199"/>
      <c r="F1" s="1199"/>
      <c r="G1" s="1199"/>
      <c r="H1" s="1199"/>
    </row>
    <row r="2" spans="1:8" ht="25.5" customHeight="1" thickBot="1">
      <c r="B2" s="43"/>
      <c r="C2" s="375"/>
      <c r="D2" s="1200"/>
      <c r="E2" s="1200"/>
      <c r="F2" s="1200"/>
      <c r="G2" s="44"/>
      <c r="H2" s="44"/>
    </row>
    <row r="3" spans="1:8" ht="27.75" customHeight="1" thickBot="1">
      <c r="A3" s="1206" t="s">
        <v>720</v>
      </c>
      <c r="B3" s="1207"/>
      <c r="C3" s="1207"/>
      <c r="D3" s="1201"/>
      <c r="E3" s="1201"/>
      <c r="F3" s="1202"/>
      <c r="H3" s="39"/>
    </row>
    <row r="4" spans="1:8" s="61" customFormat="1" ht="51" customHeight="1" thickBot="1">
      <c r="A4" s="1204" t="s">
        <v>717</v>
      </c>
      <c r="B4" s="1205"/>
      <c r="C4" s="1205"/>
      <c r="D4" s="237"/>
      <c r="E4" s="238" t="s">
        <v>602</v>
      </c>
      <c r="F4" s="239" t="s">
        <v>150</v>
      </c>
      <c r="G4" s="236"/>
      <c r="H4" s="1134" t="s">
        <v>846</v>
      </c>
    </row>
    <row r="5" spans="1:8" s="174" customFormat="1" ht="23.25" customHeight="1">
      <c r="A5" s="1203" t="s">
        <v>356</v>
      </c>
      <c r="B5" s="1203"/>
      <c r="C5" s="1203"/>
      <c r="D5" s="1203"/>
      <c r="E5" s="481"/>
      <c r="F5" s="172"/>
      <c r="G5" s="120"/>
      <c r="H5" s="173"/>
    </row>
    <row r="6" spans="1:8" s="44" customFormat="1" ht="15.75">
      <c r="A6" s="1198" t="s">
        <v>512</v>
      </c>
      <c r="B6" s="1198"/>
      <c r="C6" s="1198"/>
      <c r="D6" s="98"/>
      <c r="E6" s="482"/>
      <c r="F6" s="99"/>
      <c r="G6" s="99"/>
      <c r="H6" s="868"/>
    </row>
    <row r="7" spans="1:8" s="44" customFormat="1">
      <c r="A7" s="83"/>
      <c r="B7" s="68"/>
      <c r="C7" s="68"/>
      <c r="D7" s="68"/>
      <c r="E7" s="481"/>
      <c r="F7" s="89"/>
      <c r="G7" s="89"/>
      <c r="H7" s="869"/>
    </row>
    <row r="8" spans="1:8" ht="15.75">
      <c r="A8" s="410"/>
      <c r="B8" s="411" t="s">
        <v>517</v>
      </c>
      <c r="E8" s="483"/>
      <c r="F8" s="412"/>
      <c r="G8" s="413"/>
      <c r="H8" s="862"/>
    </row>
    <row r="9" spans="1:8">
      <c r="A9" s="26">
        <v>1</v>
      </c>
      <c r="B9" s="26"/>
      <c r="C9" s="89" t="s">
        <v>462</v>
      </c>
      <c r="D9" s="148"/>
      <c r="E9" s="302"/>
      <c r="F9" s="412" t="s">
        <v>655</v>
      </c>
      <c r="G9" s="27"/>
      <c r="H9" s="1135">
        <v>35527356</v>
      </c>
    </row>
    <row r="10" spans="1:8">
      <c r="A10" s="77"/>
      <c r="E10" s="484"/>
      <c r="F10" s="44"/>
    </row>
    <row r="11" spans="1:8">
      <c r="A11" s="26">
        <f>+A9+1</f>
        <v>2</v>
      </c>
      <c r="B11" s="26"/>
      <c r="C11" s="89" t="s">
        <v>463</v>
      </c>
      <c r="D11" s="89"/>
      <c r="E11" s="485"/>
      <c r="F11" s="89" t="s">
        <v>656</v>
      </c>
      <c r="G11" s="27"/>
      <c r="H11" s="1136">
        <v>353988331</v>
      </c>
    </row>
    <row r="12" spans="1:8">
      <c r="A12" s="26">
        <f>+A11+1</f>
        <v>3</v>
      </c>
      <c r="B12" s="26"/>
      <c r="C12" s="89" t="s">
        <v>513</v>
      </c>
      <c r="D12" s="89"/>
      <c r="E12" s="484"/>
      <c r="F12" s="89" t="s">
        <v>657</v>
      </c>
      <c r="G12" s="27"/>
      <c r="H12" s="1136">
        <v>40939121</v>
      </c>
    </row>
    <row r="13" spans="1:8">
      <c r="A13" s="26">
        <f>+A12+1</f>
        <v>4</v>
      </c>
      <c r="B13" s="26"/>
      <c r="C13" s="414" t="s">
        <v>689</v>
      </c>
      <c r="D13" s="415"/>
      <c r="E13" s="486"/>
      <c r="F13" s="416" t="str">
        <f>"(Line "&amp;A11&amp;" - Line "&amp;A12&amp;")"</f>
        <v>(Line 2 - Line 3)</v>
      </c>
      <c r="G13" s="49"/>
      <c r="H13" s="870">
        <f>H11-H12</f>
        <v>313049210</v>
      </c>
    </row>
    <row r="14" spans="1:8">
      <c r="A14" s="26"/>
      <c r="B14" s="26"/>
      <c r="C14" s="417"/>
      <c r="E14" s="483"/>
      <c r="F14" s="43"/>
      <c r="G14" s="27"/>
      <c r="H14" s="862"/>
    </row>
    <row r="15" spans="1:8" ht="16.5" thickBot="1">
      <c r="A15" s="26">
        <v>5</v>
      </c>
      <c r="B15" s="418" t="s">
        <v>563</v>
      </c>
      <c r="C15" s="418"/>
      <c r="D15" s="100"/>
      <c r="E15" s="487"/>
      <c r="F15" s="419" t="str">
        <f>"(Line "&amp;A9&amp;" / Line "&amp;A13&amp;")"</f>
        <v>(Line 1 / Line 4)</v>
      </c>
      <c r="G15" s="101"/>
      <c r="H15" s="1033">
        <f>H9/H13</f>
        <v>0.11348808706465031</v>
      </c>
    </row>
    <row r="16" spans="1:8" ht="16.5" thickTop="1">
      <c r="A16" s="26"/>
      <c r="B16" s="26"/>
      <c r="C16" s="411"/>
      <c r="D16" s="43"/>
      <c r="E16" s="488"/>
      <c r="F16" s="43"/>
      <c r="G16" s="27"/>
      <c r="H16" s="33"/>
    </row>
    <row r="17" spans="1:8" ht="15.75">
      <c r="A17" s="77"/>
      <c r="B17" s="411" t="s">
        <v>574</v>
      </c>
      <c r="D17" s="39"/>
      <c r="E17" s="484"/>
      <c r="F17" s="44"/>
      <c r="H17" s="39"/>
    </row>
    <row r="18" spans="1:8">
      <c r="A18" s="65">
        <f>+A15+1</f>
        <v>6</v>
      </c>
      <c r="B18" s="39"/>
      <c r="C18" s="89" t="s">
        <v>582</v>
      </c>
      <c r="E18" s="690" t="str">
        <f>"(Note "&amp;B$288&amp;")"</f>
        <v>(Note B)</v>
      </c>
      <c r="F18" s="89" t="s">
        <v>64</v>
      </c>
      <c r="H18" s="1117">
        <v>20435103182</v>
      </c>
    </row>
    <row r="19" spans="1:8">
      <c r="A19" s="78"/>
      <c r="B19" s="39"/>
      <c r="C19" s="89"/>
      <c r="E19" s="489"/>
      <c r="F19" s="89"/>
      <c r="H19" s="412"/>
    </row>
    <row r="20" spans="1:8">
      <c r="A20" s="65">
        <f>A18+1</f>
        <v>7</v>
      </c>
      <c r="B20" s="39"/>
      <c r="C20" s="89" t="s">
        <v>460</v>
      </c>
      <c r="E20" s="690" t="str">
        <f>"(Note "&amp;B$299&amp;")"</f>
        <v>(Note J)</v>
      </c>
      <c r="F20" s="89" t="s">
        <v>590</v>
      </c>
      <c r="H20" s="1117">
        <v>7256820206</v>
      </c>
    </row>
    <row r="21" spans="1:8">
      <c r="A21" s="65">
        <f>+A20+1</f>
        <v>8</v>
      </c>
      <c r="B21" s="39"/>
      <c r="C21" s="89" t="s">
        <v>391</v>
      </c>
      <c r="E21" s="480" t="str">
        <f>"(Note "&amp;B$287&amp;")"</f>
        <v>(Note A)</v>
      </c>
      <c r="F21" s="412" t="s">
        <v>529</v>
      </c>
      <c r="H21" s="1117">
        <v>365516517</v>
      </c>
    </row>
    <row r="22" spans="1:8">
      <c r="A22" s="65">
        <f>A21+1</f>
        <v>9</v>
      </c>
      <c r="C22" s="47" t="s">
        <v>516</v>
      </c>
      <c r="D22" s="49"/>
      <c r="E22" s="489"/>
      <c r="F22" s="416" t="str">
        <f>"(Line "&amp;A20&amp;" + "&amp;A21&amp;")"</f>
        <v>(Line 7 + 8)</v>
      </c>
      <c r="G22" s="46"/>
      <c r="H22" s="416">
        <f>SUM(H20:H21)</f>
        <v>7622336723</v>
      </c>
    </row>
    <row r="23" spans="1:8" ht="17.25" customHeight="1">
      <c r="A23" s="77"/>
      <c r="C23" s="68"/>
      <c r="E23" s="490"/>
      <c r="F23" s="412"/>
      <c r="H23" s="75"/>
    </row>
    <row r="24" spans="1:8">
      <c r="A24" s="26">
        <f>+A22+1</f>
        <v>10</v>
      </c>
      <c r="B24" s="39"/>
      <c r="C24" s="46" t="s">
        <v>568</v>
      </c>
      <c r="D24" s="46"/>
      <c r="E24" s="491"/>
      <c r="F24" s="416" t="str">
        <f>"(Line "&amp;A18&amp;" - Line "&amp;A22&amp;")"</f>
        <v>(Line 6 - Line 9)</v>
      </c>
      <c r="G24" s="46"/>
      <c r="H24" s="415">
        <f>H18-H22</f>
        <v>12812766459</v>
      </c>
    </row>
    <row r="25" spans="1:8">
      <c r="A25" s="77"/>
      <c r="B25" s="39"/>
      <c r="C25" s="39"/>
      <c r="D25" s="39"/>
      <c r="E25" s="490"/>
      <c r="F25" s="44"/>
      <c r="H25" s="39"/>
    </row>
    <row r="26" spans="1:8">
      <c r="A26" s="65">
        <f>+A24+1</f>
        <v>11</v>
      </c>
      <c r="B26" s="39"/>
      <c r="C26" s="39" t="s">
        <v>514</v>
      </c>
      <c r="D26" s="39"/>
      <c r="E26" s="490"/>
      <c r="F26" s="405" t="str">
        <f>"(Line "&amp;A52&amp;" - Line "&amp;A50&amp;")"</f>
        <v>(Line 29 - Line 28)</v>
      </c>
      <c r="H26" s="75">
        <f>H52-H50</f>
        <v>4230042615.6262555</v>
      </c>
    </row>
    <row r="27" spans="1:8" ht="16.5" thickBot="1">
      <c r="A27" s="26">
        <f>+A26+1</f>
        <v>12</v>
      </c>
      <c r="B27" s="420" t="s">
        <v>451</v>
      </c>
      <c r="C27" s="420"/>
      <c r="D27" s="91"/>
      <c r="E27" s="492"/>
      <c r="F27" s="419" t="str">
        <f>"(Line "&amp;A26&amp;" / Line "&amp;A18&amp;")"</f>
        <v>(Line 11 / Line 6)</v>
      </c>
      <c r="G27" s="91"/>
      <c r="H27" s="1034">
        <f>H26/H18</f>
        <v>0.20699883812440129</v>
      </c>
    </row>
    <row r="28" spans="1:8" ht="15.75" thickTop="1">
      <c r="A28" s="77"/>
      <c r="E28" s="490"/>
      <c r="F28" s="44"/>
    </row>
    <row r="29" spans="1:8">
      <c r="A29" s="65">
        <f>+A27+1</f>
        <v>13</v>
      </c>
      <c r="B29" s="26"/>
      <c r="C29" s="421" t="s">
        <v>515</v>
      </c>
      <c r="D29" s="43"/>
      <c r="E29" s="493"/>
      <c r="F29" s="405" t="str">
        <f>"(Line "&amp;A70&amp;" - Line "&amp;A50&amp;")"</f>
        <v>(Line 41 - Line 28)</v>
      </c>
      <c r="G29" s="27"/>
      <c r="H29" s="871">
        <f>H70-H50</f>
        <v>2960401906.6835198</v>
      </c>
    </row>
    <row r="30" spans="1:8" ht="16.5" thickBot="1">
      <c r="A30" s="26">
        <f>+A29+1</f>
        <v>14</v>
      </c>
      <c r="B30" s="420" t="s">
        <v>569</v>
      </c>
      <c r="C30" s="420"/>
      <c r="D30" s="91"/>
      <c r="E30" s="492"/>
      <c r="F30" s="419" t="str">
        <f>"(Line "&amp;A29&amp;" / Line "&amp;A24&amp;")"</f>
        <v>(Line 13 / Line 10)</v>
      </c>
      <c r="G30" s="91"/>
      <c r="H30" s="1033">
        <f>H29/H24</f>
        <v>0.23105095344995236</v>
      </c>
    </row>
    <row r="31" spans="1:8" ht="16.5" thickTop="1">
      <c r="A31" s="40"/>
      <c r="B31" s="26"/>
      <c r="C31" s="411"/>
      <c r="D31" s="43"/>
      <c r="E31" s="493"/>
      <c r="F31" s="27"/>
      <c r="G31" s="27"/>
      <c r="H31" s="33"/>
    </row>
    <row r="32" spans="1:8" ht="15.75">
      <c r="A32" s="1198" t="s">
        <v>567</v>
      </c>
      <c r="B32" s="1198"/>
      <c r="C32" s="1198"/>
      <c r="D32" s="98"/>
      <c r="E32" s="482"/>
      <c r="F32" s="99"/>
      <c r="G32" s="99"/>
      <c r="H32" s="109"/>
    </row>
    <row r="33" spans="1:8" ht="15.75">
      <c r="A33" s="102"/>
      <c r="B33" s="103"/>
      <c r="C33" s="68"/>
      <c r="D33" s="68"/>
      <c r="E33" s="481"/>
      <c r="F33" s="89"/>
      <c r="G33" s="89"/>
      <c r="H33" s="97"/>
    </row>
    <row r="34" spans="1:8" ht="15.75">
      <c r="A34" s="77"/>
      <c r="B34" s="411" t="s">
        <v>519</v>
      </c>
      <c r="E34" s="488"/>
      <c r="F34" s="412"/>
      <c r="G34" s="410"/>
      <c r="H34" s="413"/>
    </row>
    <row r="35" spans="1:8">
      <c r="A35" s="65">
        <f>+A30+1</f>
        <v>15</v>
      </c>
      <c r="B35" s="65"/>
      <c r="C35" s="421" t="s">
        <v>566</v>
      </c>
      <c r="D35" s="43"/>
      <c r="E35" s="690" t="str">
        <f>"(Note "&amp;B$288&amp;")"</f>
        <v>(Note B)</v>
      </c>
      <c r="F35" s="412" t="s">
        <v>473</v>
      </c>
      <c r="G35" s="27"/>
      <c r="H35" s="1117">
        <v>3618231748</v>
      </c>
    </row>
    <row r="36" spans="1:8">
      <c r="A36" s="65">
        <f>A35+1</f>
        <v>16</v>
      </c>
      <c r="B36" s="65"/>
      <c r="C36" s="421" t="s">
        <v>254</v>
      </c>
      <c r="D36" s="43"/>
      <c r="E36" s="493" t="s">
        <v>414</v>
      </c>
      <c r="F36" s="83" t="s">
        <v>362</v>
      </c>
      <c r="G36" s="27"/>
      <c r="H36" s="853"/>
    </row>
    <row r="37" spans="1:8">
      <c r="A37" s="65">
        <f>+A36+1</f>
        <v>17</v>
      </c>
      <c r="B37" s="65"/>
      <c r="C37" s="403" t="s">
        <v>302</v>
      </c>
      <c r="D37" s="143"/>
      <c r="E37" s="480" t="str">
        <f>"(Note "&amp;B$288&amp;")"</f>
        <v>(Note B)</v>
      </c>
      <c r="F37" s="80" t="s">
        <v>362</v>
      </c>
      <c r="G37" s="84"/>
      <c r="H37" s="854">
        <f>'6 - Est &amp; Reconcile WS'!G84</f>
        <v>123539000</v>
      </c>
    </row>
    <row r="38" spans="1:8" ht="15.75">
      <c r="A38" s="65">
        <f>+A37+1</f>
        <v>18</v>
      </c>
      <c r="B38" s="65"/>
      <c r="C38" s="411" t="s">
        <v>694</v>
      </c>
      <c r="D38" s="43"/>
      <c r="E38" s="489"/>
      <c r="F38" s="395" t="str">
        <f>"(Line "&amp;A35&amp;" - Line "&amp;A36&amp;" + Line "&amp;A37&amp;")"</f>
        <v>(Line 15 - Line 16 + Line 17)</v>
      </c>
      <c r="G38" s="27"/>
      <c r="H38" s="422">
        <f>H35-H36+H37</f>
        <v>3741770748</v>
      </c>
    </row>
    <row r="39" spans="1:8">
      <c r="A39" s="65"/>
      <c r="B39" s="65"/>
      <c r="C39" s="421"/>
      <c r="D39" s="43"/>
      <c r="E39" s="301"/>
      <c r="F39" s="412"/>
      <c r="G39" s="43"/>
      <c r="H39" s="853"/>
    </row>
    <row r="40" spans="1:8">
      <c r="A40" s="65">
        <f>+A38+1</f>
        <v>19</v>
      </c>
      <c r="B40" s="65"/>
      <c r="C40" s="421" t="s">
        <v>16</v>
      </c>
      <c r="D40" s="43"/>
      <c r="E40" s="301"/>
      <c r="F40" s="412" t="s">
        <v>65</v>
      </c>
      <c r="G40" s="43"/>
      <c r="H40" s="1136">
        <v>1619757466</v>
      </c>
    </row>
    <row r="41" spans="1:8">
      <c r="A41" s="65">
        <f>A40+1</f>
        <v>20</v>
      </c>
      <c r="B41" s="65"/>
      <c r="C41" s="421" t="s">
        <v>17</v>
      </c>
      <c r="D41" s="43"/>
      <c r="E41" s="301"/>
      <c r="F41" s="80" t="s">
        <v>18</v>
      </c>
      <c r="G41" s="43"/>
      <c r="H41" s="1117">
        <f>447434965-17492488</f>
        <v>429942477</v>
      </c>
    </row>
    <row r="42" spans="1:8">
      <c r="A42" s="65">
        <f>A41+1</f>
        <v>21</v>
      </c>
      <c r="B42" s="65"/>
      <c r="C42" s="414" t="s">
        <v>89</v>
      </c>
      <c r="D42" s="45"/>
      <c r="E42" s="494"/>
      <c r="F42" s="395" t="str">
        <f>"(Line "&amp;A40&amp;" + Line "&amp;A41&amp;")"</f>
        <v>(Line 19 + Line 20)</v>
      </c>
      <c r="G42" s="45"/>
      <c r="H42" s="870">
        <f>SUM(H40:H41)</f>
        <v>2049699943</v>
      </c>
    </row>
    <row r="43" spans="1:8">
      <c r="A43" s="65">
        <f>+A42+1</f>
        <v>22</v>
      </c>
      <c r="B43" s="65"/>
      <c r="C43" s="403" t="s">
        <v>9</v>
      </c>
      <c r="D43" s="143"/>
      <c r="E43" s="495"/>
      <c r="F43" s="405" t="s">
        <v>591</v>
      </c>
      <c r="G43" s="143"/>
      <c r="H43" s="1137">
        <v>727923321</v>
      </c>
    </row>
    <row r="44" spans="1:8">
      <c r="A44" s="65">
        <f>+A43+1</f>
        <v>23</v>
      </c>
      <c r="B44" s="65"/>
      <c r="C44" s="401" t="s">
        <v>90</v>
      </c>
      <c r="D44" s="68"/>
      <c r="E44" s="496"/>
      <c r="F44" s="395" t="str">
        <f>"(Line "&amp;A42&amp;" - Line "&amp;A43&amp;")"</f>
        <v>(Line 21 - Line 22)</v>
      </c>
      <c r="G44" s="68"/>
      <c r="H44" s="859">
        <f>H42-H43</f>
        <v>1321776622</v>
      </c>
    </row>
    <row r="45" spans="1:8" ht="15.75">
      <c r="A45" s="65">
        <f>A44+1</f>
        <v>24</v>
      </c>
      <c r="B45" s="65"/>
      <c r="C45" s="42" t="s">
        <v>690</v>
      </c>
      <c r="D45" s="421"/>
      <c r="E45" s="493"/>
      <c r="F45" s="405" t="str">
        <f>"(Line "&amp;A$15&amp;")"</f>
        <v>(Line 5)</v>
      </c>
      <c r="G45" s="424"/>
      <c r="H45" s="1035">
        <f>H15</f>
        <v>0.11348808706465031</v>
      </c>
    </row>
    <row r="46" spans="1:8">
      <c r="A46" s="65">
        <f>+A45+1</f>
        <v>25</v>
      </c>
      <c r="B46" s="44"/>
      <c r="C46" s="414" t="s">
        <v>91</v>
      </c>
      <c r="D46" s="47"/>
      <c r="E46" s="497"/>
      <c r="F46" s="395" t="str">
        <f>"(Line "&amp;A44&amp;" * Line "&amp;A45&amp;")"</f>
        <v>(Line 23 * Line 24)</v>
      </c>
      <c r="G46" s="47"/>
      <c r="H46" s="870">
        <f>H44*H45</f>
        <v>150005900.35755539</v>
      </c>
    </row>
    <row r="47" spans="1:8">
      <c r="A47" s="65">
        <f>A46+1</f>
        <v>26</v>
      </c>
      <c r="B47" s="44"/>
      <c r="C47" s="403" t="s">
        <v>13</v>
      </c>
      <c r="D47" s="311"/>
      <c r="E47" s="498"/>
      <c r="F47" s="405" t="s">
        <v>365</v>
      </c>
      <c r="G47" s="311"/>
      <c r="H47" s="854">
        <f>'5 - Cost Support'!H10</f>
        <v>338265967.2687</v>
      </c>
    </row>
    <row r="48" spans="1:8" ht="15.75">
      <c r="A48" s="65">
        <f>A47+1</f>
        <v>27</v>
      </c>
      <c r="B48" s="44"/>
      <c r="C48" s="397" t="s">
        <v>92</v>
      </c>
      <c r="D48" s="89"/>
      <c r="E48" s="499"/>
      <c r="F48" s="395" t="str">
        <f>"(Line "&amp;A46&amp;" + Line "&amp;A47&amp;")"</f>
        <v>(Line 25 + Line 26)</v>
      </c>
      <c r="G48" s="89"/>
      <c r="H48" s="872">
        <f>H46+H47</f>
        <v>488271867.62625539</v>
      </c>
    </row>
    <row r="49" spans="1:8" ht="15.75">
      <c r="A49" s="78"/>
      <c r="B49" s="39"/>
      <c r="C49" s="411"/>
      <c r="D49" s="44"/>
      <c r="E49" s="495"/>
      <c r="F49" s="44"/>
      <c r="G49" s="44"/>
      <c r="H49" s="449"/>
    </row>
    <row r="50" spans="1:8" ht="15.75">
      <c r="A50" s="65">
        <f>A48+1</f>
        <v>28</v>
      </c>
      <c r="B50" s="26"/>
      <c r="C50" s="426" t="s">
        <v>73</v>
      </c>
      <c r="D50" s="145"/>
      <c r="E50" s="690" t="str">
        <f>"(Note "&amp;B$291&amp;")"</f>
        <v>(Note C)</v>
      </c>
      <c r="F50" s="416" t="str">
        <f>F47</f>
        <v>Attachment 5</v>
      </c>
      <c r="G50" s="45"/>
      <c r="H50" s="412">
        <f>'5 - Cost Support'!H34</f>
        <v>31057307</v>
      </c>
    </row>
    <row r="51" spans="1:8" ht="15.75">
      <c r="A51" s="78"/>
      <c r="B51" s="39"/>
      <c r="C51" s="411"/>
      <c r="D51" s="44"/>
      <c r="E51" s="301"/>
      <c r="F51" s="44"/>
      <c r="H51" s="423"/>
    </row>
    <row r="52" spans="1:8" s="61" customFormat="1" ht="16.5" thickBot="1">
      <c r="A52" s="65">
        <f>+A50+1</f>
        <v>29</v>
      </c>
      <c r="B52" s="420" t="s">
        <v>393</v>
      </c>
      <c r="C52" s="427"/>
      <c r="D52" s="427"/>
      <c r="E52" s="500"/>
      <c r="F52" s="428" t="str">
        <f>"(Line "&amp;A38&amp;" + Line "&amp;A48&amp;" + Line "&amp;A50&amp;")"</f>
        <v>(Line 18 + Line 27 + Line 28)</v>
      </c>
      <c r="G52" s="420"/>
      <c r="H52" s="429">
        <f>H38+H48+H50</f>
        <v>4261099922.6262555</v>
      </c>
    </row>
    <row r="53" spans="1:8" ht="15.75" thickTop="1">
      <c r="A53" s="78"/>
      <c r="B53" s="39"/>
      <c r="C53" s="44"/>
      <c r="D53" s="44"/>
      <c r="E53" s="302"/>
    </row>
    <row r="54" spans="1:8" ht="15.75">
      <c r="A54" s="65"/>
      <c r="B54" s="411" t="s">
        <v>509</v>
      </c>
      <c r="C54" s="411"/>
      <c r="D54" s="412"/>
      <c r="E54" s="488"/>
      <c r="F54" s="413"/>
      <c r="G54" s="430"/>
      <c r="H54" s="853"/>
    </row>
    <row r="55" spans="1:8">
      <c r="A55" s="78"/>
      <c r="B55" s="43"/>
      <c r="C55" s="43"/>
      <c r="D55" s="43"/>
      <c r="E55" s="488"/>
      <c r="F55" s="412"/>
      <c r="G55" s="413"/>
      <c r="H55" s="862"/>
    </row>
    <row r="56" spans="1:8">
      <c r="A56" s="65">
        <f>+A52+1</f>
        <v>30</v>
      </c>
      <c r="B56" s="65"/>
      <c r="C56" s="421" t="s">
        <v>581</v>
      </c>
      <c r="D56" s="43"/>
      <c r="E56" s="690" t="str">
        <f>"(Note "&amp;B$299&amp;")"</f>
        <v>(Note J)</v>
      </c>
      <c r="F56" s="412" t="s">
        <v>474</v>
      </c>
      <c r="G56" s="43"/>
      <c r="H56" s="1136">
        <v>1026309974</v>
      </c>
    </row>
    <row r="57" spans="1:8">
      <c r="A57" s="65"/>
      <c r="B57" s="65"/>
      <c r="C57" s="401"/>
      <c r="D57" s="68"/>
      <c r="E57" s="493"/>
      <c r="F57" s="395"/>
      <c r="G57" s="68"/>
      <c r="H57" s="849"/>
    </row>
    <row r="58" spans="1:8">
      <c r="A58" s="65">
        <f>A56+1</f>
        <v>31</v>
      </c>
      <c r="B58" s="65"/>
      <c r="C58" s="401" t="s">
        <v>625</v>
      </c>
      <c r="D58" s="68"/>
      <c r="E58" s="690" t="str">
        <f>"(Note "&amp;B$299&amp;")"</f>
        <v>(Note J)</v>
      </c>
      <c r="F58" s="395" t="s">
        <v>490</v>
      </c>
      <c r="G58" s="68"/>
      <c r="H58" s="1138">
        <f>647361213-2279844</f>
        <v>645081369</v>
      </c>
    </row>
    <row r="59" spans="1:8">
      <c r="A59" s="65">
        <f>A58+1</f>
        <v>32</v>
      </c>
      <c r="B59" s="65"/>
      <c r="C59" s="403" t="s">
        <v>215</v>
      </c>
      <c r="D59" s="143"/>
      <c r="E59" s="480" t="str">
        <f>"(Note "&amp;B$299&amp;")"</f>
        <v>(Note J)</v>
      </c>
      <c r="F59" s="405" t="s">
        <v>365</v>
      </c>
      <c r="G59" s="143"/>
      <c r="H59" s="854">
        <f>'5 - Cost Support'!H14</f>
        <v>366274347</v>
      </c>
    </row>
    <row r="60" spans="1:8">
      <c r="A60" s="65">
        <f>A59+1</f>
        <v>33</v>
      </c>
      <c r="B60" s="65"/>
      <c r="C60" s="421" t="s">
        <v>19</v>
      </c>
      <c r="D60" s="43"/>
      <c r="E60" s="499"/>
      <c r="F60" s="395" t="str">
        <f>"(Line "&amp;A58&amp;" - Line "&amp;A59&amp;")"</f>
        <v>(Line 31 - Line 32)</v>
      </c>
      <c r="G60" s="43"/>
      <c r="H60" s="853">
        <f>H58-H59</f>
        <v>278807022</v>
      </c>
    </row>
    <row r="61" spans="1:8">
      <c r="A61" s="65">
        <f>A60+1</f>
        <v>34</v>
      </c>
      <c r="B61" s="65"/>
      <c r="C61" s="403" t="str">
        <f>+C21</f>
        <v>Accumulated Amortization</v>
      </c>
      <c r="D61" s="143"/>
      <c r="E61" s="498"/>
      <c r="F61" s="405" t="str">
        <f>"(Line "&amp;A$21&amp;")"</f>
        <v>(Line 8)</v>
      </c>
      <c r="G61" s="143"/>
      <c r="H61" s="854">
        <f>H21</f>
        <v>365516517</v>
      </c>
    </row>
    <row r="62" spans="1:8">
      <c r="A62" s="65">
        <f>A61+1</f>
        <v>35</v>
      </c>
      <c r="B62" s="65"/>
      <c r="C62" s="401" t="s">
        <v>87</v>
      </c>
      <c r="D62" s="68"/>
      <c r="E62" s="499"/>
      <c r="F62" s="395" t="str">
        <f>"(Line "&amp;A60&amp;" + "&amp;A61&amp;")"</f>
        <v>(Line 33 + 34)</v>
      </c>
      <c r="G62" s="395"/>
      <c r="H62" s="859">
        <f>SUM(H60:H61)</f>
        <v>644323539</v>
      </c>
    </row>
    <row r="63" spans="1:8">
      <c r="A63" s="65">
        <f>+A62+1</f>
        <v>36</v>
      </c>
      <c r="B63" s="65"/>
      <c r="C63" s="401" t="str">
        <f>+C45</f>
        <v>Wage &amp; Salary Allocator</v>
      </c>
      <c r="D63" s="68"/>
      <c r="E63" s="499"/>
      <c r="F63" s="405" t="str">
        <f>"(Line "&amp;A$15&amp;")"</f>
        <v>(Line 5)</v>
      </c>
      <c r="G63" s="395"/>
      <c r="H63" s="1036">
        <f>H15</f>
        <v>0.11348808706465031</v>
      </c>
    </row>
    <row r="64" spans="1:8">
      <c r="A64" s="65">
        <f>+A63+1</f>
        <v>37</v>
      </c>
      <c r="B64" s="44"/>
      <c r="C64" s="414" t="s">
        <v>88</v>
      </c>
      <c r="D64" s="47"/>
      <c r="E64" s="494"/>
      <c r="F64" s="395" t="str">
        <f>"(Line "&amp;A62&amp;" * Line "&amp;A63&amp;")"</f>
        <v>(Line 35 * Line 36)</v>
      </c>
      <c r="G64" s="47"/>
      <c r="H64" s="870">
        <f>H62*H63</f>
        <v>73123045.891835615</v>
      </c>
    </row>
    <row r="65" spans="1:8">
      <c r="A65" s="65">
        <f>A64+1</f>
        <v>38</v>
      </c>
      <c r="B65" s="44"/>
      <c r="C65" s="401" t="s">
        <v>20</v>
      </c>
      <c r="D65" s="89"/>
      <c r="E65" s="496"/>
      <c r="F65" s="395" t="str">
        <f>"(Line "&amp;A47&amp;" / Line "&amp;A43&amp;")"</f>
        <v>(Line 26 / Line 22)</v>
      </c>
      <c r="G65" s="89"/>
      <c r="H65" s="1037">
        <f>H47/H43</f>
        <v>0.4647</v>
      </c>
    </row>
    <row r="66" spans="1:8">
      <c r="A66" s="65">
        <f>A65+1</f>
        <v>39</v>
      </c>
      <c r="B66" s="44"/>
      <c r="C66" s="401" t="s">
        <v>21</v>
      </c>
      <c r="D66" s="89"/>
      <c r="E66" s="496"/>
      <c r="F66" s="395" t="str">
        <f>"(Line "&amp;A65&amp;" * Line "&amp;A59&amp;")"</f>
        <v>(Line 38 * Line 32)</v>
      </c>
      <c r="G66" s="89"/>
      <c r="H66" s="849">
        <f>H65*H59</f>
        <v>170207689.05090001</v>
      </c>
    </row>
    <row r="67" spans="1:8">
      <c r="A67" s="78"/>
      <c r="B67" s="39"/>
      <c r="C67" s="39"/>
      <c r="D67" s="39"/>
      <c r="E67" s="490"/>
      <c r="F67" s="77"/>
      <c r="G67" s="77"/>
      <c r="H67" s="873"/>
    </row>
    <row r="68" spans="1:8" ht="16.5" thickBot="1">
      <c r="A68" s="65">
        <f>A66+1</f>
        <v>40</v>
      </c>
      <c r="B68" s="420" t="s">
        <v>516</v>
      </c>
      <c r="C68" s="420"/>
      <c r="D68" s="420"/>
      <c r="E68" s="501"/>
      <c r="F68" s="431" t="str">
        <f>"(Sum Lines "&amp;A56&amp;",  "&amp;A64&amp;" &amp; "&amp;A66&amp;")"</f>
        <v>(Sum Lines 30,  37 &amp; 39)</v>
      </c>
      <c r="G68" s="431"/>
      <c r="H68" s="874">
        <f>H56+H64+H66</f>
        <v>1269640708.9427357</v>
      </c>
    </row>
    <row r="69" spans="1:8" ht="15.75" thickTop="1">
      <c r="A69" s="78"/>
      <c r="B69" s="39"/>
      <c r="C69" s="39"/>
      <c r="D69" s="39"/>
      <c r="E69" s="484"/>
      <c r="F69" s="44"/>
      <c r="G69" s="27"/>
      <c r="H69" s="39"/>
    </row>
    <row r="70" spans="1:8" ht="16.5" thickBot="1">
      <c r="A70" s="65">
        <f>+A68+1</f>
        <v>41</v>
      </c>
      <c r="B70" s="420" t="s">
        <v>681</v>
      </c>
      <c r="C70" s="420"/>
      <c r="D70" s="420"/>
      <c r="E70" s="501"/>
      <c r="F70" s="428" t="str">
        <f>"(Line "&amp;A52&amp;" - Line "&amp;A68&amp;")"</f>
        <v>(Line 29 - Line 40)</v>
      </c>
      <c r="G70" s="420"/>
      <c r="H70" s="429">
        <f>H52-H68</f>
        <v>2991459213.6835198</v>
      </c>
    </row>
    <row r="71" spans="1:8" ht="15.75" thickTop="1">
      <c r="A71" s="77"/>
      <c r="B71" s="39"/>
      <c r="C71" s="39"/>
      <c r="D71" s="39"/>
      <c r="E71" s="484"/>
      <c r="F71" s="44"/>
    </row>
    <row r="72" spans="1:8" ht="15.75">
      <c r="A72" s="1198" t="s">
        <v>518</v>
      </c>
      <c r="B72" s="1198"/>
      <c r="C72" s="1198"/>
      <c r="D72" s="98"/>
      <c r="E72" s="482"/>
      <c r="F72" s="99"/>
      <c r="G72" s="99"/>
      <c r="H72" s="852"/>
    </row>
    <row r="73" spans="1:8">
      <c r="A73" s="160"/>
      <c r="B73" s="161"/>
      <c r="C73" s="161"/>
      <c r="D73" s="161"/>
      <c r="E73" s="484"/>
    </row>
    <row r="74" spans="1:8" ht="15.75">
      <c r="A74" s="78"/>
      <c r="B74" s="181" t="s">
        <v>39</v>
      </c>
      <c r="D74" s="44"/>
      <c r="E74" s="502"/>
      <c r="H74" s="862"/>
    </row>
    <row r="75" spans="1:8" ht="15.75">
      <c r="A75" s="78">
        <f>+A70+1</f>
        <v>42</v>
      </c>
      <c r="B75" s="181"/>
      <c r="C75" s="432" t="s">
        <v>62</v>
      </c>
      <c r="D75" s="433"/>
      <c r="E75" s="484"/>
      <c r="F75" s="54" t="s">
        <v>363</v>
      </c>
      <c r="H75" s="903">
        <f>'1 - ADIT'!G17</f>
        <v>-707406867.52708101</v>
      </c>
    </row>
    <row r="76" spans="1:8" ht="15.75">
      <c r="A76" s="78"/>
      <c r="B76" s="44"/>
      <c r="C76" s="181"/>
      <c r="D76" s="89"/>
      <c r="E76" s="503"/>
      <c r="F76" s="89"/>
      <c r="G76" s="70"/>
      <c r="H76" s="169"/>
    </row>
    <row r="77" spans="1:8" ht="15.75">
      <c r="A77" s="65"/>
      <c r="B77" s="174" t="s">
        <v>380</v>
      </c>
      <c r="C77" s="44"/>
      <c r="D77" s="44"/>
      <c r="E77" s="159"/>
      <c r="F77" s="43"/>
      <c r="G77" s="44"/>
      <c r="H77" s="44"/>
    </row>
    <row r="78" spans="1:8" ht="15.75">
      <c r="A78" s="65">
        <f>A75+1</f>
        <v>43</v>
      </c>
      <c r="B78" s="410"/>
      <c r="C78" s="401" t="s">
        <v>381</v>
      </c>
      <c r="D78" s="144"/>
      <c r="E78" s="690" t="str">
        <f>"(Note "&amp;B$296&amp;")"</f>
        <v>(Note H)</v>
      </c>
      <c r="F78" s="83" t="s">
        <v>362</v>
      </c>
      <c r="G78" s="89"/>
      <c r="H78" s="412">
        <f>'6 - Est &amp; Reconcile WS'!H85</f>
        <v>0</v>
      </c>
    </row>
    <row r="79" spans="1:8">
      <c r="A79" s="65"/>
      <c r="B79" s="65"/>
      <c r="C79" s="401"/>
      <c r="D79" s="144"/>
      <c r="E79" s="504"/>
      <c r="F79" s="51"/>
      <c r="G79" s="395"/>
      <c r="H79" s="39"/>
    </row>
    <row r="80" spans="1:8" ht="15.75">
      <c r="A80" s="65"/>
      <c r="B80" s="434" t="s">
        <v>510</v>
      </c>
      <c r="C80" s="42"/>
      <c r="D80" s="43"/>
      <c r="E80" s="301"/>
      <c r="F80" s="295"/>
      <c r="G80" s="50"/>
      <c r="H80" s="39"/>
    </row>
    <row r="81" spans="1:8" ht="15.75">
      <c r="A81" s="65">
        <f>A78+1</f>
        <v>44</v>
      </c>
      <c r="B81" s="291"/>
      <c r="C81" s="362" t="s">
        <v>388</v>
      </c>
      <c r="D81" s="144"/>
      <c r="E81" s="690" t="str">
        <f>"(Note "&amp;B$287&amp;")"</f>
        <v>(Note A)</v>
      </c>
      <c r="F81" s="362" t="s">
        <v>365</v>
      </c>
      <c r="G81" s="127"/>
      <c r="H81" s="435">
        <f>+'5 - Cost Support'!F116</f>
        <v>2151559.9265321256</v>
      </c>
    </row>
    <row r="82" spans="1:8" ht="15.75">
      <c r="A82" s="26"/>
      <c r="B82" s="41"/>
      <c r="C82" s="42"/>
      <c r="E82" s="505"/>
      <c r="F82" s="296"/>
      <c r="G82" s="50"/>
      <c r="H82" s="52"/>
    </row>
    <row r="83" spans="1:8" ht="15.75">
      <c r="A83" s="65"/>
      <c r="B83" s="434" t="s">
        <v>507</v>
      </c>
      <c r="C83" s="44"/>
      <c r="D83" s="44"/>
      <c r="E83" s="506"/>
      <c r="F83" s="296"/>
      <c r="G83" s="50"/>
      <c r="H83" s="52"/>
    </row>
    <row r="84" spans="1:8">
      <c r="A84" s="78">
        <f>A81+1</f>
        <v>45</v>
      </c>
      <c r="B84" s="44"/>
      <c r="C84" s="44" t="s">
        <v>640</v>
      </c>
      <c r="D84" s="43"/>
      <c r="E84" s="690" t="str">
        <f>"(Note "&amp;B$287&amp;")"</f>
        <v>(Note A)</v>
      </c>
      <c r="F84" s="42" t="s">
        <v>491</v>
      </c>
      <c r="H84" s="1117">
        <f>0+0</f>
        <v>0</v>
      </c>
    </row>
    <row r="85" spans="1:8" s="44" customFormat="1" ht="15.75">
      <c r="A85" s="65">
        <f>+A84+1</f>
        <v>46</v>
      </c>
      <c r="B85" s="41"/>
      <c r="C85" s="128" t="s">
        <v>690</v>
      </c>
      <c r="D85" s="80"/>
      <c r="E85" s="507"/>
      <c r="F85" s="405" t="str">
        <f>"(Line "&amp;A$15&amp;")"</f>
        <v>(Line 5)</v>
      </c>
      <c r="G85" s="82"/>
      <c r="H85" s="436">
        <f>H15</f>
        <v>0.11348808706465031</v>
      </c>
    </row>
    <row r="86" spans="1:8" ht="15.75">
      <c r="A86" s="65">
        <f>+A85+1</f>
        <v>47</v>
      </c>
      <c r="B86" s="41"/>
      <c r="C86" s="42" t="s">
        <v>700</v>
      </c>
      <c r="D86" s="43"/>
      <c r="E86" s="301"/>
      <c r="F86" s="395" t="str">
        <f>"(Line "&amp;A84&amp;" * Line "&amp;A85&amp;")"</f>
        <v>(Line 45 * Line 46)</v>
      </c>
      <c r="G86" s="50"/>
      <c r="H86" s="56">
        <f>H84*H85</f>
        <v>0</v>
      </c>
    </row>
    <row r="87" spans="1:8" ht="15.75">
      <c r="A87" s="65">
        <f>A86+1</f>
        <v>48</v>
      </c>
      <c r="B87" s="41"/>
      <c r="C87" s="42" t="s">
        <v>476</v>
      </c>
      <c r="D87" s="43"/>
      <c r="E87" s="508"/>
      <c r="F87" s="128" t="s">
        <v>530</v>
      </c>
      <c r="G87" s="50"/>
      <c r="H87" s="1139">
        <v>54635594</v>
      </c>
    </row>
    <row r="88" spans="1:8" ht="18" customHeight="1">
      <c r="A88" s="65">
        <f>A87+1</f>
        <v>49</v>
      </c>
      <c r="B88" s="41"/>
      <c r="C88" s="407" t="s">
        <v>506</v>
      </c>
      <c r="D88" s="310"/>
      <c r="E88" s="509"/>
      <c r="F88" s="395" t="str">
        <f>"(Line "&amp;A86&amp;" + Line "&amp;A87&amp;")"</f>
        <v>(Line 47 + Line 48)</v>
      </c>
      <c r="G88" s="58"/>
      <c r="H88" s="59">
        <f>H86+H87</f>
        <v>54635594</v>
      </c>
    </row>
    <row r="89" spans="1:8" ht="15.75">
      <c r="A89" s="65"/>
      <c r="B89" s="41"/>
      <c r="C89" s="42"/>
      <c r="D89" s="43"/>
      <c r="E89" s="510"/>
      <c r="F89" s="435"/>
      <c r="G89" s="50"/>
    </row>
    <row r="90" spans="1:8" ht="15.75">
      <c r="A90" s="65"/>
      <c r="B90" s="434" t="s">
        <v>511</v>
      </c>
      <c r="C90" s="44"/>
      <c r="D90" s="43"/>
      <c r="E90" s="484"/>
      <c r="F90" s="848"/>
      <c r="G90" s="50"/>
    </row>
    <row r="91" spans="1:8" ht="15.75">
      <c r="A91" s="65">
        <f>+A88+1</f>
        <v>50</v>
      </c>
      <c r="B91" s="41"/>
      <c r="C91" s="42" t="s">
        <v>379</v>
      </c>
      <c r="D91" s="54"/>
      <c r="E91" s="302"/>
      <c r="F91" s="849" t="str">
        <f>"(Line "&amp;A$142&amp;" - Line "&amp;A$140&amp;")"</f>
        <v>(Line 85 - Line 84)</v>
      </c>
      <c r="G91" s="50"/>
      <c r="H91" s="875">
        <f>H142-H140</f>
        <v>141254215.81177449</v>
      </c>
    </row>
    <row r="92" spans="1:8">
      <c r="A92" s="65">
        <f>+A91+1</f>
        <v>51</v>
      </c>
      <c r="B92" s="41"/>
      <c r="C92" s="54" t="s">
        <v>575</v>
      </c>
      <c r="D92" s="54"/>
      <c r="E92" s="302"/>
      <c r="F92" s="850" t="s">
        <v>701</v>
      </c>
      <c r="H92" s="876">
        <f>1/8</f>
        <v>0.125</v>
      </c>
    </row>
    <row r="93" spans="1:8" s="61" customFormat="1" ht="15.75">
      <c r="A93" s="65">
        <f>+A92+1</f>
        <v>52</v>
      </c>
      <c r="B93" s="424"/>
      <c r="C93" s="437" t="s">
        <v>475</v>
      </c>
      <c r="D93" s="60"/>
      <c r="E93" s="511"/>
      <c r="F93" s="849" t="str">
        <f>"(Line "&amp;A91&amp;" * Line "&amp;A92&amp;")"</f>
        <v>(Line 50 * Line 51)</v>
      </c>
      <c r="G93" s="57"/>
      <c r="H93" s="62">
        <f>H91*H92</f>
        <v>17656776.976471812</v>
      </c>
    </row>
    <row r="94" spans="1:8" s="61" customFormat="1" ht="15.75">
      <c r="A94" s="65"/>
      <c r="B94" s="424"/>
      <c r="C94" s="181"/>
      <c r="D94" s="182"/>
      <c r="E94" s="512"/>
      <c r="F94" s="849"/>
      <c r="G94" s="183"/>
      <c r="H94" s="877"/>
    </row>
    <row r="95" spans="1:8" s="61" customFormat="1" ht="15.75">
      <c r="B95" s="181" t="s">
        <v>140</v>
      </c>
      <c r="D95" s="182"/>
      <c r="E95" s="315"/>
      <c r="F95" s="849"/>
      <c r="G95" s="183"/>
      <c r="H95" s="877"/>
    </row>
    <row r="96" spans="1:8">
      <c r="A96" s="65">
        <f>+A93+1</f>
        <v>53</v>
      </c>
      <c r="B96" s="39"/>
      <c r="C96" s="39" t="s">
        <v>142</v>
      </c>
      <c r="D96" s="39"/>
      <c r="E96" s="690" t="str">
        <f>"(Note "&amp;B$307&amp;")"</f>
        <v>(Note N)</v>
      </c>
      <c r="F96" s="470" t="s">
        <v>365</v>
      </c>
      <c r="H96" s="435">
        <f>'5 - Cost Support'!G129</f>
        <v>0</v>
      </c>
    </row>
    <row r="97" spans="1:8">
      <c r="A97" s="77"/>
      <c r="B97" s="39"/>
      <c r="C97" s="39"/>
      <c r="D97" s="39"/>
      <c r="E97" s="490"/>
      <c r="F97" s="470"/>
      <c r="H97" s="75"/>
    </row>
    <row r="98" spans="1:8" ht="16.5" thickBot="1">
      <c r="A98" s="77">
        <f>A96+1</f>
        <v>54</v>
      </c>
      <c r="B98" s="420" t="s">
        <v>682</v>
      </c>
      <c r="C98" s="420"/>
      <c r="D98" s="420"/>
      <c r="E98" s="501"/>
      <c r="F98" s="851" t="str">
        <f>"(Lines "&amp;A75&amp;" + "&amp;A78&amp;" + "&amp;A81&amp;" + "&amp;A88&amp;" + "&amp;A93&amp;" - "&amp;A96&amp;")"</f>
        <v>(Lines 42 + 43 + 44 + 49 + 52 - 53)</v>
      </c>
      <c r="G98" s="427"/>
      <c r="H98" s="439">
        <f>H75+H78+H81+H88+H93-H96</f>
        <v>-632962936.62407708</v>
      </c>
    </row>
    <row r="99" spans="1:8" ht="15.75" thickTop="1">
      <c r="A99" s="77"/>
      <c r="B99" s="39"/>
      <c r="C99" s="39"/>
      <c r="D99" s="39"/>
      <c r="E99" s="484"/>
      <c r="F99" s="470"/>
      <c r="H99" s="871"/>
    </row>
    <row r="100" spans="1:8" ht="16.5" thickBot="1">
      <c r="A100" s="26">
        <f>+A98+1</f>
        <v>55</v>
      </c>
      <c r="B100" s="420" t="s">
        <v>570</v>
      </c>
      <c r="C100" s="420"/>
      <c r="D100" s="420"/>
      <c r="E100" s="501"/>
      <c r="F100" s="851" t="str">
        <f>"(Line "&amp;A70&amp;" + Line "&amp;A98&amp;")"</f>
        <v>(Line 41 + Line 54)</v>
      </c>
      <c r="G100" s="420"/>
      <c r="H100" s="874">
        <f>H70+H98</f>
        <v>2358496277.0594425</v>
      </c>
    </row>
    <row r="101" spans="1:8" ht="15.75" thickTop="1">
      <c r="B101" s="39"/>
      <c r="C101" s="39"/>
      <c r="D101" s="39"/>
      <c r="E101" s="484"/>
      <c r="F101" s="472"/>
      <c r="H101" s="39"/>
    </row>
    <row r="102" spans="1:8" s="44" customFormat="1" ht="15.75">
      <c r="A102" s="1198" t="s">
        <v>707</v>
      </c>
      <c r="B102" s="1198"/>
      <c r="C102" s="1198"/>
      <c r="D102" s="107"/>
      <c r="E102" s="513"/>
      <c r="F102" s="852"/>
      <c r="G102" s="108"/>
      <c r="H102" s="109"/>
    </row>
    <row r="103" spans="1:8" s="44" customFormat="1">
      <c r="A103" s="43"/>
      <c r="B103" s="43"/>
      <c r="C103" s="43"/>
      <c r="D103" s="43"/>
      <c r="E103" s="514"/>
      <c r="F103" s="470"/>
      <c r="H103" s="97"/>
    </row>
    <row r="104" spans="1:8" ht="15.75">
      <c r="A104" s="26"/>
      <c r="B104" s="411" t="s">
        <v>561</v>
      </c>
      <c r="D104" s="413"/>
      <c r="E104" s="483"/>
      <c r="F104" s="472"/>
      <c r="G104" s="413"/>
      <c r="H104" s="413"/>
    </row>
    <row r="105" spans="1:8" ht="15.75">
      <c r="A105" s="65">
        <f>+A100+1</f>
        <v>56</v>
      </c>
      <c r="B105" s="65"/>
      <c r="C105" s="421" t="s">
        <v>561</v>
      </c>
      <c r="D105" s="43"/>
      <c r="E105" s="302"/>
      <c r="F105" s="853" t="s">
        <v>365</v>
      </c>
      <c r="G105" s="410"/>
      <c r="H105" s="435">
        <f>'5 - Cost Support'!I136</f>
        <v>87432863</v>
      </c>
    </row>
    <row r="106" spans="1:8">
      <c r="A106" s="65">
        <f>A105+1</f>
        <v>57</v>
      </c>
      <c r="B106" s="65"/>
      <c r="C106" s="421" t="s">
        <v>608</v>
      </c>
      <c r="D106" s="43"/>
      <c r="E106" s="302"/>
      <c r="F106" s="853" t="s">
        <v>365</v>
      </c>
      <c r="G106" s="43"/>
      <c r="H106" s="435">
        <f>'5 - Cost Support'!I139</f>
        <v>5993969</v>
      </c>
    </row>
    <row r="107" spans="1:8">
      <c r="A107" s="65">
        <f>+A106+1</f>
        <v>58</v>
      </c>
      <c r="B107" s="65"/>
      <c r="C107" s="421" t="s">
        <v>713</v>
      </c>
      <c r="D107" s="43"/>
      <c r="E107" s="302"/>
      <c r="F107" s="853" t="str">
        <f>+F106</f>
        <v>Attachment 5</v>
      </c>
      <c r="G107" s="43"/>
      <c r="H107" s="435">
        <f>+'5 - Cost Support'!G139</f>
        <v>5993969</v>
      </c>
    </row>
    <row r="108" spans="1:8">
      <c r="A108" s="65">
        <f>+A107+1</f>
        <v>59</v>
      </c>
      <c r="B108" s="65"/>
      <c r="C108" s="421" t="s">
        <v>243</v>
      </c>
      <c r="D108" s="43"/>
      <c r="E108" s="690" t="str">
        <f>"(Note "&amp;B$310&amp;")"</f>
        <v>(Note O)</v>
      </c>
      <c r="F108" s="853" t="s">
        <v>144</v>
      </c>
      <c r="G108" s="43"/>
      <c r="H108" s="435"/>
    </row>
    <row r="109" spans="1:8">
      <c r="A109" s="26">
        <f>+A108+1</f>
        <v>60</v>
      </c>
      <c r="B109" s="26"/>
      <c r="C109" s="421" t="s">
        <v>562</v>
      </c>
      <c r="D109" s="412"/>
      <c r="E109" s="480" t="str">
        <f>"(Note "&amp;B$287&amp;")"</f>
        <v>(Note A)</v>
      </c>
      <c r="F109" s="854" t="s">
        <v>527</v>
      </c>
      <c r="G109" s="1130"/>
      <c r="H109" s="1140">
        <v>0</v>
      </c>
    </row>
    <row r="110" spans="1:8" ht="15.75">
      <c r="A110" s="65">
        <f>+A109+1</f>
        <v>61</v>
      </c>
      <c r="B110" s="43"/>
      <c r="C110" s="426" t="s">
        <v>561</v>
      </c>
      <c r="D110" s="45"/>
      <c r="E110" s="494"/>
      <c r="F110" s="849" t="str">
        <f>"(Lines "&amp;A105&amp;"  - "&amp;A106&amp;" + "&amp;A107&amp;" + "&amp;A108&amp;" + "&amp;A109&amp;")"</f>
        <v>(Lines 56  - 57 + 58 + 59 + 60)</v>
      </c>
      <c r="G110" s="47"/>
      <c r="H110" s="440">
        <f>H105-H106+H107+H108+H109</f>
        <v>87432863</v>
      </c>
    </row>
    <row r="111" spans="1:8" ht="15.75">
      <c r="A111" s="65"/>
      <c r="B111" s="65"/>
      <c r="C111" s="411"/>
      <c r="D111" s="43"/>
      <c r="E111" s="493"/>
      <c r="F111" s="855"/>
      <c r="G111" s="43"/>
      <c r="H111" s="391"/>
    </row>
    <row r="112" spans="1:8" ht="15.75">
      <c r="A112" s="65"/>
      <c r="B112" s="411" t="s">
        <v>93</v>
      </c>
      <c r="C112" s="43"/>
      <c r="D112" s="43"/>
      <c r="E112" s="493"/>
      <c r="F112" s="855"/>
      <c r="G112" s="43"/>
      <c r="H112" s="391"/>
    </row>
    <row r="113" spans="1:8">
      <c r="A113" s="65">
        <f>A110+1</f>
        <v>62</v>
      </c>
      <c r="B113" s="65"/>
      <c r="C113" s="421" t="s">
        <v>565</v>
      </c>
      <c r="D113" s="43"/>
      <c r="E113" s="301"/>
      <c r="F113" s="853" t="str">
        <f>F106</f>
        <v>Attachment 5</v>
      </c>
      <c r="G113" s="43"/>
      <c r="H113" s="853">
        <f>'5 - Cost Support'!I62</f>
        <v>491396602</v>
      </c>
    </row>
    <row r="114" spans="1:8">
      <c r="A114" s="65">
        <f t="shared" ref="A114:A124" si="0">+A113+1</f>
        <v>63</v>
      </c>
      <c r="B114" s="65"/>
      <c r="C114" s="421" t="s">
        <v>669</v>
      </c>
      <c r="D114" s="43"/>
      <c r="E114" s="690" t="str">
        <f>"(Note "&amp;B$299&amp;")"</f>
        <v>(Note J)</v>
      </c>
      <c r="F114" s="853" t="s">
        <v>677</v>
      </c>
      <c r="G114" s="43"/>
      <c r="H114" s="853">
        <f>+'5 - Cost Support'!G64</f>
        <v>62565886</v>
      </c>
    </row>
    <row r="115" spans="1:8">
      <c r="A115" s="65">
        <f t="shared" si="0"/>
        <v>64</v>
      </c>
      <c r="B115" s="65"/>
      <c r="C115" s="421" t="s">
        <v>303</v>
      </c>
      <c r="D115" s="43"/>
      <c r="E115" s="489"/>
      <c r="F115" s="853" t="s">
        <v>365</v>
      </c>
      <c r="G115" s="43"/>
      <c r="H115" s="853">
        <f>'5 - Cost Support'!G65</f>
        <v>62862922</v>
      </c>
    </row>
    <row r="116" spans="1:8">
      <c r="A116" s="65">
        <f t="shared" si="0"/>
        <v>65</v>
      </c>
      <c r="B116" s="65"/>
      <c r="C116" s="421" t="s">
        <v>427</v>
      </c>
      <c r="D116" s="412"/>
      <c r="E116" s="489"/>
      <c r="F116" s="853" t="str">
        <f>F107</f>
        <v>Attachment 5</v>
      </c>
      <c r="G116" s="43"/>
      <c r="H116" s="853">
        <f>'5 - Cost Support'!G66</f>
        <v>12184000</v>
      </c>
    </row>
    <row r="117" spans="1:8">
      <c r="A117" s="65">
        <f t="shared" si="0"/>
        <v>66</v>
      </c>
      <c r="B117" s="65"/>
      <c r="C117" s="44" t="s">
        <v>674</v>
      </c>
      <c r="D117" s="412"/>
      <c r="E117" s="489"/>
      <c r="F117" s="853" t="s">
        <v>365</v>
      </c>
      <c r="G117" s="43"/>
      <c r="H117" s="853">
        <f>'5 - Cost Support'!G67</f>
        <v>976605</v>
      </c>
    </row>
    <row r="118" spans="1:8">
      <c r="A118" s="65">
        <f t="shared" si="0"/>
        <v>67</v>
      </c>
      <c r="B118" s="65"/>
      <c r="C118" s="421" t="s">
        <v>611</v>
      </c>
      <c r="D118" s="412"/>
      <c r="E118" s="301"/>
      <c r="F118" s="1146" t="s">
        <v>492</v>
      </c>
      <c r="G118" s="43"/>
      <c r="H118" s="1136">
        <v>990706</v>
      </c>
    </row>
    <row r="119" spans="1:8">
      <c r="A119" s="65">
        <f t="shared" si="0"/>
        <v>68</v>
      </c>
      <c r="B119" s="65"/>
      <c r="C119" s="421" t="s">
        <v>612</v>
      </c>
      <c r="D119" s="412"/>
      <c r="E119" s="690" t="str">
        <f>"(Note "&amp;B$293&amp;")"</f>
        <v>(Note E)</v>
      </c>
      <c r="F119" s="1146" t="s">
        <v>493</v>
      </c>
      <c r="G119" s="43"/>
      <c r="H119" s="1136">
        <v>5461413</v>
      </c>
    </row>
    <row r="120" spans="1:8">
      <c r="A120" s="65">
        <f t="shared" si="0"/>
        <v>69</v>
      </c>
      <c r="B120" s="65"/>
      <c r="C120" s="421" t="s">
        <v>613</v>
      </c>
      <c r="D120" s="412"/>
      <c r="E120" s="301"/>
      <c r="F120" s="1146" t="s">
        <v>494</v>
      </c>
      <c r="G120" s="43"/>
      <c r="H120" s="1136">
        <v>2113178</v>
      </c>
    </row>
    <row r="121" spans="1:8">
      <c r="A121" s="65">
        <f t="shared" si="0"/>
        <v>70</v>
      </c>
      <c r="B121" s="65"/>
      <c r="C121" s="421" t="s">
        <v>597</v>
      </c>
      <c r="D121" s="44"/>
      <c r="E121" s="690" t="str">
        <f>"(Note "&amp;B$292&amp;")"</f>
        <v>(Note D)</v>
      </c>
      <c r="F121" s="854" t="s">
        <v>702</v>
      </c>
      <c r="G121" s="43"/>
      <c r="H121" s="395">
        <f>'5 - Cost Support'!H55</f>
        <v>0</v>
      </c>
    </row>
    <row r="122" spans="1:8" ht="15.75">
      <c r="A122" s="65">
        <f t="shared" si="0"/>
        <v>71</v>
      </c>
      <c r="B122" s="65"/>
      <c r="C122" s="426" t="s">
        <v>94</v>
      </c>
      <c r="D122" s="45"/>
      <c r="E122" s="497"/>
      <c r="F122" s="849" t="str">
        <f>"Sum (Lines "&amp;A113&amp;" to "&amp;A114&amp;") -  Sum (Lines "&amp;A115&amp;" to "&amp;A121&amp;")"</f>
        <v>Sum (Lines 62 to 63) -  Sum (Lines 64 to 70)</v>
      </c>
      <c r="G122" s="45"/>
      <c r="H122" s="870">
        <f>SUM(H113:H114)-SUM(H115:H121)</f>
        <v>469373664</v>
      </c>
    </row>
    <row r="123" spans="1:8" ht="15.75">
      <c r="A123" s="65">
        <f t="shared" si="0"/>
        <v>72</v>
      </c>
      <c r="B123" s="65"/>
      <c r="C123" s="128" t="s">
        <v>690</v>
      </c>
      <c r="D123" s="54"/>
      <c r="E123" s="490"/>
      <c r="F123" s="856" t="str">
        <f>"(Line "&amp;A$15&amp;")"</f>
        <v>(Line 5)</v>
      </c>
      <c r="G123" s="50"/>
      <c r="H123" s="880">
        <f>H15</f>
        <v>0.11348808706465031</v>
      </c>
    </row>
    <row r="124" spans="1:8" ht="15.75">
      <c r="A124" s="65">
        <f t="shared" si="0"/>
        <v>73</v>
      </c>
      <c r="B124" s="65"/>
      <c r="C124" s="426" t="s">
        <v>95</v>
      </c>
      <c r="D124" s="45"/>
      <c r="E124" s="515"/>
      <c r="F124" s="849" t="str">
        <f>"(Line "&amp;A122&amp;" * Line "&amp;A123&amp;")"</f>
        <v>(Line 71 * Line 72)</v>
      </c>
      <c r="G124" s="49"/>
      <c r="H124" s="879">
        <f>H122*H123</f>
        <v>53268319.245885924</v>
      </c>
    </row>
    <row r="125" spans="1:8" ht="15.75">
      <c r="A125" s="65"/>
      <c r="B125" s="65"/>
      <c r="C125" s="397"/>
      <c r="D125" s="68"/>
      <c r="E125" s="516"/>
      <c r="F125" s="857"/>
      <c r="G125" s="51"/>
      <c r="H125" s="423"/>
    </row>
    <row r="126" spans="1:8" ht="15.75">
      <c r="A126" s="65"/>
      <c r="B126" s="411" t="s">
        <v>477</v>
      </c>
      <c r="C126" s="44"/>
      <c r="D126" s="68"/>
      <c r="E126" s="516"/>
      <c r="F126" s="857"/>
      <c r="G126" s="51"/>
      <c r="H126" s="423"/>
    </row>
    <row r="127" spans="1:8">
      <c r="A127" s="65">
        <f>+A124+1</f>
        <v>74</v>
      </c>
      <c r="B127" s="41"/>
      <c r="C127" s="42" t="s">
        <v>614</v>
      </c>
      <c r="D127" s="138"/>
      <c r="E127" s="690" t="str">
        <f>"(Note "&amp;B$295&amp;")"</f>
        <v>(Note G)</v>
      </c>
      <c r="F127" s="853" t="s">
        <v>365</v>
      </c>
      <c r="G127" s="44"/>
      <c r="H127" s="435">
        <f>'5 - Cost Support'!H74</f>
        <v>324130</v>
      </c>
    </row>
    <row r="128" spans="1:8">
      <c r="A128" s="26">
        <f>+A127+1</f>
        <v>75</v>
      </c>
      <c r="B128" s="41"/>
      <c r="C128" s="128" t="s">
        <v>615</v>
      </c>
      <c r="D128" s="146"/>
      <c r="E128" s="480" t="str">
        <f>"(Note "&amp;B$304&amp;")"</f>
        <v>(Note K)</v>
      </c>
      <c r="F128" s="854" t="s">
        <v>365</v>
      </c>
      <c r="G128" s="311"/>
      <c r="H128" s="405">
        <f>'5 - Cost Support'!H93</f>
        <v>0</v>
      </c>
    </row>
    <row r="129" spans="1:8" ht="15.75">
      <c r="A129" s="26">
        <f>+A128+1</f>
        <v>76</v>
      </c>
      <c r="B129" s="41"/>
      <c r="C129" s="42" t="s">
        <v>703</v>
      </c>
      <c r="D129" s="43"/>
      <c r="E129" s="517"/>
      <c r="F129" s="849" t="str">
        <f>"(Line "&amp;A127&amp;" + Line "&amp;A128&amp;")"</f>
        <v>(Line 74 + Line 75)</v>
      </c>
      <c r="G129" s="44"/>
      <c r="H129" s="441">
        <f>SUM(H127:H128)</f>
        <v>324130</v>
      </c>
    </row>
    <row r="130" spans="1:8" ht="15.75">
      <c r="A130" s="65"/>
      <c r="B130" s="41"/>
      <c r="C130" s="42"/>
      <c r="D130" s="43"/>
      <c r="E130" s="517"/>
      <c r="F130" s="858"/>
      <c r="G130" s="44"/>
      <c r="H130" s="848"/>
    </row>
    <row r="131" spans="1:8">
      <c r="A131" s="26">
        <f>+A129+1</f>
        <v>77</v>
      </c>
      <c r="B131" s="41"/>
      <c r="C131" s="42" t="s">
        <v>616</v>
      </c>
      <c r="D131" s="43"/>
      <c r="E131" s="490"/>
      <c r="F131" s="858" t="str">
        <f>"(Line "&amp;A118&amp;")"</f>
        <v>(Line 67)</v>
      </c>
      <c r="G131" s="44"/>
      <c r="H131" s="875">
        <f>H118</f>
        <v>990706</v>
      </c>
    </row>
    <row r="132" spans="1:8">
      <c r="A132" s="26">
        <f>+A131+1</f>
        <v>78</v>
      </c>
      <c r="B132" s="41"/>
      <c r="C132" s="42" t="s">
        <v>615</v>
      </c>
      <c r="D132" s="43"/>
      <c r="E132" s="690" t="str">
        <f>"(Note "&amp;B$294&amp;")"</f>
        <v>(Note F)</v>
      </c>
      <c r="F132" s="854" t="s">
        <v>365</v>
      </c>
      <c r="G132" s="44"/>
      <c r="H132" s="854">
        <f>'5 - Cost Support'!H80</f>
        <v>0</v>
      </c>
    </row>
    <row r="133" spans="1:8">
      <c r="A133" s="65">
        <f>+A132+1</f>
        <v>79</v>
      </c>
      <c r="B133" s="41"/>
      <c r="C133" s="312" t="s">
        <v>704</v>
      </c>
      <c r="D133" s="45"/>
      <c r="E133" s="491"/>
      <c r="F133" s="849" t="str">
        <f>"(Line "&amp;A131&amp;" + Line "&amp;A132&amp;")"</f>
        <v>(Line 77 + Line 78)</v>
      </c>
      <c r="G133" s="47"/>
      <c r="H133" s="864">
        <f>SUM(H131:H132)</f>
        <v>990706</v>
      </c>
    </row>
    <row r="134" spans="1:8" ht="15.75">
      <c r="A134" s="26">
        <f>+A133+1</f>
        <v>80</v>
      </c>
      <c r="B134" s="65"/>
      <c r="C134" s="362" t="s">
        <v>569</v>
      </c>
      <c r="D134" s="54"/>
      <c r="E134" s="505"/>
      <c r="F134" s="854" t="str">
        <f>"(Line "&amp;A$30&amp;")"</f>
        <v>(Line 14)</v>
      </c>
      <c r="G134" s="50"/>
      <c r="H134" s="880">
        <f>H30</f>
        <v>0.23105095344995236</v>
      </c>
    </row>
    <row r="135" spans="1:8" ht="15.75">
      <c r="A135" s="65">
        <f>+A134+1</f>
        <v>81</v>
      </c>
      <c r="B135" s="65"/>
      <c r="C135" s="426" t="s">
        <v>479</v>
      </c>
      <c r="D135" s="45"/>
      <c r="E135" s="515"/>
      <c r="F135" s="859" t="str">
        <f>"(Line "&amp;A133&amp;" * Line "&amp;A134&amp;")"</f>
        <v>(Line 79 * Line 80)</v>
      </c>
      <c r="G135" s="49"/>
      <c r="H135" s="881">
        <f>H133*H134</f>
        <v>228903.56588858849</v>
      </c>
    </row>
    <row r="136" spans="1:8" ht="15.75">
      <c r="A136" s="65"/>
      <c r="B136" s="65"/>
      <c r="C136" s="397"/>
      <c r="D136" s="68"/>
      <c r="E136" s="516"/>
      <c r="F136" s="859"/>
      <c r="G136" s="51"/>
      <c r="H136" s="882"/>
    </row>
    <row r="137" spans="1:8" ht="15.75">
      <c r="A137" s="65"/>
      <c r="B137" s="411" t="s">
        <v>387</v>
      </c>
      <c r="C137" s="397"/>
      <c r="D137" s="68"/>
      <c r="E137" s="499"/>
      <c r="F137" s="849"/>
      <c r="G137" s="68"/>
      <c r="H137" s="882"/>
    </row>
    <row r="138" spans="1:8">
      <c r="A138" s="65">
        <f>A135+1</f>
        <v>82</v>
      </c>
      <c r="B138" s="65"/>
      <c r="C138" s="42" t="s">
        <v>261</v>
      </c>
      <c r="D138" s="68"/>
      <c r="E138" s="499"/>
      <c r="F138" s="853" t="s">
        <v>365</v>
      </c>
      <c r="G138" s="68"/>
      <c r="H138" s="412">
        <f>'5 - Cost Support'!F121</f>
        <v>132959733.42434432</v>
      </c>
    </row>
    <row r="139" spans="1:8">
      <c r="A139" s="65">
        <f>A138+1</f>
        <v>83</v>
      </c>
      <c r="B139" s="65"/>
      <c r="C139" s="403" t="s">
        <v>386</v>
      </c>
      <c r="D139" s="143"/>
      <c r="E139" s="498"/>
      <c r="F139" s="854" t="str">
        <f>"(Line "&amp;A$199&amp;")"</f>
        <v>(Line 120)</v>
      </c>
      <c r="G139" s="143"/>
      <c r="H139" s="1038">
        <f>H199</f>
        <v>5.1028833209658342E-2</v>
      </c>
    </row>
    <row r="140" spans="1:8" ht="15.75">
      <c r="A140" s="65">
        <f>A139+1</f>
        <v>84</v>
      </c>
      <c r="B140" s="65"/>
      <c r="C140" s="411" t="s">
        <v>387</v>
      </c>
      <c r="D140" s="43"/>
      <c r="E140" s="493"/>
      <c r="F140" s="849" t="str">
        <f>"(Line "&amp;A138&amp;" * Line "&amp;A139&amp;")"</f>
        <v>(Line 82 * Line 83)</v>
      </c>
      <c r="G140" s="43"/>
      <c r="H140" s="442">
        <f>H138*H139</f>
        <v>6784780.0605115015</v>
      </c>
    </row>
    <row r="141" spans="1:8" ht="15.75">
      <c r="A141" s="65"/>
      <c r="B141" s="65"/>
      <c r="C141" s="411"/>
      <c r="D141" s="43"/>
      <c r="E141" s="493"/>
      <c r="F141" s="855"/>
      <c r="G141" s="43"/>
      <c r="H141" s="849"/>
    </row>
    <row r="142" spans="1:8" ht="16.5" thickBot="1">
      <c r="A142" s="65">
        <f>A140+1</f>
        <v>85</v>
      </c>
      <c r="B142" s="65"/>
      <c r="C142" s="418" t="s">
        <v>250</v>
      </c>
      <c r="D142" s="100"/>
      <c r="E142" s="518"/>
      <c r="F142" s="860" t="str">
        <f>"(Lines "&amp;A110&amp;" + "&amp;A124&amp;" + "&amp;A129&amp;" + "&amp;A135&amp;" + "&amp;A140&amp;")"</f>
        <v>(Lines 61 + 73 + 76 + 81 + 84)</v>
      </c>
      <c r="G142" s="100"/>
      <c r="H142" s="860">
        <f>H110+H124+H129+H135+H140</f>
        <v>148038995.87228599</v>
      </c>
    </row>
    <row r="143" spans="1:8" ht="16.5" thickTop="1">
      <c r="A143" s="40"/>
      <c r="B143" s="26"/>
      <c r="C143" s="411"/>
      <c r="D143" s="43"/>
      <c r="E143" s="519"/>
      <c r="F143" s="27"/>
      <c r="G143" s="27"/>
      <c r="H143" s="33"/>
    </row>
    <row r="144" spans="1:8" ht="15.75">
      <c r="A144" s="1198" t="s">
        <v>557</v>
      </c>
      <c r="B144" s="1198"/>
      <c r="C144" s="1198"/>
      <c r="D144" s="107"/>
      <c r="E144" s="513"/>
      <c r="F144" s="108"/>
      <c r="G144" s="108"/>
      <c r="H144" s="109"/>
    </row>
    <row r="145" spans="1:8" ht="15.75">
      <c r="A145" s="411"/>
      <c r="B145" s="26"/>
      <c r="C145" s="411"/>
      <c r="D145" s="43"/>
      <c r="E145" s="483"/>
      <c r="F145" s="27"/>
      <c r="G145" s="27"/>
      <c r="H145" s="391"/>
    </row>
    <row r="146" spans="1:8" ht="15.75">
      <c r="A146" s="77"/>
      <c r="B146" s="393" t="s">
        <v>459</v>
      </c>
      <c r="C146" s="39"/>
      <c r="E146" s="484"/>
      <c r="F146" s="88"/>
      <c r="G146" s="63"/>
      <c r="H146" s="878"/>
    </row>
    <row r="147" spans="1:8">
      <c r="A147" s="65">
        <f>+A142+1</f>
        <v>86</v>
      </c>
      <c r="B147" s="41"/>
      <c r="C147" s="42" t="s">
        <v>212</v>
      </c>
      <c r="D147" s="43"/>
      <c r="E147" s="690" t="str">
        <f>"(Note "&amp;B$299&amp;")"</f>
        <v>(Note J)</v>
      </c>
      <c r="F147" s="42" t="s">
        <v>716</v>
      </c>
      <c r="G147" s="44"/>
      <c r="H147" s="1141">
        <v>64937415</v>
      </c>
    </row>
    <row r="148" spans="1:8" ht="15.75">
      <c r="A148" s="65"/>
      <c r="B148" s="41"/>
      <c r="C148" s="42"/>
      <c r="D148" s="43"/>
      <c r="E148" s="508"/>
      <c r="F148" s="42"/>
      <c r="G148" s="127"/>
      <c r="H148" s="878"/>
    </row>
    <row r="149" spans="1:8">
      <c r="A149" s="65">
        <f>+A147+1</f>
        <v>87</v>
      </c>
      <c r="B149" s="41"/>
      <c r="C149" s="362" t="s">
        <v>213</v>
      </c>
      <c r="D149" s="68"/>
      <c r="E149" s="690" t="str">
        <f>"(Note "&amp;B$299&amp;")"</f>
        <v>(Note J)</v>
      </c>
      <c r="F149" s="362" t="s">
        <v>66</v>
      </c>
      <c r="G149" s="89"/>
      <c r="H149" s="1142">
        <v>79800908</v>
      </c>
    </row>
    <row r="150" spans="1:8">
      <c r="A150" s="65">
        <f>A149+1</f>
        <v>88</v>
      </c>
      <c r="B150" s="41"/>
      <c r="C150" s="403" t="s">
        <v>764</v>
      </c>
      <c r="D150" s="143"/>
      <c r="E150" s="480" t="str">
        <f>"(Note "&amp;B$299&amp;")"</f>
        <v>(Note J)</v>
      </c>
      <c r="F150" s="405" t="str">
        <f>F127</f>
        <v>Attachment 5</v>
      </c>
      <c r="G150" s="143"/>
      <c r="H150" s="854">
        <f>'5 - Cost Support'!H23</f>
        <v>44391175.199999996</v>
      </c>
    </row>
    <row r="151" spans="1:8">
      <c r="A151" s="65">
        <f>A150+1</f>
        <v>89</v>
      </c>
      <c r="B151" s="41"/>
      <c r="C151" s="421" t="s">
        <v>763</v>
      </c>
      <c r="D151" s="43"/>
      <c r="E151" s="301"/>
      <c r="F151" s="395" t="str">
        <f>"(Line "&amp;A149&amp;" - Line "&amp;A150&amp;")"</f>
        <v>(Line 87 - Line 88)</v>
      </c>
      <c r="G151" s="43"/>
      <c r="H151" s="853">
        <f>H149-H150</f>
        <v>35409732.800000004</v>
      </c>
    </row>
    <row r="152" spans="1:8">
      <c r="A152" s="65">
        <f>A151+1</f>
        <v>90</v>
      </c>
      <c r="B152" s="41"/>
      <c r="C152" s="128" t="s">
        <v>521</v>
      </c>
      <c r="D152" s="143"/>
      <c r="E152" s="480" t="str">
        <f>"(Note "&amp;B$287&amp;")"</f>
        <v>(Note A)</v>
      </c>
      <c r="F152" s="128" t="s">
        <v>528</v>
      </c>
      <c r="G152" s="311"/>
      <c r="H152" s="1143">
        <f>51693374-2014571</f>
        <v>49678803</v>
      </c>
    </row>
    <row r="153" spans="1:8">
      <c r="A153" s="65">
        <f>+A152+1</f>
        <v>91</v>
      </c>
      <c r="B153" s="41"/>
      <c r="C153" s="362" t="s">
        <v>576</v>
      </c>
      <c r="D153" s="68"/>
      <c r="E153" s="520"/>
      <c r="F153" s="395" t="str">
        <f>"(Line "&amp;A151&amp;" + Line "&amp;A152&amp;")"</f>
        <v>(Line 89 + Line 90)</v>
      </c>
      <c r="G153" s="44"/>
      <c r="H153" s="875">
        <f>SUM(H151:H152)</f>
        <v>85088535.800000012</v>
      </c>
    </row>
    <row r="154" spans="1:8" ht="15.75">
      <c r="A154" s="65">
        <f>+A153+1</f>
        <v>92</v>
      </c>
      <c r="B154" s="41"/>
      <c r="C154" s="128" t="s">
        <v>690</v>
      </c>
      <c r="D154" s="80"/>
      <c r="E154" s="495"/>
      <c r="F154" s="143" t="str">
        <f>"(Line "&amp;A$15&amp;")"</f>
        <v>(Line 5)</v>
      </c>
      <c r="G154" s="325"/>
      <c r="H154" s="1039">
        <f>H15</f>
        <v>0.11348808706465031</v>
      </c>
    </row>
    <row r="155" spans="1:8" ht="15.75">
      <c r="A155" s="65">
        <f>+A154+1</f>
        <v>93</v>
      </c>
      <c r="B155" s="41"/>
      <c r="C155" s="42" t="s">
        <v>210</v>
      </c>
      <c r="D155" s="43"/>
      <c r="E155" s="508"/>
      <c r="F155" s="395" t="str">
        <f>"(Line "&amp;A153&amp;" * Line "&amp;A154&amp;")"</f>
        <v>(Line 91 * Line 92)</v>
      </c>
      <c r="G155" s="127"/>
      <c r="H155" s="883">
        <f>H153*H154</f>
        <v>9656535.1590740159</v>
      </c>
    </row>
    <row r="156" spans="1:8" ht="15.75">
      <c r="A156" s="65">
        <f>A155+1</f>
        <v>94</v>
      </c>
      <c r="B156" s="41"/>
      <c r="C156" s="128" t="s">
        <v>217</v>
      </c>
      <c r="D156" s="143"/>
      <c r="E156" s="507"/>
      <c r="F156" s="405" t="str">
        <f>"(Line "&amp;A150&amp;" * Line "&amp;A65&amp;")"</f>
        <v>(Line 88 * Line 38)</v>
      </c>
      <c r="G156" s="325"/>
      <c r="H156" s="884">
        <f>H150*H65</f>
        <v>20628579.11544</v>
      </c>
    </row>
    <row r="157" spans="1:8" ht="15.75">
      <c r="A157" s="65">
        <f>A156+1</f>
        <v>95</v>
      </c>
      <c r="B157" s="41"/>
      <c r="C157" s="434" t="s">
        <v>211</v>
      </c>
      <c r="D157" s="43"/>
      <c r="E157" s="508"/>
      <c r="F157" s="395" t="str">
        <f>"(Line "&amp;A155&amp;" + Line "&amp;A156&amp;")"</f>
        <v>(Line 93 + Line 94)</v>
      </c>
      <c r="G157" s="127"/>
      <c r="H157" s="293">
        <f>H155+H156</f>
        <v>30285114.274514016</v>
      </c>
    </row>
    <row r="158" spans="1:8" ht="15.75">
      <c r="A158" s="65"/>
      <c r="B158" s="41"/>
      <c r="C158" s="42"/>
      <c r="D158" s="43"/>
      <c r="E158" s="508"/>
      <c r="F158" s="395"/>
      <c r="G158" s="127"/>
      <c r="H158" s="435"/>
    </row>
    <row r="159" spans="1:8" ht="15.75">
      <c r="A159" s="87"/>
      <c r="B159" s="29"/>
      <c r="C159" s="42"/>
      <c r="D159" s="43"/>
      <c r="E159" s="508"/>
      <c r="F159" s="42"/>
      <c r="G159" s="50"/>
      <c r="H159" s="52"/>
    </row>
    <row r="160" spans="1:8" s="61" customFormat="1" ht="16.5" thickBot="1">
      <c r="A160" s="26">
        <f>A157+1</f>
        <v>96</v>
      </c>
      <c r="B160" s="444" t="s">
        <v>558</v>
      </c>
      <c r="C160" s="444"/>
      <c r="D160" s="445"/>
      <c r="E160" s="521"/>
      <c r="F160" s="446" t="str">
        <f>"(Lines "&amp;A147&amp;" + "&amp;A157&amp;")"</f>
        <v>(Lines 86 + 95)</v>
      </c>
      <c r="G160" s="85"/>
      <c r="H160" s="447">
        <f>H147+H157</f>
        <v>95222529.274514019</v>
      </c>
    </row>
    <row r="161" spans="1:8" ht="15.75" thickTop="1">
      <c r="E161" s="484"/>
      <c r="F161" s="472"/>
    </row>
    <row r="162" spans="1:8" ht="15.75">
      <c r="A162" s="1198" t="s">
        <v>709</v>
      </c>
      <c r="B162" s="1198"/>
      <c r="C162" s="1198"/>
      <c r="D162" s="107"/>
      <c r="E162" s="522"/>
      <c r="F162" s="852"/>
      <c r="G162" s="108"/>
      <c r="H162" s="868"/>
    </row>
    <row r="163" spans="1:8" ht="15.75">
      <c r="A163" s="160"/>
      <c r="B163" s="26"/>
      <c r="C163" s="411"/>
      <c r="D163" s="43"/>
      <c r="E163" s="483"/>
      <c r="F163" s="861"/>
      <c r="G163" s="27"/>
      <c r="H163" s="33"/>
    </row>
    <row r="164" spans="1:8" ht="15.75">
      <c r="A164" s="65">
        <f>+A160+1</f>
        <v>97</v>
      </c>
      <c r="B164" s="434" t="s">
        <v>710</v>
      </c>
      <c r="C164" s="291"/>
      <c r="E164" s="489"/>
      <c r="F164" s="470" t="s">
        <v>415</v>
      </c>
      <c r="G164" s="44"/>
      <c r="H164" s="907">
        <f>'2 - Other Taxes'!G36</f>
        <v>9166840.507768834</v>
      </c>
    </row>
    <row r="165" spans="1:8">
      <c r="A165" s="78"/>
      <c r="B165" s="43"/>
      <c r="E165" s="505"/>
      <c r="F165" s="858"/>
      <c r="G165" s="44"/>
      <c r="H165" s="39"/>
    </row>
    <row r="166" spans="1:8" ht="16.5" thickBot="1">
      <c r="A166" s="65">
        <f>+A164+1</f>
        <v>98</v>
      </c>
      <c r="B166" s="418" t="s">
        <v>711</v>
      </c>
      <c r="C166" s="418"/>
      <c r="D166" s="445"/>
      <c r="E166" s="501"/>
      <c r="F166" s="860" t="str">
        <f>"(Line "&amp;A164&amp;")"</f>
        <v>(Line 97)</v>
      </c>
      <c r="G166" s="420"/>
      <c r="H166" s="429">
        <f>H164</f>
        <v>9166840.507768834</v>
      </c>
    </row>
    <row r="167" spans="1:8" ht="15.75" thickTop="1">
      <c r="A167" s="77"/>
      <c r="E167" s="484"/>
      <c r="F167" s="44"/>
    </row>
    <row r="168" spans="1:8" ht="15.75">
      <c r="A168" s="1198" t="s">
        <v>712</v>
      </c>
      <c r="B168" s="1198"/>
      <c r="C168" s="1198"/>
      <c r="D168" s="107"/>
      <c r="E168" s="513"/>
      <c r="F168" s="108"/>
      <c r="G168" s="108"/>
      <c r="H168" s="868"/>
    </row>
    <row r="169" spans="1:8" ht="15.75">
      <c r="A169" s="40"/>
      <c r="B169" s="26"/>
      <c r="C169" s="411"/>
      <c r="D169" s="43"/>
      <c r="E169" s="483"/>
      <c r="F169" s="27"/>
      <c r="G169" s="27"/>
      <c r="H169" s="33"/>
    </row>
    <row r="170" spans="1:8" ht="15.75">
      <c r="A170" s="65"/>
      <c r="B170" s="398" t="s">
        <v>456</v>
      </c>
      <c r="D170" s="51"/>
      <c r="E170" s="523"/>
      <c r="G170" s="423"/>
      <c r="H170" s="39"/>
    </row>
    <row r="171" spans="1:8" ht="15.75">
      <c r="A171" s="65">
        <f>+A166+1</f>
        <v>99</v>
      </c>
      <c r="B171" s="398"/>
      <c r="C171" s="27" t="s">
        <v>456</v>
      </c>
      <c r="D171" s="51"/>
      <c r="E171" s="523"/>
      <c r="F171" s="395" t="s">
        <v>365</v>
      </c>
      <c r="G171" s="423"/>
      <c r="H171" s="906">
        <f>'5 - Cost Support'!I147</f>
        <v>299115016</v>
      </c>
    </row>
    <row r="172" spans="1:8">
      <c r="A172" s="65">
        <f>+A171+1</f>
        <v>100</v>
      </c>
      <c r="B172" s="65"/>
      <c r="C172" s="448" t="s">
        <v>458</v>
      </c>
      <c r="D172" s="143"/>
      <c r="E172" s="480" t="str">
        <f>"(Note "&amp;B$312&amp;")"</f>
        <v>(Note P)</v>
      </c>
      <c r="F172" s="405" t="s">
        <v>364</v>
      </c>
      <c r="G172" s="449"/>
      <c r="H172" s="405">
        <f>'8 - Securitization'!E14</f>
        <v>0</v>
      </c>
    </row>
    <row r="173" spans="1:8" ht="15.75">
      <c r="A173" s="26">
        <f>+A172+1</f>
        <v>101</v>
      </c>
      <c r="B173" s="26"/>
      <c r="C173" s="398" t="s">
        <v>456</v>
      </c>
      <c r="D173" s="51"/>
      <c r="E173" s="524"/>
      <c r="F173" s="395" t="str">
        <f>"(Line "&amp;A171&amp;" - Line "&amp;A172&amp;")"</f>
        <v>(Line 99 - Line 100)</v>
      </c>
      <c r="G173" s="423"/>
      <c r="H173" s="423">
        <f>H171-H172</f>
        <v>299115016</v>
      </c>
    </row>
    <row r="174" spans="1:8">
      <c r="A174" s="26"/>
      <c r="B174" s="26"/>
      <c r="C174" s="413"/>
      <c r="E174" s="490"/>
      <c r="F174" s="43"/>
      <c r="G174" s="413"/>
      <c r="H174" s="413"/>
    </row>
    <row r="175" spans="1:8" ht="15.75">
      <c r="A175" s="26">
        <f>+A173+1</f>
        <v>102</v>
      </c>
      <c r="B175" s="450" t="s">
        <v>554</v>
      </c>
      <c r="E175" s="519" t="s">
        <v>572</v>
      </c>
      <c r="F175" s="412" t="s">
        <v>534</v>
      </c>
      <c r="G175" s="413"/>
      <c r="H175" s="1117">
        <v>0</v>
      </c>
    </row>
    <row r="176" spans="1:8">
      <c r="A176" s="26"/>
      <c r="B176" s="26"/>
      <c r="C176" s="417"/>
      <c r="E176" s="519"/>
      <c r="F176" s="412"/>
      <c r="G176" s="413"/>
      <c r="H176" s="413"/>
    </row>
    <row r="177" spans="1:8" ht="15.75">
      <c r="A177" s="26"/>
      <c r="B177" s="451" t="s">
        <v>448</v>
      </c>
      <c r="E177" s="519"/>
      <c r="F177" s="412"/>
      <c r="G177" s="413"/>
      <c r="H177" s="413"/>
    </row>
    <row r="178" spans="1:8">
      <c r="A178" s="26">
        <f>+A175+1</f>
        <v>103</v>
      </c>
      <c r="B178" s="26"/>
      <c r="C178" s="413" t="s">
        <v>578</v>
      </c>
      <c r="D178" s="413"/>
      <c r="E178" s="489"/>
      <c r="F178" s="412" t="s">
        <v>535</v>
      </c>
      <c r="G178" s="413"/>
      <c r="H178" s="1117">
        <v>7527157071</v>
      </c>
    </row>
    <row r="179" spans="1:8">
      <c r="A179" s="65">
        <f>A178+1</f>
        <v>104</v>
      </c>
      <c r="B179" s="65"/>
      <c r="C179" s="412" t="s">
        <v>679</v>
      </c>
      <c r="D179" s="412"/>
      <c r="E179" s="493"/>
      <c r="F179" s="412" t="s">
        <v>680</v>
      </c>
      <c r="G179" s="413"/>
      <c r="H179" s="1117">
        <v>-64362</v>
      </c>
    </row>
    <row r="180" spans="1:8">
      <c r="A180" s="65">
        <f>A179+1</f>
        <v>105</v>
      </c>
      <c r="B180" s="65"/>
      <c r="C180" s="412" t="s">
        <v>523</v>
      </c>
      <c r="D180" s="412"/>
      <c r="E180" s="493"/>
      <c r="F180" s="68" t="str">
        <f>"(Line "&amp;A191&amp;")"</f>
        <v>(Line 114)</v>
      </c>
      <c r="G180" s="413"/>
      <c r="H180" s="412">
        <f>H191</f>
        <v>0</v>
      </c>
    </row>
    <row r="181" spans="1:8">
      <c r="A181" s="65">
        <f>+A180+1</f>
        <v>106</v>
      </c>
      <c r="B181" s="65"/>
      <c r="C181" s="405" t="s">
        <v>522</v>
      </c>
      <c r="D181" s="405"/>
      <c r="E181" s="498"/>
      <c r="F181" s="405" t="s">
        <v>536</v>
      </c>
      <c r="G181" s="449"/>
      <c r="H181" s="1144">
        <v>7793690</v>
      </c>
    </row>
    <row r="182" spans="1:8" ht="15.75">
      <c r="A182" s="65">
        <f>+A181+1</f>
        <v>107</v>
      </c>
      <c r="B182" s="65"/>
      <c r="C182" s="425" t="s">
        <v>448</v>
      </c>
      <c r="D182" s="395"/>
      <c r="E182" s="496"/>
      <c r="F182" s="43" t="str">
        <f>"(Line "&amp;A178&amp;" - "&amp;A179&amp;" - "&amp;A180&amp;" - "&amp;A181&amp;")"</f>
        <v>(Line 103 - 104 - 105 - 106)</v>
      </c>
      <c r="G182" s="110"/>
      <c r="H182" s="413">
        <f>H178-H179-H180-H181</f>
        <v>7519427743</v>
      </c>
    </row>
    <row r="183" spans="1:8">
      <c r="A183" s="65"/>
      <c r="B183" s="65"/>
      <c r="C183" s="421"/>
      <c r="D183" s="43"/>
      <c r="E183" s="493"/>
      <c r="F183" s="412"/>
      <c r="G183" s="27"/>
      <c r="H183" s="413"/>
    </row>
    <row r="184" spans="1:8" ht="15.75">
      <c r="A184" s="26"/>
      <c r="B184" s="451" t="s">
        <v>524</v>
      </c>
      <c r="E184" s="519"/>
      <c r="F184" s="412"/>
      <c r="G184" s="27"/>
      <c r="H184" s="413"/>
    </row>
    <row r="185" spans="1:8">
      <c r="A185" s="26">
        <f>+A182+1</f>
        <v>108</v>
      </c>
      <c r="B185" s="26"/>
      <c r="C185" s="417" t="s">
        <v>457</v>
      </c>
      <c r="E185" s="505"/>
      <c r="F185" s="421" t="s">
        <v>118</v>
      </c>
      <c r="G185" s="27"/>
      <c r="H185" s="1117">
        <v>5891786000</v>
      </c>
    </row>
    <row r="186" spans="1:8">
      <c r="A186" s="65">
        <f t="shared" ref="A186:A193" si="1">+A185+1</f>
        <v>109</v>
      </c>
      <c r="B186" s="26"/>
      <c r="C186" s="417" t="s">
        <v>63</v>
      </c>
      <c r="E186" s="493"/>
      <c r="F186" s="421" t="s">
        <v>537</v>
      </c>
      <c r="G186" s="27"/>
      <c r="H186" s="1117">
        <v>49178323</v>
      </c>
    </row>
    <row r="187" spans="1:8">
      <c r="A187" s="65">
        <f t="shared" si="1"/>
        <v>110</v>
      </c>
      <c r="B187" s="26"/>
      <c r="C187" s="417" t="s">
        <v>72</v>
      </c>
      <c r="E187" s="505"/>
      <c r="F187" s="401" t="s">
        <v>538</v>
      </c>
      <c r="G187" s="27"/>
      <c r="H187" s="1117">
        <v>0</v>
      </c>
    </row>
    <row r="188" spans="1:8">
      <c r="A188" s="65">
        <f>+A187+1</f>
        <v>111</v>
      </c>
      <c r="B188" s="65"/>
      <c r="C188" s="421" t="s">
        <v>425</v>
      </c>
      <c r="D188" s="273"/>
      <c r="E188" s="493"/>
      <c r="F188" s="401" t="s">
        <v>363</v>
      </c>
      <c r="G188" s="43"/>
      <c r="H188" s="412">
        <f>'1 - ADIT'!D22</f>
        <v>-19078691</v>
      </c>
    </row>
    <row r="189" spans="1:8">
      <c r="A189" s="65">
        <f>+A188+1</f>
        <v>112</v>
      </c>
      <c r="B189" s="65"/>
      <c r="C189" s="44" t="s">
        <v>138</v>
      </c>
      <c r="E189" s="690" t="str">
        <f>"(Note "&amp;B$312&amp;")"</f>
        <v>(Note P)</v>
      </c>
      <c r="F189" s="405" t="str">
        <f>+F172</f>
        <v>Attachment 8</v>
      </c>
      <c r="G189" s="27"/>
      <c r="H189" s="405">
        <f>'8 - Securitization'!E18</f>
        <v>0</v>
      </c>
    </row>
    <row r="190" spans="1:8">
      <c r="A190" s="65">
        <f>+A189+1</f>
        <v>113</v>
      </c>
      <c r="B190" s="65"/>
      <c r="C190" s="414" t="s">
        <v>453</v>
      </c>
      <c r="D190" s="45"/>
      <c r="E190" s="494"/>
      <c r="F190" s="43" t="str">
        <f>"(Line "&amp;A185&amp;" - "&amp;A186&amp;" + "&amp;A187&amp;" - "&amp;A188&amp;" - "&amp;A189&amp;")"</f>
        <v>(Line 108 - 109 + 110 - 111 - 112)</v>
      </c>
      <c r="G190" s="45"/>
      <c r="H190" s="416">
        <f>H185-H186+H187-H188-H189</f>
        <v>5861686368</v>
      </c>
    </row>
    <row r="191" spans="1:8">
      <c r="A191" s="26">
        <f t="shared" si="1"/>
        <v>114</v>
      </c>
      <c r="B191" s="26"/>
      <c r="C191" s="417" t="s">
        <v>469</v>
      </c>
      <c r="E191" s="505"/>
      <c r="F191" s="421" t="s">
        <v>539</v>
      </c>
      <c r="G191" s="27"/>
      <c r="H191" s="1117">
        <v>0</v>
      </c>
    </row>
    <row r="192" spans="1:8">
      <c r="A192" s="26">
        <f t="shared" si="1"/>
        <v>115</v>
      </c>
      <c r="B192" s="26"/>
      <c r="C192" s="417" t="s">
        <v>448</v>
      </c>
      <c r="E192" s="490"/>
      <c r="F192" s="405" t="str">
        <f>"(Line "&amp;A182&amp;")"</f>
        <v>(Line 107)</v>
      </c>
      <c r="G192" s="27"/>
      <c r="H192" s="423">
        <f>H182</f>
        <v>7519427743</v>
      </c>
    </row>
    <row r="193" spans="1:8" ht="15.75">
      <c r="A193" s="26">
        <f t="shared" si="1"/>
        <v>116</v>
      </c>
      <c r="B193" s="26"/>
      <c r="C193" s="426" t="s">
        <v>452</v>
      </c>
      <c r="D193" s="49"/>
      <c r="E193" s="491"/>
      <c r="F193" s="395" t="str">
        <f>"(Sum Lines "&amp;A190&amp;" to "&amp;A192&amp;")"</f>
        <v>(Sum Lines 113 to 115)</v>
      </c>
      <c r="G193" s="415"/>
      <c r="H193" s="415">
        <f>SUM(H190:H192)</f>
        <v>13381114111</v>
      </c>
    </row>
    <row r="194" spans="1:8">
      <c r="A194" s="26"/>
      <c r="B194" s="26"/>
      <c r="C194" s="417"/>
      <c r="E194" s="490"/>
      <c r="F194" s="44"/>
      <c r="G194" s="413"/>
      <c r="H194" s="235"/>
    </row>
    <row r="195" spans="1:8">
      <c r="A195" s="65">
        <f>+A193+1</f>
        <v>117</v>
      </c>
      <c r="B195" s="26"/>
      <c r="C195" s="67" t="s">
        <v>619</v>
      </c>
      <c r="D195" s="401" t="s">
        <v>453</v>
      </c>
      <c r="E195" s="690" t="str">
        <f>"(Note "&amp;B$313&amp;")"</f>
        <v>(Note Q)</v>
      </c>
      <c r="F195" s="395" t="str">
        <f>"(Line "&amp;A190&amp;" / Line "&amp;A193&amp;")"</f>
        <v>(Line 113 / Line 116)</v>
      </c>
      <c r="G195" s="413"/>
      <c r="H195" s="815">
        <f>1-H196-H197</f>
        <v>0.44999999999999996</v>
      </c>
    </row>
    <row r="196" spans="1:8">
      <c r="A196" s="65">
        <f>+A195+1</f>
        <v>118</v>
      </c>
      <c r="B196" s="26"/>
      <c r="C196" s="67" t="s">
        <v>626</v>
      </c>
      <c r="D196" s="417" t="s">
        <v>469</v>
      </c>
      <c r="E196" s="489"/>
      <c r="F196" s="395" t="str">
        <f>"(Line "&amp;A191&amp;" / Line "&amp;A193&amp;")"</f>
        <v>(Line 114 / Line 116)</v>
      </c>
      <c r="G196" s="413"/>
      <c r="H196" s="452">
        <f>H191/H193</f>
        <v>0</v>
      </c>
    </row>
    <row r="197" spans="1:8">
      <c r="A197" s="65">
        <f>+A196+1</f>
        <v>119</v>
      </c>
      <c r="B197" s="26"/>
      <c r="C197" s="67" t="s">
        <v>620</v>
      </c>
      <c r="D197" s="417" t="s">
        <v>448</v>
      </c>
      <c r="E197" s="690" t="str">
        <f>"(Note "&amp;B$313&amp;")"</f>
        <v>(Note Q)</v>
      </c>
      <c r="F197" s="395" t="str">
        <f>"(Line "&amp;A192&amp;" / Line "&amp;A193&amp;")"</f>
        <v>(Line 115 / Line 116)</v>
      </c>
      <c r="G197" s="413"/>
      <c r="H197" s="815">
        <f>IF(H192/H193&gt;55%,55%,H192/H193)</f>
        <v>0.55000000000000004</v>
      </c>
    </row>
    <row r="198" spans="1:8">
      <c r="A198" s="65"/>
      <c r="B198" s="26"/>
      <c r="C198" s="453"/>
      <c r="E198" s="490"/>
      <c r="F198" s="412"/>
      <c r="G198" s="413"/>
      <c r="H198" s="235"/>
    </row>
    <row r="199" spans="1:8">
      <c r="A199" s="65">
        <f>+A197+1</f>
        <v>120</v>
      </c>
      <c r="B199" s="26"/>
      <c r="C199" s="453" t="s">
        <v>621</v>
      </c>
      <c r="D199" s="401" t="s">
        <v>453</v>
      </c>
      <c r="E199" s="490"/>
      <c r="F199" s="395" t="str">
        <f>"(Line "&amp;A173&amp;" / Line "&amp;A190&amp;")"</f>
        <v>(Line 101 / Line 113)</v>
      </c>
      <c r="G199" s="413"/>
      <c r="H199" s="1047">
        <f>H173/H190</f>
        <v>5.1028833209658342E-2</v>
      </c>
    </row>
    <row r="200" spans="1:8">
      <c r="A200" s="65">
        <f>+A199+1</f>
        <v>121</v>
      </c>
      <c r="B200" s="26"/>
      <c r="C200" s="453" t="s">
        <v>627</v>
      </c>
      <c r="D200" s="417" t="s">
        <v>469</v>
      </c>
      <c r="E200" s="490"/>
      <c r="F200" s="395" t="str">
        <f>"(Line "&amp;A175&amp;" / Line "&amp;A191&amp;")"</f>
        <v>(Line 102 / Line 114)</v>
      </c>
      <c r="G200" s="413"/>
      <c r="H200" s="1047">
        <v>0</v>
      </c>
    </row>
    <row r="201" spans="1:8">
      <c r="A201" s="65">
        <f>+A200+1</f>
        <v>122</v>
      </c>
      <c r="B201" s="26"/>
      <c r="C201" s="453" t="s">
        <v>622</v>
      </c>
      <c r="D201" s="417" t="s">
        <v>448</v>
      </c>
      <c r="E201" s="690" t="str">
        <f>"(Note "&amp;B$299&amp;")"</f>
        <v>(Note J)</v>
      </c>
      <c r="F201" s="412" t="s">
        <v>605</v>
      </c>
      <c r="G201" s="413"/>
      <c r="H201" s="1047">
        <f>0.11+0.005</f>
        <v>0.115</v>
      </c>
    </row>
    <row r="202" spans="1:8">
      <c r="A202" s="65"/>
      <c r="B202" s="26"/>
      <c r="C202" s="453"/>
      <c r="E202" s="490"/>
      <c r="F202" s="412"/>
      <c r="G202" s="413"/>
      <c r="H202" s="473"/>
    </row>
    <row r="203" spans="1:8">
      <c r="A203" s="65">
        <f>+A201+1</f>
        <v>123</v>
      </c>
      <c r="B203" s="26"/>
      <c r="C203" s="67" t="s">
        <v>623</v>
      </c>
      <c r="D203" s="401" t="s">
        <v>454</v>
      </c>
      <c r="E203" s="490"/>
      <c r="F203" s="395" t="str">
        <f>"(Line "&amp;A195&amp;" * Line "&amp;A199&amp;")"</f>
        <v>(Line 117 * Line 120)</v>
      </c>
      <c r="G203" s="454"/>
      <c r="H203" s="473">
        <f>H195*H199</f>
        <v>2.2962974944346251E-2</v>
      </c>
    </row>
    <row r="204" spans="1:8">
      <c r="A204" s="65">
        <f>+A203+1</f>
        <v>124</v>
      </c>
      <c r="B204" s="26"/>
      <c r="C204" s="67" t="s">
        <v>34</v>
      </c>
      <c r="D204" s="417" t="s">
        <v>469</v>
      </c>
      <c r="E204" s="490"/>
      <c r="F204" s="395" t="str">
        <f>"(Line "&amp;A196&amp;" * Line "&amp;A200&amp;")"</f>
        <v>(Line 118 * Line 121)</v>
      </c>
      <c r="G204" s="63"/>
      <c r="H204" s="473">
        <f>H196*H200</f>
        <v>0</v>
      </c>
    </row>
    <row r="205" spans="1:8">
      <c r="A205" s="65">
        <f>+A204+1</f>
        <v>125</v>
      </c>
      <c r="B205" s="135"/>
      <c r="C205" s="81" t="s">
        <v>624</v>
      </c>
      <c r="D205" s="455" t="s">
        <v>448</v>
      </c>
      <c r="E205" s="547"/>
      <c r="F205" s="405" t="str">
        <f>"(Line "&amp;A197&amp;" * Line "&amp;A201&amp;")"</f>
        <v>(Line 119 * Line 122)</v>
      </c>
      <c r="G205" s="456"/>
      <c r="H205" s="1048">
        <f>H197*H201</f>
        <v>6.3250000000000015E-2</v>
      </c>
    </row>
    <row r="206" spans="1:8" s="61" customFormat="1" ht="15.75">
      <c r="A206" s="26">
        <f>+A205+1</f>
        <v>126</v>
      </c>
      <c r="B206" s="457" t="s">
        <v>639</v>
      </c>
      <c r="C206" s="457"/>
      <c r="D206" s="458"/>
      <c r="E206" s="512"/>
      <c r="F206" s="395" t="str">
        <f>"(Sum Lines "&amp;A203&amp;" to "&amp;A205&amp;")"</f>
        <v>(Sum Lines 123 to 125)</v>
      </c>
      <c r="G206" s="459"/>
      <c r="H206" s="1032">
        <f>SUM(H203:H205)</f>
        <v>8.6212974944346266E-2</v>
      </c>
    </row>
    <row r="207" spans="1:8" s="61" customFormat="1" ht="15.75">
      <c r="A207" s="461"/>
      <c r="B207" s="461"/>
      <c r="C207" s="457"/>
      <c r="D207" s="458"/>
      <c r="E207" s="512"/>
      <c r="F207" s="425"/>
      <c r="G207" s="459"/>
      <c r="H207" s="460"/>
    </row>
    <row r="208" spans="1:8" ht="16.5" thickBot="1">
      <c r="A208" s="26">
        <f>+A206+1</f>
        <v>127</v>
      </c>
      <c r="B208" s="462" t="s">
        <v>552</v>
      </c>
      <c r="C208" s="91"/>
      <c r="D208" s="445"/>
      <c r="E208" s="525"/>
      <c r="F208" s="428" t="str">
        <f>"(Line "&amp;A100&amp;" * Line "&amp;A206&amp;")"</f>
        <v>(Line 55 * Line 126)</v>
      </c>
      <c r="G208" s="463"/>
      <c r="H208" s="446">
        <f>H100*H206</f>
        <v>203332980.44045967</v>
      </c>
    </row>
    <row r="209" spans="1:8" ht="15.75" thickTop="1">
      <c r="A209" s="26"/>
      <c r="B209" s="26"/>
      <c r="C209" s="417"/>
      <c r="E209" s="484"/>
      <c r="F209" s="862"/>
      <c r="G209" s="413"/>
      <c r="H209" s="885"/>
    </row>
    <row r="210" spans="1:8" ht="15.75">
      <c r="A210" s="1198" t="s">
        <v>272</v>
      </c>
      <c r="B210" s="1198"/>
      <c r="C210" s="1198"/>
      <c r="D210" s="107"/>
      <c r="E210" s="522"/>
      <c r="F210" s="852"/>
      <c r="G210" s="108"/>
      <c r="H210" s="868"/>
    </row>
    <row r="211" spans="1:8" ht="15.75">
      <c r="A211" s="42"/>
      <c r="B211" s="26"/>
      <c r="C211" s="411"/>
      <c r="D211" s="43"/>
      <c r="E211" s="483"/>
      <c r="F211" s="861"/>
      <c r="G211" s="27"/>
      <c r="H211" s="33"/>
    </row>
    <row r="212" spans="1:8" ht="15.75">
      <c r="A212" s="26" t="s">
        <v>464</v>
      </c>
      <c r="B212" s="464" t="s">
        <v>553</v>
      </c>
      <c r="E212" s="483"/>
      <c r="F212" s="862"/>
      <c r="G212" s="465"/>
      <c r="H212" s="27"/>
    </row>
    <row r="213" spans="1:8">
      <c r="A213" s="26">
        <f>+A208+1</f>
        <v>128</v>
      </c>
      <c r="B213" s="26"/>
      <c r="C213" s="27" t="s">
        <v>551</v>
      </c>
      <c r="E213" s="690" t="str">
        <f>"(Note "&amp;B$297&amp;")"</f>
        <v>(Note I)</v>
      </c>
      <c r="F213" s="861"/>
      <c r="G213" s="28"/>
      <c r="H213" s="1118">
        <v>0.35</v>
      </c>
    </row>
    <row r="214" spans="1:8">
      <c r="A214" s="26">
        <f>+A213+1</f>
        <v>129</v>
      </c>
      <c r="B214" s="26"/>
      <c r="C214" s="466" t="s">
        <v>550</v>
      </c>
      <c r="D214" s="467"/>
      <c r="E214" s="490"/>
      <c r="F214" s="861"/>
      <c r="G214" s="28"/>
      <c r="H214" s="1118">
        <v>9.5000000000000001E-2</v>
      </c>
    </row>
    <row r="215" spans="1:8">
      <c r="A215" s="26">
        <f>+A214+1</f>
        <v>130</v>
      </c>
      <c r="B215" s="26"/>
      <c r="C215" s="466" t="s">
        <v>600</v>
      </c>
      <c r="D215" s="28" t="s">
        <v>601</v>
      </c>
      <c r="E215" s="490"/>
      <c r="F215" s="861" t="s">
        <v>139</v>
      </c>
      <c r="G215" s="28"/>
      <c r="H215" s="1118">
        <v>0</v>
      </c>
    </row>
    <row r="216" spans="1:8">
      <c r="A216" s="65">
        <f>+A215+1</f>
        <v>131</v>
      </c>
      <c r="B216" s="65"/>
      <c r="C216" s="466" t="s">
        <v>606</v>
      </c>
      <c r="D216" s="468" t="s">
        <v>617</v>
      </c>
      <c r="E216" s="301"/>
      <c r="F216" s="855"/>
      <c r="G216" s="28"/>
      <c r="H216" s="436">
        <f>1-(((1-H214)*(1-H213))/(1-H214*H213*H215))</f>
        <v>0.41174999999999995</v>
      </c>
    </row>
    <row r="217" spans="1:8" s="472" customFormat="1">
      <c r="A217" s="469">
        <f>A216+1</f>
        <v>132</v>
      </c>
      <c r="B217" s="470"/>
      <c r="C217" s="466" t="s">
        <v>579</v>
      </c>
      <c r="D217" s="470"/>
      <c r="E217" s="526"/>
      <c r="F217" s="470"/>
      <c r="G217" s="470"/>
      <c r="H217" s="471">
        <f>H216/(1-H216)</f>
        <v>0.69995750106247334</v>
      </c>
    </row>
    <row r="218" spans="1:8">
      <c r="A218" s="26"/>
      <c r="B218" s="26"/>
      <c r="E218" s="527"/>
      <c r="F218" s="861"/>
      <c r="G218" s="465"/>
      <c r="H218" s="436"/>
    </row>
    <row r="219" spans="1:8" ht="15.75">
      <c r="A219" s="26"/>
      <c r="B219" s="464" t="s">
        <v>525</v>
      </c>
      <c r="C219" s="417"/>
      <c r="E219" s="690" t="str">
        <f>"(Note "&amp;B$297&amp;")"</f>
        <v>(Note I)</v>
      </c>
      <c r="F219" s="861"/>
      <c r="G219" s="465"/>
      <c r="H219" s="473"/>
    </row>
    <row r="220" spans="1:8">
      <c r="A220" s="26">
        <f>A217+1</f>
        <v>133</v>
      </c>
      <c r="B220" s="26"/>
      <c r="C220" s="421" t="s">
        <v>580</v>
      </c>
      <c r="E220" s="493" t="s">
        <v>604</v>
      </c>
      <c r="F220" s="855" t="s">
        <v>101</v>
      </c>
      <c r="G220" s="465"/>
      <c r="H220" s="1117">
        <v>-2313602</v>
      </c>
    </row>
    <row r="221" spans="1:8">
      <c r="A221" s="65">
        <f>+A220+1</f>
        <v>134</v>
      </c>
      <c r="B221" s="65"/>
      <c r="C221" s="421" t="s">
        <v>598</v>
      </c>
      <c r="D221" s="43"/>
      <c r="E221" s="508"/>
      <c r="F221" s="855" t="str">
        <f>"1 / (1 -Line "&amp;A216&amp;")"</f>
        <v>1 / (1 -Line 131)</v>
      </c>
      <c r="G221" s="474"/>
      <c r="H221" s="471">
        <f>1/(1-H216)</f>
        <v>1.6999575010624732</v>
      </c>
    </row>
    <row r="222" spans="1:8" s="70" customFormat="1" ht="15.75">
      <c r="A222" s="26">
        <f>+A221+1</f>
        <v>135</v>
      </c>
      <c r="B222" s="66"/>
      <c r="C222" s="128" t="s">
        <v>520</v>
      </c>
      <c r="D222" s="80"/>
      <c r="E222" s="528"/>
      <c r="F222" s="854" t="str">
        <f>"(Line "&amp;A$30&amp;")"</f>
        <v>(Line 14)</v>
      </c>
      <c r="G222" s="69"/>
      <c r="H222" s="1040">
        <f>H30</f>
        <v>0.23105095344995236</v>
      </c>
    </row>
    <row r="223" spans="1:8" ht="15.75">
      <c r="A223" s="26">
        <f>+A222+1</f>
        <v>136</v>
      </c>
      <c r="B223" s="26"/>
      <c r="C223" s="475" t="s">
        <v>549</v>
      </c>
      <c r="D223" s="45"/>
      <c r="E223" s="489"/>
      <c r="F223" s="849" t="str">
        <f>"(Line "&amp;A220&amp;" * Line "&amp;A221&amp;" * Line "&amp;A222&amp;")"</f>
        <v>(Line 133 * Line 134 * Line 135)</v>
      </c>
      <c r="G223" s="71"/>
      <c r="H223" s="438">
        <f>(H220*H221*H222)</f>
        <v>-908729.19337648374</v>
      </c>
    </row>
    <row r="224" spans="1:8" ht="15.75">
      <c r="A224" s="26"/>
      <c r="B224" s="26"/>
      <c r="C224" s="400"/>
      <c r="D224" s="68"/>
      <c r="E224" s="529"/>
      <c r="F224" s="849"/>
      <c r="G224" s="69"/>
      <c r="H224" s="883"/>
    </row>
    <row r="225" spans="1:8" ht="15.75">
      <c r="A225" s="26"/>
      <c r="B225" s="26"/>
      <c r="E225" s="530"/>
      <c r="F225" s="863"/>
      <c r="G225" s="465"/>
      <c r="H225" s="886"/>
    </row>
    <row r="226" spans="1:8" ht="15.75">
      <c r="A226" s="65">
        <f>+A223+1</f>
        <v>137</v>
      </c>
      <c r="B226" s="174" t="s">
        <v>571</v>
      </c>
      <c r="C226" s="44"/>
      <c r="D226" s="43" t="s">
        <v>741</v>
      </c>
      <c r="E226" s="493"/>
      <c r="F226" s="849" t="str">
        <f>"[Line "&amp;A217&amp;" * Line "&amp;A208&amp;" * (1- (Line "&amp;A203&amp;" / Line "&amp;A206&amp;"))]"</f>
        <v>[Line 132 * Line 127 * (1- (Line 123 / Line 126))]</v>
      </c>
      <c r="G226" s="43"/>
      <c r="H226" s="184">
        <f>((H217*H208*(1-(H203/H206))))</f>
        <v>104416082.89249642</v>
      </c>
    </row>
    <row r="227" spans="1:8" ht="15.75">
      <c r="A227" s="26"/>
      <c r="B227" s="26"/>
      <c r="C227" s="67"/>
      <c r="D227" s="68"/>
      <c r="E227" s="520"/>
      <c r="F227" s="864"/>
      <c r="G227" s="69"/>
      <c r="H227" s="443"/>
    </row>
    <row r="228" spans="1:8" ht="16.5" thickBot="1">
      <c r="A228" s="26">
        <f>+A226+1</f>
        <v>138</v>
      </c>
      <c r="B228" s="462" t="s">
        <v>444</v>
      </c>
      <c r="C228" s="462"/>
      <c r="D228" s="445"/>
      <c r="E228" s="501"/>
      <c r="F228" s="860" t="str">
        <f>"(Line "&amp;A223&amp;" + Line "&amp;A226&amp;")"</f>
        <v>(Line 136 + Line 137)</v>
      </c>
      <c r="G228" s="476"/>
      <c r="H228" s="477">
        <f>H223+H226</f>
        <v>103507353.69911994</v>
      </c>
    </row>
    <row r="229" spans="1:8" ht="17.25" thickTop="1" thickBot="1">
      <c r="A229" s="26"/>
      <c r="B229" s="26"/>
      <c r="C229" s="478"/>
      <c r="E229" s="484"/>
      <c r="F229" s="435"/>
      <c r="G229" s="479"/>
      <c r="H229" s="477"/>
    </row>
    <row r="230" spans="1:8" ht="16.5" thickTop="1">
      <c r="A230" s="1198" t="s">
        <v>708</v>
      </c>
      <c r="B230" s="1198"/>
      <c r="C230" s="1198"/>
      <c r="D230" s="107"/>
      <c r="E230" s="513"/>
      <c r="F230" s="108"/>
      <c r="G230" s="108"/>
      <c r="H230" s="868"/>
    </row>
    <row r="231" spans="1:8">
      <c r="A231" s="77"/>
      <c r="B231" s="39"/>
      <c r="C231" s="39"/>
      <c r="D231" s="39"/>
      <c r="E231" s="484"/>
    </row>
    <row r="232" spans="1:8" ht="15.75">
      <c r="A232" s="77"/>
      <c r="B232" s="61" t="s">
        <v>445</v>
      </c>
      <c r="C232" s="89"/>
      <c r="D232" s="70"/>
      <c r="E232" s="484"/>
    </row>
    <row r="233" spans="1:8">
      <c r="A233" s="77">
        <f>+A228+1</f>
        <v>139</v>
      </c>
      <c r="B233" s="39"/>
      <c r="C233" s="89" t="s">
        <v>446</v>
      </c>
      <c r="D233" s="70"/>
      <c r="E233" s="484"/>
      <c r="F233" s="395" t="str">
        <f>"(Line "&amp;A70&amp;")"</f>
        <v>(Line 41)</v>
      </c>
      <c r="H233" s="871">
        <f>H70</f>
        <v>2991459213.6835198</v>
      </c>
    </row>
    <row r="234" spans="1:8">
      <c r="A234" s="26">
        <f>+A233+1</f>
        <v>140</v>
      </c>
      <c r="B234" s="39"/>
      <c r="C234" s="89" t="s">
        <v>682</v>
      </c>
      <c r="D234" s="70"/>
      <c r="E234" s="484"/>
      <c r="F234" s="405" t="str">
        <f>"(Line "&amp;A98&amp;")"</f>
        <v>(Line 54)</v>
      </c>
      <c r="H234" s="871">
        <f>H98</f>
        <v>-632962936.62407708</v>
      </c>
    </row>
    <row r="235" spans="1:8" ht="15.75">
      <c r="A235" s="26">
        <f>+A234+1</f>
        <v>141</v>
      </c>
      <c r="B235" s="26"/>
      <c r="C235" s="407" t="s">
        <v>570</v>
      </c>
      <c r="D235" s="310"/>
      <c r="E235" s="531"/>
      <c r="F235" s="395" t="str">
        <f>"(Line "&amp;A100&amp;")"</f>
        <v>(Line 55)</v>
      </c>
      <c r="G235" s="408"/>
      <c r="H235" s="118">
        <f>SUM(H233:H234)</f>
        <v>2358496277.0594425</v>
      </c>
    </row>
    <row r="236" spans="1:8">
      <c r="A236" s="26"/>
      <c r="B236" s="26"/>
      <c r="C236" s="401"/>
      <c r="D236" s="68"/>
      <c r="E236" s="483"/>
      <c r="F236" s="43"/>
      <c r="G236" s="27"/>
      <c r="H236" s="75"/>
    </row>
    <row r="237" spans="1:8">
      <c r="A237" s="26">
        <f>+A235+1</f>
        <v>142</v>
      </c>
      <c r="C237" s="401" t="s">
        <v>564</v>
      </c>
      <c r="D237" s="51"/>
      <c r="E237" s="484"/>
      <c r="F237" s="395" t="str">
        <f>"(Line "&amp;A142&amp;")"</f>
        <v>(Line 85)</v>
      </c>
      <c r="H237" s="75">
        <f>H142</f>
        <v>148038995.87228599</v>
      </c>
    </row>
    <row r="238" spans="1:8">
      <c r="A238" s="26">
        <f>+A237+1</f>
        <v>143</v>
      </c>
      <c r="C238" s="362" t="s">
        <v>558</v>
      </c>
      <c r="D238" s="51"/>
      <c r="E238" s="484"/>
      <c r="F238" s="395" t="str">
        <f>"(Line "&amp;A160&amp;")"</f>
        <v>(Line 96)</v>
      </c>
      <c r="H238" s="75">
        <f>H160</f>
        <v>95222529.274514019</v>
      </c>
    </row>
    <row r="239" spans="1:8">
      <c r="A239" s="26">
        <f>+A238+1</f>
        <v>144</v>
      </c>
      <c r="B239" s="26"/>
      <c r="C239" s="401" t="s">
        <v>447</v>
      </c>
      <c r="D239" s="68"/>
      <c r="E239" s="483"/>
      <c r="F239" s="395" t="str">
        <f>"(Line "&amp;A166&amp;")"</f>
        <v>(Line 98)</v>
      </c>
      <c r="G239" s="27"/>
      <c r="H239" s="75">
        <f>H166</f>
        <v>9166840.507768834</v>
      </c>
    </row>
    <row r="240" spans="1:8">
      <c r="A240" s="26">
        <f>+A239+1</f>
        <v>145</v>
      </c>
      <c r="B240" s="26"/>
      <c r="C240" s="409" t="s">
        <v>583</v>
      </c>
      <c r="D240" s="68"/>
      <c r="E240" s="483"/>
      <c r="F240" s="395" t="str">
        <f>"(Line "&amp;A208&amp;")"</f>
        <v>(Line 127)</v>
      </c>
      <c r="G240" s="27"/>
      <c r="H240" s="75">
        <f>H208</f>
        <v>203332980.44045967</v>
      </c>
    </row>
    <row r="241" spans="1:8">
      <c r="A241" s="26">
        <f>+A240+1</f>
        <v>146</v>
      </c>
      <c r="B241" s="26"/>
      <c r="C241" s="409" t="s">
        <v>584</v>
      </c>
      <c r="D241" s="68"/>
      <c r="E241" s="483"/>
      <c r="F241" s="395" t="str">
        <f>"(Line "&amp;A228&amp;")"</f>
        <v>(Line 138)</v>
      </c>
      <c r="G241" s="27"/>
      <c r="H241" s="75">
        <f>H228</f>
        <v>103507353.69911994</v>
      </c>
    </row>
    <row r="242" spans="1:8" ht="15.75" thickBot="1">
      <c r="A242" s="26"/>
      <c r="B242" s="26"/>
      <c r="C242" s="409"/>
      <c r="D242" s="68"/>
      <c r="E242" s="483"/>
      <c r="F242" s="43"/>
      <c r="G242" s="27"/>
      <c r="H242" s="75"/>
    </row>
    <row r="243" spans="1:8" ht="18.75" thickBot="1">
      <c r="A243" s="125">
        <f>+A241+1</f>
        <v>147</v>
      </c>
      <c r="B243" s="122"/>
      <c r="C243" s="309" t="s">
        <v>596</v>
      </c>
      <c r="D243" s="123"/>
      <c r="E243" s="532"/>
      <c r="F243" s="279" t="str">
        <f>"(Sum Lines "&amp;A237&amp;" to "&amp;A241&amp;")"</f>
        <v>(Sum Lines 142 to 146)</v>
      </c>
      <c r="G243" s="124"/>
      <c r="H243" s="887">
        <f>SUM(H237:H241)</f>
        <v>559268699.79414845</v>
      </c>
    </row>
    <row r="244" spans="1:8" ht="15.75">
      <c r="A244" s="396"/>
      <c r="B244" s="66"/>
      <c r="C244" s="397"/>
      <c r="D244" s="171"/>
      <c r="E244" s="533"/>
      <c r="F244" s="73"/>
      <c r="G244" s="51"/>
      <c r="H244" s="888"/>
    </row>
    <row r="245" spans="1:8" ht="15.75">
      <c r="A245" s="399"/>
      <c r="B245" s="400" t="s">
        <v>489</v>
      </c>
      <c r="C245" s="397"/>
      <c r="D245" s="171"/>
      <c r="E245" s="533"/>
      <c r="F245" s="73"/>
      <c r="G245" s="51"/>
      <c r="H245" s="888"/>
    </row>
    <row r="246" spans="1:8" ht="15.75">
      <c r="A246" s="141">
        <f>+A243+1</f>
        <v>148</v>
      </c>
      <c r="B246" s="141"/>
      <c r="C246" s="401" t="str">
        <f>+C35</f>
        <v>Transmission Plant In Service</v>
      </c>
      <c r="D246" s="171"/>
      <c r="E246" s="533"/>
      <c r="F246" s="395" t="str">
        <f>"(Line "&amp;A35&amp;")"</f>
        <v>(Line 15)</v>
      </c>
      <c r="G246" s="51"/>
      <c r="H246" s="402">
        <f>H35</f>
        <v>3618231748</v>
      </c>
    </row>
    <row r="247" spans="1:8" ht="15.75">
      <c r="A247" s="141">
        <f>+A246+1</f>
        <v>149</v>
      </c>
      <c r="B247" s="141"/>
      <c r="C247" s="403" t="s">
        <v>497</v>
      </c>
      <c r="D247" s="404"/>
      <c r="E247" s="480" t="str">
        <f>"(Note "&amp;B$306&amp;")"</f>
        <v>(Note M)</v>
      </c>
      <c r="F247" s="405" t="s">
        <v>365</v>
      </c>
      <c r="G247" s="84"/>
      <c r="H247" s="406">
        <f>'5 - Cost Support'!G102</f>
        <v>0</v>
      </c>
    </row>
    <row r="248" spans="1:8" ht="15.75">
      <c r="A248" s="141">
        <f>+A247+1</f>
        <v>150</v>
      </c>
      <c r="B248" s="141"/>
      <c r="C248" s="401" t="s">
        <v>498</v>
      </c>
      <c r="D248" s="171"/>
      <c r="E248" s="534"/>
      <c r="F248" s="395" t="str">
        <f>"(Line "&amp;A246&amp;" - Line "&amp;A247&amp;")"</f>
        <v>(Line 148 - Line 149)</v>
      </c>
      <c r="G248" s="51"/>
      <c r="H248" s="402">
        <f>H246-H247</f>
        <v>3618231748</v>
      </c>
    </row>
    <row r="249" spans="1:8" ht="15.75">
      <c r="A249" s="141">
        <f>+A248+1</f>
        <v>151</v>
      </c>
      <c r="B249" s="141"/>
      <c r="C249" s="401" t="s">
        <v>499</v>
      </c>
      <c r="D249" s="171"/>
      <c r="E249" s="533"/>
      <c r="F249" s="395" t="str">
        <f>"(Line "&amp;A248&amp;" / Line "&amp;A246&amp;")"</f>
        <v>(Line 150 / Line 148)</v>
      </c>
      <c r="G249" s="51"/>
      <c r="H249" s="368">
        <f>H248/H246</f>
        <v>1</v>
      </c>
    </row>
    <row r="250" spans="1:8" ht="15.75">
      <c r="A250" s="141">
        <f>+A249+1</f>
        <v>152</v>
      </c>
      <c r="B250" s="141"/>
      <c r="C250" s="403" t="s">
        <v>596</v>
      </c>
      <c r="D250" s="404"/>
      <c r="E250" s="535"/>
      <c r="F250" s="405" t="str">
        <f>"(Line "&amp;A243&amp;")"</f>
        <v>(Line 147)</v>
      </c>
      <c r="G250" s="84"/>
      <c r="H250" s="406">
        <f>H243</f>
        <v>559268699.79414845</v>
      </c>
    </row>
    <row r="251" spans="1:8" ht="15.75">
      <c r="A251" s="141">
        <f>+A250+1</f>
        <v>153</v>
      </c>
      <c r="B251" s="141"/>
      <c r="C251" s="397" t="s">
        <v>500</v>
      </c>
      <c r="D251" s="171"/>
      <c r="E251" s="533"/>
      <c r="F251" s="395" t="str">
        <f>"(Line "&amp;A249&amp;" * Line "&amp;A250&amp;")"</f>
        <v>(Line 151 * Line 152)</v>
      </c>
      <c r="G251" s="51"/>
      <c r="H251" s="392">
        <f>H249*H250</f>
        <v>559268699.79414845</v>
      </c>
    </row>
    <row r="252" spans="1:8" ht="15.75">
      <c r="A252" s="160"/>
      <c r="B252" s="26"/>
      <c r="C252" s="401"/>
      <c r="D252" s="68"/>
      <c r="E252" s="483"/>
      <c r="F252" s="43"/>
      <c r="G252" s="27"/>
      <c r="H252" s="391"/>
    </row>
    <row r="253" spans="1:8" ht="15.75">
      <c r="A253" s="160"/>
      <c r="B253" s="86" t="s">
        <v>145</v>
      </c>
      <c r="C253" s="401"/>
      <c r="D253" s="68"/>
      <c r="E253" s="483"/>
      <c r="F253" s="43"/>
      <c r="G253" s="27"/>
      <c r="H253" s="391"/>
    </row>
    <row r="254" spans="1:8" ht="15.75">
      <c r="A254" s="65">
        <f>+A251+1</f>
        <v>154</v>
      </c>
      <c r="B254" s="39"/>
      <c r="C254" s="393" t="s">
        <v>449</v>
      </c>
      <c r="D254" s="274"/>
      <c r="E254" s="483"/>
      <c r="F254" s="43" t="s">
        <v>366</v>
      </c>
      <c r="G254" s="27"/>
      <c r="H254" s="853">
        <f>'3 - Revenue Credits'!D24</f>
        <v>37140000</v>
      </c>
    </row>
    <row r="255" spans="1:8" ht="15.75">
      <c r="A255" s="65">
        <f>+A254+1</f>
        <v>155</v>
      </c>
      <c r="B255" s="39"/>
      <c r="C255" s="393" t="s">
        <v>143</v>
      </c>
      <c r="D255" s="68"/>
      <c r="E255" s="690" t="str">
        <f>"(Note "&amp;B$307&amp;")"</f>
        <v>(Note N)</v>
      </c>
      <c r="F255" s="27" t="s">
        <v>365</v>
      </c>
      <c r="G255" s="27"/>
      <c r="H255" s="402">
        <f>'5 - Cost Support'!G155</f>
        <v>0</v>
      </c>
    </row>
    <row r="256" spans="1:8" ht="16.5" thickBot="1">
      <c r="A256" s="26"/>
      <c r="B256" s="26"/>
      <c r="C256" s="89"/>
      <c r="D256" s="89"/>
      <c r="E256" s="490"/>
      <c r="F256" s="27"/>
      <c r="G256" s="27"/>
      <c r="H256" s="33"/>
    </row>
    <row r="257" spans="1:8" s="61" customFormat="1" ht="16.5" thickBot="1">
      <c r="A257" s="540">
        <f>+A255+1</f>
        <v>156</v>
      </c>
      <c r="B257" s="541"/>
      <c r="C257" s="542" t="s">
        <v>607</v>
      </c>
      <c r="D257" s="543"/>
      <c r="E257" s="536"/>
      <c r="F257" s="544" t="str">
        <f>"(Line "&amp;A251&amp;" - Line "&amp;A254&amp;" + Line "&amp;A255&amp;")"</f>
        <v>(Line 153 - Line 154 + Line 155)</v>
      </c>
      <c r="G257" s="545"/>
      <c r="H257" s="889">
        <f>H251-H254+H255</f>
        <v>522128699.79414845</v>
      </c>
    </row>
    <row r="258" spans="1:8" ht="15.75">
      <c r="A258" s="160"/>
      <c r="B258" s="26"/>
      <c r="C258" s="89"/>
      <c r="D258" s="89"/>
      <c r="E258" s="484"/>
      <c r="F258" s="861"/>
      <c r="G258" s="27"/>
      <c r="H258" s="33"/>
    </row>
    <row r="259" spans="1:8" ht="15.75">
      <c r="A259" s="65"/>
      <c r="B259" s="120" t="s">
        <v>26</v>
      </c>
      <c r="C259" s="44"/>
      <c r="D259" s="89"/>
      <c r="E259" s="484"/>
      <c r="F259" s="855"/>
      <c r="G259" s="27"/>
      <c r="H259" s="33"/>
    </row>
    <row r="260" spans="1:8" ht="15.75">
      <c r="A260" s="65">
        <f>+A257+1</f>
        <v>157</v>
      </c>
      <c r="B260" s="65"/>
      <c r="C260" s="89" t="str">
        <f>+C250</f>
        <v>Gross Revenue Requirement</v>
      </c>
      <c r="D260" s="89"/>
      <c r="E260" s="484"/>
      <c r="F260" s="855" t="str">
        <f>"(Line "&amp;A250&amp;")"</f>
        <v>(Line 152)</v>
      </c>
      <c r="G260" s="27"/>
      <c r="H260" s="890">
        <f>H250</f>
        <v>559268699.79414845</v>
      </c>
    </row>
    <row r="261" spans="1:8" ht="15.75">
      <c r="A261" s="65">
        <f>+A260+1</f>
        <v>158</v>
      </c>
      <c r="B261" s="65"/>
      <c r="C261" s="89" t="s">
        <v>541</v>
      </c>
      <c r="D261" s="89"/>
      <c r="E261" s="484"/>
      <c r="F261" s="855" t="str">
        <f>"(Line "&amp;A35&amp;" - Line "&amp;A56&amp;")"</f>
        <v>(Line 15 - Line 30)</v>
      </c>
      <c r="G261" s="27"/>
      <c r="H261" s="890">
        <f>(H35-H56)</f>
        <v>2591921774</v>
      </c>
    </row>
    <row r="262" spans="1:8" ht="15.75">
      <c r="A262" s="65">
        <f>+A261+1</f>
        <v>159</v>
      </c>
      <c r="B262" s="65"/>
      <c r="C262" s="89" t="s">
        <v>31</v>
      </c>
      <c r="D262" s="89"/>
      <c r="E262" s="484"/>
      <c r="F262" s="855" t="str">
        <f>"(Line "&amp;A260&amp;" / Line "&amp;A261&amp;")"</f>
        <v>(Line 157 / Line 158)</v>
      </c>
      <c r="G262" s="27"/>
      <c r="H262" s="1041">
        <f>H260/H261</f>
        <v>0.21577375729632975</v>
      </c>
    </row>
    <row r="263" spans="1:8" ht="15.75">
      <c r="A263" s="65">
        <f>+A262+1</f>
        <v>160</v>
      </c>
      <c r="B263" s="65"/>
      <c r="C263" s="89" t="s">
        <v>32</v>
      </c>
      <c r="D263" s="89"/>
      <c r="E263" s="484"/>
      <c r="F263" s="855" t="str">
        <f>"(Line "&amp;A260&amp;" - Line "&amp;A147&amp;") / Line "&amp;A261</f>
        <v>(Line 157 - Line 86) / Line 158</v>
      </c>
      <c r="G263" s="27"/>
      <c r="H263" s="1041">
        <f>(H260-H147)/H261</f>
        <v>0.19071998613263258</v>
      </c>
    </row>
    <row r="264" spans="1:8" ht="15.75">
      <c r="A264" s="65">
        <f>+A263+1</f>
        <v>161</v>
      </c>
      <c r="B264" s="65"/>
      <c r="C264" s="89" t="s">
        <v>33</v>
      </c>
      <c r="D264" s="89"/>
      <c r="E264" s="302"/>
      <c r="F264" s="855" t="str">
        <f>"(Line "&amp;A260&amp;" - Line "&amp;A147&amp;" - Line "&amp;A208&amp;" - Line "&amp;A228&amp;") / Line "&amp;A261</f>
        <v>(Line 157 - Line 86 - Line 127 - Line 138) / Line 158</v>
      </c>
      <c r="G264" s="27"/>
      <c r="H264" s="1041">
        <f>(H260-H147-H208-H228)/H261</f>
        <v>7.2336654807765369E-2</v>
      </c>
    </row>
    <row r="265" spans="1:8" ht="15.75">
      <c r="A265" s="65"/>
      <c r="B265" s="65"/>
      <c r="C265" s="89"/>
      <c r="D265" s="89"/>
      <c r="E265" s="484"/>
      <c r="F265" s="855"/>
      <c r="G265" s="27"/>
      <c r="H265" s="33"/>
    </row>
    <row r="266" spans="1:8" ht="15.75">
      <c r="A266" s="65"/>
      <c r="B266" s="120" t="s">
        <v>27</v>
      </c>
      <c r="C266" s="89"/>
      <c r="D266" s="89"/>
      <c r="E266" s="484"/>
      <c r="F266" s="855"/>
      <c r="G266" s="27"/>
      <c r="H266" s="33"/>
    </row>
    <row r="267" spans="1:8" ht="15.75">
      <c r="A267" s="65">
        <f>+A264+1</f>
        <v>162</v>
      </c>
      <c r="B267" s="65"/>
      <c r="C267" s="89" t="s">
        <v>542</v>
      </c>
      <c r="D267" s="89"/>
      <c r="E267" s="484"/>
      <c r="F267" s="855" t="str">
        <f>"(Line "&amp;A250&amp;" - Line "&amp;A240&amp;" - Line "&amp;A241&amp;")"</f>
        <v>(Line 152 - Line 145 - Line 146)</v>
      </c>
      <c r="G267" s="27"/>
      <c r="H267" s="890">
        <f>H250-H240-H241</f>
        <v>252428365.65456885</v>
      </c>
    </row>
    <row r="268" spans="1:8" ht="15.75">
      <c r="A268" s="65">
        <f>+A267+1</f>
        <v>163</v>
      </c>
      <c r="B268" s="65"/>
      <c r="C268" s="89" t="s">
        <v>244</v>
      </c>
      <c r="D268" s="89"/>
      <c r="E268" s="484"/>
      <c r="F268" s="855" t="s">
        <v>367</v>
      </c>
      <c r="G268" s="27"/>
      <c r="H268" s="890">
        <f>'4 - 100 Basis Pt ROE'!I7</f>
        <v>328891723.04536271</v>
      </c>
    </row>
    <row r="269" spans="1:8" ht="15.75">
      <c r="A269" s="65">
        <f>+A268+1</f>
        <v>164</v>
      </c>
      <c r="B269" s="65"/>
      <c r="C269" s="89" t="s">
        <v>28</v>
      </c>
      <c r="D269" s="89"/>
      <c r="E269" s="484"/>
      <c r="F269" s="855" t="str">
        <f>"(Line "&amp;A267&amp;" + Line "&amp;A268&amp;")"</f>
        <v>(Line 162 + Line 163)</v>
      </c>
      <c r="G269" s="27"/>
      <c r="H269" s="890">
        <f>H267+H268</f>
        <v>581320088.69993162</v>
      </c>
    </row>
    <row r="270" spans="1:8" ht="15.75">
      <c r="A270" s="65">
        <f>+A269+1</f>
        <v>165</v>
      </c>
      <c r="B270" s="65"/>
      <c r="C270" s="89" t="str">
        <f>+C261</f>
        <v xml:space="preserve">Net Transmission Plant </v>
      </c>
      <c r="D270" s="89"/>
      <c r="E270" s="484"/>
      <c r="F270" s="855" t="str">
        <f>"(Line "&amp;A35&amp;" - Line "&amp;A56&amp;")"</f>
        <v>(Line 15 - Line 30)</v>
      </c>
      <c r="G270" s="27"/>
      <c r="H270" s="890">
        <f>H35-H56</f>
        <v>2591921774</v>
      </c>
    </row>
    <row r="271" spans="1:8" ht="15.75">
      <c r="A271" s="65">
        <f>+A270+1</f>
        <v>166</v>
      </c>
      <c r="B271" s="65"/>
      <c r="C271" s="89" t="s">
        <v>29</v>
      </c>
      <c r="D271" s="89"/>
      <c r="E271" s="484"/>
      <c r="F271" s="855" t="str">
        <f>"(Line "&amp;A269&amp;" / Line "&amp;A270&amp;")"</f>
        <v>(Line 164 / Line 165)</v>
      </c>
      <c r="G271" s="27"/>
      <c r="H271" s="1041">
        <f>H269/H270</f>
        <v>0.22428149434572081</v>
      </c>
    </row>
    <row r="272" spans="1:8" ht="15.75">
      <c r="A272" s="65">
        <f>+A271+1</f>
        <v>167</v>
      </c>
      <c r="B272" s="65"/>
      <c r="C272" s="89" t="s">
        <v>30</v>
      </c>
      <c r="D272" s="89"/>
      <c r="E272" s="484"/>
      <c r="F272" s="855" t="str">
        <f>"(Line "&amp;A269&amp;" - Line "&amp;A147&amp;") /  Line "&amp;A270</f>
        <v>(Line 164 - Line 86) /  Line 165</v>
      </c>
      <c r="G272" s="27"/>
      <c r="H272" s="1041">
        <f>(H269-H147)/H270</f>
        <v>0.19922772318202364</v>
      </c>
    </row>
    <row r="273" spans="1:213" ht="15.75">
      <c r="A273" s="65"/>
      <c r="B273" s="65"/>
      <c r="C273" s="89"/>
      <c r="D273" s="89"/>
      <c r="E273" s="484"/>
      <c r="F273" s="855"/>
      <c r="G273" s="27"/>
      <c r="H273" s="33"/>
    </row>
    <row r="274" spans="1:213" ht="15.75">
      <c r="A274" s="65">
        <f>+A272+1</f>
        <v>168</v>
      </c>
      <c r="B274" s="65"/>
      <c r="C274" s="120" t="s">
        <v>607</v>
      </c>
      <c r="D274" s="89"/>
      <c r="E274" s="302"/>
      <c r="F274" s="855" t="str">
        <f>"(Line "&amp;A257&amp;")"</f>
        <v>(Line 156)</v>
      </c>
      <c r="G274" s="27"/>
      <c r="H274" s="890">
        <f>H257</f>
        <v>522128699.79414845</v>
      </c>
    </row>
    <row r="275" spans="1:213" ht="15.75">
      <c r="A275" s="65">
        <f>+A274+1</f>
        <v>169</v>
      </c>
      <c r="B275" s="65"/>
      <c r="C275" s="89" t="s">
        <v>245</v>
      </c>
      <c r="D275" s="89"/>
      <c r="E275" s="483"/>
      <c r="F275" s="865" t="s">
        <v>362</v>
      </c>
      <c r="G275" s="27"/>
      <c r="H275" s="184">
        <f>'6 - Est &amp; Reconcile WS'!K161</f>
        <v>10636761.173497165</v>
      </c>
    </row>
    <row r="276" spans="1:213" ht="15.75">
      <c r="A276" s="65">
        <f>+A275+1</f>
        <v>170</v>
      </c>
      <c r="B276" s="65"/>
      <c r="C276" s="89" t="s">
        <v>641</v>
      </c>
      <c r="D276" s="89"/>
      <c r="E276" s="483"/>
      <c r="F276" s="865" t="s">
        <v>236</v>
      </c>
      <c r="G276" s="27"/>
      <c r="H276" s="184">
        <f>'7 - Cap Add WS'!AP47-'7 - Cap Add WS'!AQ46</f>
        <v>2246318.3657435477</v>
      </c>
    </row>
    <row r="277" spans="1:213" ht="15.75">
      <c r="A277" s="65">
        <f>+A276+1</f>
        <v>171</v>
      </c>
      <c r="B277" s="65"/>
      <c r="C277" s="68" t="s">
        <v>423</v>
      </c>
      <c r="D277" s="258"/>
      <c r="E277" s="489"/>
      <c r="F277" s="866" t="s">
        <v>426</v>
      </c>
      <c r="G277" s="27"/>
      <c r="H277" s="891">
        <f>+'5 - Cost Support'!G165</f>
        <v>0</v>
      </c>
      <c r="HE277" s="39">
        <f>SUM(A277:HD277)</f>
        <v>171</v>
      </c>
    </row>
    <row r="278" spans="1:213" ht="15.75">
      <c r="A278" s="65">
        <f>+A277+1</f>
        <v>172</v>
      </c>
      <c r="B278" s="65"/>
      <c r="C278" s="120" t="s">
        <v>149</v>
      </c>
      <c r="D278" s="89"/>
      <c r="E278" s="301"/>
      <c r="F278" s="855" t="str">
        <f>"(Line "&amp;A274&amp;" + "&amp;A275&amp;" + "&amp;A276&amp;" + "&amp;A277&amp;")"</f>
        <v>(Line 168 + 169 + 170 + 171)</v>
      </c>
      <c r="G278" s="27"/>
      <c r="H278" s="890">
        <f>(H274+H275+H276+H277)</f>
        <v>535011779.33338916</v>
      </c>
    </row>
    <row r="279" spans="1:213" ht="15.75">
      <c r="A279" s="65"/>
      <c r="B279" s="26"/>
      <c r="C279" s="89"/>
      <c r="D279" s="89"/>
      <c r="E279" s="490"/>
      <c r="F279" s="855"/>
      <c r="G279" s="27"/>
      <c r="H279" s="184"/>
    </row>
    <row r="280" spans="1:213" ht="15.75">
      <c r="A280" s="65"/>
      <c r="B280" s="393" t="s">
        <v>148</v>
      </c>
      <c r="C280" s="89"/>
      <c r="D280" s="89"/>
      <c r="E280" s="490"/>
      <c r="F280" s="855"/>
      <c r="G280" s="27"/>
      <c r="H280" s="184"/>
    </row>
    <row r="281" spans="1:213" ht="15.75">
      <c r="A281" s="65">
        <f>+A278+1</f>
        <v>173</v>
      </c>
      <c r="B281" s="26"/>
      <c r="C281" s="27" t="s">
        <v>556</v>
      </c>
      <c r="D281" s="113"/>
      <c r="E281" s="690" t="str">
        <f>"(Note "&amp;B$305&amp;")"</f>
        <v>(Note L)</v>
      </c>
      <c r="F281" s="867" t="s">
        <v>144</v>
      </c>
      <c r="G281" s="89"/>
      <c r="H281" s="1145">
        <v>22269</v>
      </c>
    </row>
    <row r="282" spans="1:213" ht="15.75">
      <c r="A282" s="65">
        <f>+A281+1</f>
        <v>174</v>
      </c>
      <c r="B282" s="26"/>
      <c r="C282" s="27" t="s">
        <v>555</v>
      </c>
      <c r="D282" s="394"/>
      <c r="E282" s="537"/>
      <c r="F282" s="849" t="str">
        <f>"(Line "&amp;A278&amp;" / "&amp;A281&amp;")"</f>
        <v>(Line 172 / 173)</v>
      </c>
      <c r="G282" s="119"/>
      <c r="H282" s="300">
        <f>H278/H281</f>
        <v>24024.957534392615</v>
      </c>
    </row>
    <row r="283" spans="1:213" ht="16.5" thickBot="1">
      <c r="A283" s="26"/>
      <c r="B283" s="26"/>
      <c r="C283" s="113"/>
      <c r="D283" s="113"/>
      <c r="E283" s="538"/>
      <c r="F283" s="229"/>
      <c r="G283" s="119"/>
      <c r="H283" s="294"/>
    </row>
    <row r="284" spans="1:213" s="70" customFormat="1" ht="16.5" thickBot="1">
      <c r="A284" s="540">
        <f>+A282+1</f>
        <v>175</v>
      </c>
      <c r="B284" s="546"/>
      <c r="C284" s="542" t="s">
        <v>618</v>
      </c>
      <c r="D284" s="546"/>
      <c r="E284" s="539"/>
      <c r="F284" s="542" t="str">
        <f>"(Line "&amp;A282&amp;")"</f>
        <v>(Line 174)</v>
      </c>
      <c r="G284" s="546"/>
      <c r="H284" s="892">
        <f>H282</f>
        <v>24024.957534392615</v>
      </c>
    </row>
    <row r="285" spans="1:213" s="70" customFormat="1" ht="15.75">
      <c r="A285" s="160"/>
      <c r="B285" s="66"/>
      <c r="C285" s="51"/>
      <c r="D285" s="51"/>
      <c r="E285" s="142"/>
      <c r="F285" s="119"/>
      <c r="G285" s="119"/>
      <c r="H285" s="294"/>
    </row>
    <row r="286" spans="1:213" s="70" customFormat="1" ht="21">
      <c r="A286" s="328"/>
      <c r="B286" s="329" t="s">
        <v>602</v>
      </c>
      <c r="C286" s="330"/>
      <c r="D286" s="330"/>
      <c r="E286" s="331"/>
      <c r="F286" s="332"/>
      <c r="G286" s="229"/>
      <c r="H286" s="184"/>
    </row>
    <row r="287" spans="1:213" s="70" customFormat="1" ht="20.25">
      <c r="A287" s="333"/>
      <c r="B287" s="280" t="s">
        <v>466</v>
      </c>
      <c r="C287" s="389" t="s">
        <v>610</v>
      </c>
      <c r="D287" s="389"/>
      <c r="E287" s="390"/>
      <c r="F287" s="351"/>
      <c r="G287" s="351"/>
      <c r="H287" s="347"/>
    </row>
    <row r="288" spans="1:213" s="70" customFormat="1" ht="20.25">
      <c r="A288" s="333"/>
      <c r="B288" s="280" t="s">
        <v>577</v>
      </c>
      <c r="C288" s="389" t="str">
        <f>"Line "&amp;A36&amp;", for the Reconciliation, includes New Transmission Plant that was actually placed in service weighted by the number of months it was actually in service"</f>
        <v>Line 16, for the Reconciliation, includes New Transmission Plant that was actually placed in service weighted by the number of months it was actually in service</v>
      </c>
      <c r="D288" s="385"/>
      <c r="E288" s="386"/>
      <c r="F288" s="351"/>
      <c r="G288" s="351"/>
      <c r="H288" s="347"/>
    </row>
    <row r="289" spans="1:8" s="70" customFormat="1" ht="20.25">
      <c r="A289" s="333"/>
      <c r="B289" s="280"/>
      <c r="C289" s="389" t="str">
        <f>"Line "&amp;A37&amp;" includes New Transmission Plant to be placed in servcie in the current calendar year that is not included in the PJM regional Transmission Plan (RTEP)"</f>
        <v>Line 17 includes New Transmission Plant to be placed in servcie in the current calendar year that is not included in the PJM regional Transmission Plan (RTEP)</v>
      </c>
      <c r="D289" s="385"/>
      <c r="E289" s="386"/>
      <c r="F289" s="351"/>
      <c r="G289" s="351"/>
      <c r="H289" s="347"/>
    </row>
    <row r="290" spans="1:8" s="70" customFormat="1" ht="20.25">
      <c r="A290" s="333"/>
      <c r="B290" s="280"/>
      <c r="C290" s="389" t="s">
        <v>208</v>
      </c>
      <c r="D290" s="385"/>
      <c r="E290" s="386"/>
      <c r="F290" s="351"/>
      <c r="G290" s="351"/>
      <c r="H290" s="347"/>
    </row>
    <row r="291" spans="1:8" s="70" customFormat="1" ht="20.25">
      <c r="A291" s="333"/>
      <c r="B291" s="280" t="s">
        <v>450</v>
      </c>
      <c r="C291" s="389" t="s">
        <v>676</v>
      </c>
      <c r="D291" s="385"/>
      <c r="E291" s="386"/>
      <c r="F291" s="351"/>
      <c r="G291" s="351"/>
      <c r="H291" s="347"/>
    </row>
    <row r="292" spans="1:8" s="70" customFormat="1" ht="20.25">
      <c r="A292" s="333"/>
      <c r="B292" s="280" t="s">
        <v>467</v>
      </c>
      <c r="C292" s="389" t="s">
        <v>102</v>
      </c>
      <c r="D292" s="385"/>
      <c r="E292" s="386"/>
      <c r="F292" s="351"/>
      <c r="G292" s="351"/>
      <c r="H292" s="347"/>
    </row>
    <row r="293" spans="1:8" s="70" customFormat="1" ht="20.25">
      <c r="A293" s="333"/>
      <c r="B293" s="280" t="s">
        <v>465</v>
      </c>
      <c r="C293" s="389" t="s">
        <v>644</v>
      </c>
      <c r="D293" s="385"/>
      <c r="E293" s="386"/>
      <c r="F293" s="351"/>
      <c r="G293" s="351"/>
      <c r="H293" s="347"/>
    </row>
    <row r="294" spans="1:8" s="70" customFormat="1" ht="20.25">
      <c r="A294" s="333"/>
      <c r="B294" s="280" t="s">
        <v>223</v>
      </c>
      <c r="C294" s="389" t="s">
        <v>643</v>
      </c>
      <c r="D294" s="385"/>
      <c r="E294" s="386"/>
      <c r="F294" s="351"/>
      <c r="G294" s="351"/>
      <c r="H294" s="347"/>
    </row>
    <row r="295" spans="1:8" s="70" customFormat="1" ht="20.25">
      <c r="A295" s="333"/>
      <c r="B295" s="280" t="s">
        <v>468</v>
      </c>
      <c r="C295" s="389" t="s">
        <v>642</v>
      </c>
      <c r="D295" s="385"/>
      <c r="E295" s="386"/>
      <c r="F295" s="351"/>
      <c r="G295" s="351"/>
      <c r="H295" s="347"/>
    </row>
    <row r="296" spans="1:8" s="70" customFormat="1" ht="20.25">
      <c r="A296" s="333"/>
      <c r="B296" s="280" t="s">
        <v>718</v>
      </c>
      <c r="C296" s="389" t="s">
        <v>141</v>
      </c>
      <c r="D296" s="385"/>
      <c r="E296" s="386"/>
      <c r="F296" s="351"/>
      <c r="G296" s="351"/>
      <c r="H296" s="347"/>
    </row>
    <row r="297" spans="1:8" s="70" customFormat="1" ht="20.25">
      <c r="A297" s="333"/>
      <c r="B297" s="280" t="s">
        <v>766</v>
      </c>
      <c r="C297" s="389" t="s">
        <v>645</v>
      </c>
      <c r="D297" s="385"/>
      <c r="E297" s="386"/>
      <c r="F297" s="351"/>
      <c r="G297" s="351"/>
      <c r="H297" s="347"/>
    </row>
    <row r="298" spans="1:8" s="70" customFormat="1" ht="20.25">
      <c r="A298" s="333"/>
      <c r="B298" s="280"/>
      <c r="C298" s="389" t="s">
        <v>103</v>
      </c>
      <c r="D298" s="385"/>
      <c r="E298" s="386"/>
      <c r="F298" s="351"/>
      <c r="G298" s="351"/>
      <c r="H298" s="347"/>
    </row>
    <row r="299" spans="1:8" s="70" customFormat="1" ht="20.25" customHeight="1">
      <c r="A299" s="333"/>
      <c r="B299" s="280" t="s">
        <v>455</v>
      </c>
      <c r="C299" s="389" t="s">
        <v>670</v>
      </c>
      <c r="D299" s="385"/>
      <c r="E299" s="386"/>
      <c r="F299" s="351"/>
      <c r="G299" s="351"/>
      <c r="H299" s="347"/>
    </row>
    <row r="300" spans="1:8" s="70" customFormat="1" ht="20.25" customHeight="1">
      <c r="A300" s="333"/>
      <c r="B300" s="280"/>
      <c r="C300" s="389" t="s">
        <v>251</v>
      </c>
      <c r="D300" s="385"/>
      <c r="E300" s="386"/>
      <c r="F300" s="351"/>
      <c r="G300" s="351"/>
      <c r="H300" s="347"/>
    </row>
    <row r="301" spans="1:8" s="70" customFormat="1" ht="20.25" customHeight="1">
      <c r="A301" s="333"/>
      <c r="B301" s="280"/>
      <c r="C301" s="389" t="s">
        <v>104</v>
      </c>
      <c r="D301" s="385"/>
      <c r="E301" s="386"/>
      <c r="F301" s="351"/>
      <c r="G301" s="351"/>
      <c r="H301" s="347"/>
    </row>
    <row r="302" spans="1:8" s="70" customFormat="1" ht="20.25" customHeight="1">
      <c r="A302" s="333"/>
      <c r="B302" s="280"/>
      <c r="C302" s="389" t="s">
        <v>105</v>
      </c>
      <c r="D302" s="385"/>
      <c r="E302" s="386"/>
      <c r="F302" s="351"/>
      <c r="G302" s="351"/>
      <c r="H302" s="347"/>
    </row>
    <row r="303" spans="1:8" s="70" customFormat="1" ht="20.25" customHeight="1">
      <c r="A303" s="333"/>
      <c r="B303" s="280"/>
      <c r="C303" s="389" t="s">
        <v>120</v>
      </c>
      <c r="D303" s="385"/>
      <c r="E303" s="386"/>
      <c r="F303" s="351"/>
      <c r="G303" s="351"/>
      <c r="H303" s="347"/>
    </row>
    <row r="304" spans="1:8" s="70" customFormat="1" ht="18.75" customHeight="1">
      <c r="A304" s="333"/>
      <c r="B304" s="280" t="s">
        <v>470</v>
      </c>
      <c r="C304" s="389" t="s">
        <v>40</v>
      </c>
      <c r="D304" s="385"/>
      <c r="E304" s="386"/>
      <c r="F304" s="351"/>
      <c r="G304" s="351"/>
      <c r="H304" s="347"/>
    </row>
    <row r="305" spans="1:8" s="70" customFormat="1" ht="20.25">
      <c r="A305" s="333"/>
      <c r="B305" s="280" t="s">
        <v>559</v>
      </c>
      <c r="C305" s="389" t="s">
        <v>678</v>
      </c>
      <c r="D305" s="385"/>
      <c r="E305" s="386"/>
      <c r="F305" s="351"/>
      <c r="G305" s="351"/>
      <c r="H305" s="347"/>
    </row>
    <row r="306" spans="1:8" ht="20.25">
      <c r="A306" s="334"/>
      <c r="B306" s="280" t="s">
        <v>560</v>
      </c>
      <c r="C306" s="389" t="s">
        <v>632</v>
      </c>
      <c r="D306" s="385"/>
      <c r="E306" s="386"/>
      <c r="F306" s="351"/>
      <c r="G306" s="351"/>
      <c r="H306" s="347"/>
    </row>
    <row r="307" spans="1:8" ht="20.25">
      <c r="A307" s="334"/>
      <c r="B307" s="280" t="s">
        <v>224</v>
      </c>
      <c r="C307" s="389" t="s">
        <v>146</v>
      </c>
      <c r="D307" s="385"/>
      <c r="E307" s="386"/>
      <c r="F307" s="351"/>
      <c r="G307" s="351"/>
      <c r="H307" s="347"/>
    </row>
    <row r="308" spans="1:8" ht="20.25">
      <c r="A308" s="334"/>
      <c r="B308" s="280"/>
      <c r="C308" s="389" t="s">
        <v>744</v>
      </c>
      <c r="D308" s="385"/>
      <c r="E308" s="386"/>
      <c r="F308" s="351"/>
      <c r="G308" s="351"/>
      <c r="H308" s="347"/>
    </row>
    <row r="309" spans="1:8" ht="20.25">
      <c r="A309" s="334"/>
      <c r="B309" s="280"/>
      <c r="C309" s="389" t="str">
        <f>"  Interest on the Network Credits as booked each year is added to the revenue requirement to make the Transmisison Owner whole on Line "&amp;A255&amp;"."</f>
        <v xml:space="preserve">  Interest on the Network Credits as booked each year is added to the revenue requirement to make the Transmisison Owner whole on Line 155.</v>
      </c>
      <c r="D309" s="387"/>
      <c r="E309" s="386"/>
      <c r="F309" s="351"/>
      <c r="G309" s="351"/>
      <c r="H309" s="347"/>
    </row>
    <row r="310" spans="1:8" ht="20.25">
      <c r="A310" s="334"/>
      <c r="B310" s="280" t="s">
        <v>341</v>
      </c>
      <c r="C310" s="389" t="s">
        <v>119</v>
      </c>
      <c r="D310" s="387"/>
      <c r="E310" s="386"/>
      <c r="F310" s="351"/>
      <c r="G310" s="351"/>
      <c r="H310" s="347"/>
    </row>
    <row r="311" spans="1:8" ht="20.25">
      <c r="A311" s="334"/>
      <c r="B311" s="280"/>
      <c r="C311" s="389" t="str">
        <f>"in Transmission O&amp;M on Line "&amp;A105&amp;".    If they are booked to Acct 565, they are included on Line "&amp;A108&amp;"."</f>
        <v>in Transmission O&amp;M on Line 56.    If they are booked to Acct 565, they are included on Line 59.</v>
      </c>
      <c r="D311" s="574"/>
      <c r="E311" s="389"/>
      <c r="F311" s="351"/>
      <c r="G311" s="351"/>
      <c r="H311" s="347"/>
    </row>
    <row r="312" spans="1:8" s="70" customFormat="1" ht="20.25">
      <c r="A312" s="335"/>
      <c r="B312" s="280" t="s">
        <v>508</v>
      </c>
      <c r="C312" s="389" t="s">
        <v>547</v>
      </c>
      <c r="D312" s="388"/>
      <c r="E312" s="388"/>
      <c r="F312" s="234"/>
      <c r="G312" s="280"/>
      <c r="H312" s="280"/>
    </row>
    <row r="313" spans="1:8" ht="20.25">
      <c r="A313" s="336"/>
      <c r="B313" s="280" t="s">
        <v>765</v>
      </c>
      <c r="C313" s="389" t="s">
        <v>546</v>
      </c>
      <c r="D313" s="385"/>
      <c r="E313" s="1052"/>
      <c r="F313" s="352"/>
      <c r="G313" s="351"/>
      <c r="H313" s="347"/>
    </row>
    <row r="314" spans="1:8" ht="20.25">
      <c r="A314" s="336"/>
      <c r="B314" s="280"/>
      <c r="C314" s="389" t="str">
        <f>"period May 1, 2007 through May 31, 2009 the formula produces an equity ratio exceeding 58.0%, the formulaic value at Line "&amp;A197&amp;" shall be manually set to 58.0%"</f>
        <v>period May 1, 2007 through May 31, 2009 the formula produces an equity ratio exceeding 58.0%, the formulaic value at Line 119 shall be manually set to 58.0%</v>
      </c>
      <c r="D314" s="385"/>
      <c r="E314" s="1052"/>
      <c r="F314" s="352"/>
      <c r="G314" s="351"/>
      <c r="H314" s="347"/>
    </row>
    <row r="315" spans="1:8" ht="20.25">
      <c r="A315" s="336"/>
      <c r="B315" s="280"/>
      <c r="C315" s="389" t="str">
        <f>"and the formulaic value at Line "&amp;A195&amp; " shall be manually set to 42.0% less the percentage shown at Line "&amp;A196&amp;"."</f>
        <v>and the formulaic value at Line 117 shall be manually set to 42.0% less the percentage shown at Line 118.</v>
      </c>
      <c r="D315" s="385"/>
      <c r="E315" s="1052"/>
      <c r="F315" s="352"/>
      <c r="G315" s="351"/>
      <c r="H315" s="347"/>
    </row>
    <row r="316" spans="1:8" ht="20.25">
      <c r="A316" s="337"/>
      <c r="B316" s="280"/>
      <c r="C316" s="389" t="str">
        <f>"If, during the period June 1, 2009 through May 31, 2010, the formula produces an equity ratio exceeding 57.0%, the formulaic value at Line "&amp;A197&amp;" shall be manually"</f>
        <v>If, during the period June 1, 2009 through May 31, 2010, the formula produces an equity ratio exceeding 57.0%, the formulaic value at Line 119 shall be manually</v>
      </c>
      <c r="D316" s="387"/>
      <c r="E316" s="1053"/>
      <c r="F316" s="352"/>
      <c r="G316" s="348"/>
      <c r="H316" s="1054"/>
    </row>
    <row r="317" spans="1:8" ht="18">
      <c r="A317" s="44"/>
      <c r="B317" s="280"/>
      <c r="C317" s="389" t="str">
        <f>"set to 57% and the value at Line "&amp;A195&amp;" shall be manually set to 43.0% less the percentage shown at Line "&amp;A196&amp;"."</f>
        <v>set to 57% and the value at Line 117 shall be manually set to 43.0% less the percentage shown at Line 118.</v>
      </c>
      <c r="D317" s="387"/>
      <c r="E317" s="1052"/>
      <c r="F317" s="352"/>
      <c r="G317" s="348"/>
      <c r="H317" s="893"/>
    </row>
    <row r="318" spans="1:8" ht="20.25">
      <c r="A318" s="337"/>
      <c r="B318" s="280"/>
      <c r="C318" s="389" t="str">
        <f>"If, during the period June 1, 2010 through May 31, 2011, the formula produces an equity ratio exceeding 56.0%, the formulaic value at Line "&amp;A197&amp;" shall be manually "</f>
        <v xml:space="preserve">If, during the period June 1, 2010 through May 31, 2011, the formula produces an equity ratio exceeding 56.0%, the formulaic value at Line 119 shall be manually </v>
      </c>
      <c r="D318" s="1055"/>
      <c r="E318" s="1052"/>
      <c r="F318" s="352"/>
      <c r="G318" s="349"/>
      <c r="H318" s="893"/>
    </row>
    <row r="319" spans="1:8" ht="20.25">
      <c r="A319" s="341"/>
      <c r="B319" s="280"/>
      <c r="C319" s="389" t="str">
        <f>"set to 56% and the value at Line "&amp;A195&amp;" shall be manually set to 44.0% less the percentage shown at Line "&amp;A196&amp;"."</f>
        <v>set to 56% and the value at Line 117 shall be manually set to 44.0% less the percentage shown at Line 118.</v>
      </c>
      <c r="D319" s="387"/>
      <c r="E319" s="1052"/>
      <c r="F319" s="352"/>
      <c r="G319" s="349"/>
      <c r="H319" s="1056"/>
    </row>
    <row r="320" spans="1:8" ht="20.25">
      <c r="A320" s="341"/>
      <c r="B320" s="280"/>
      <c r="C320" s="389" t="str">
        <f>"If, during any period following May 31, 2011, the formula produces an equity ratio exceeding 55.0%, the formulaic value at Line "&amp;A197&amp;" shall be manually set to 55.0% "</f>
        <v xml:space="preserve">If, during any period following May 31, 2011, the formula produces an equity ratio exceeding 55.0%, the formulaic value at Line 119 shall be manually set to 55.0% </v>
      </c>
      <c r="D320" s="387"/>
      <c r="E320" s="1052"/>
      <c r="F320" s="352"/>
      <c r="G320" s="349"/>
      <c r="H320" s="1057"/>
    </row>
    <row r="321" spans="1:8" ht="20.25">
      <c r="A321" s="339"/>
      <c r="B321" s="280"/>
      <c r="C321" s="389" t="str">
        <f>"and the formulaic value at Line "&amp;A195&amp;" shall be manually set to 45.0% less the percentage shown at Line "&amp;A196&amp;"."</f>
        <v>and the formulaic value at Line 117 shall be manually set to 45.0% less the percentage shown at Line 118.</v>
      </c>
      <c r="D321" s="387"/>
      <c r="E321" s="1052"/>
      <c r="F321" s="352"/>
      <c r="G321" s="349"/>
      <c r="H321" s="1058"/>
    </row>
    <row r="322" spans="1:8" ht="20.25">
      <c r="A322" s="341"/>
      <c r="B322" s="348"/>
      <c r="C322" s="348"/>
      <c r="D322" s="348"/>
      <c r="E322" s="352"/>
      <c r="F322" s="352"/>
      <c r="G322" s="349"/>
      <c r="H322" s="893"/>
    </row>
    <row r="323" spans="1:8" ht="20.25">
      <c r="A323" s="341"/>
      <c r="B323" s="348"/>
      <c r="C323" s="348"/>
      <c r="D323" s="348"/>
      <c r="E323" s="352"/>
      <c r="F323" s="352"/>
      <c r="G323" s="349"/>
      <c r="H323" s="893"/>
    </row>
    <row r="324" spans="1:8" ht="20.25">
      <c r="A324" s="341"/>
      <c r="B324" s="348"/>
      <c r="C324" s="348"/>
      <c r="D324" s="348"/>
      <c r="E324" s="353"/>
      <c r="F324" s="352"/>
      <c r="G324" s="350"/>
      <c r="H324" s="894"/>
    </row>
    <row r="325" spans="1:8" ht="20.25">
      <c r="A325" s="341"/>
      <c r="B325" s="348"/>
      <c r="C325" s="348"/>
      <c r="D325" s="348"/>
      <c r="E325" s="352"/>
      <c r="F325" s="352"/>
      <c r="G325" s="350"/>
      <c r="H325" s="894"/>
    </row>
    <row r="326" spans="1:8" ht="20.25">
      <c r="A326" s="341"/>
      <c r="B326" s="348"/>
      <c r="C326" s="348"/>
      <c r="D326" s="348"/>
      <c r="E326" s="352"/>
      <c r="F326" s="352"/>
      <c r="G326" s="350"/>
      <c r="H326" s="894"/>
    </row>
    <row r="327" spans="1:8" ht="20.25">
      <c r="A327" s="341"/>
      <c r="B327" s="348"/>
      <c r="C327" s="348"/>
      <c r="D327" s="348"/>
      <c r="E327" s="352"/>
      <c r="F327" s="352"/>
      <c r="G327" s="350"/>
      <c r="H327" s="894"/>
    </row>
    <row r="328" spans="1:8" ht="20.25">
      <c r="A328" s="341"/>
      <c r="B328" s="348"/>
      <c r="C328" s="348"/>
      <c r="D328" s="348"/>
      <c r="E328" s="352"/>
      <c r="F328" s="352"/>
      <c r="G328" s="350"/>
      <c r="H328" s="894"/>
    </row>
    <row r="329" spans="1:8" ht="20.25">
      <c r="A329" s="341"/>
      <c r="B329" s="348"/>
      <c r="C329" s="348"/>
      <c r="D329" s="348"/>
      <c r="E329" s="352"/>
      <c r="F329" s="352"/>
      <c r="G329" s="350"/>
      <c r="H329" s="894"/>
    </row>
    <row r="330" spans="1:8" ht="20.25">
      <c r="A330" s="341"/>
      <c r="B330" s="348"/>
      <c r="C330" s="348"/>
      <c r="D330" s="348"/>
      <c r="E330" s="354"/>
      <c r="F330" s="349"/>
      <c r="G330" s="350"/>
      <c r="H330" s="894"/>
    </row>
    <row r="331" spans="1:8" ht="20.25">
      <c r="A331" s="341"/>
      <c r="B331" s="348"/>
      <c r="C331" s="348"/>
      <c r="D331" s="348"/>
      <c r="E331" s="354"/>
      <c r="F331" s="349"/>
      <c r="G331" s="350"/>
      <c r="H331" s="894"/>
    </row>
    <row r="332" spans="1:8" ht="20.25">
      <c r="A332" s="341"/>
      <c r="B332" s="348"/>
      <c r="C332" s="348"/>
      <c r="D332" s="348"/>
      <c r="E332" s="354"/>
      <c r="F332" s="349"/>
      <c r="G332" s="350"/>
      <c r="H332" s="894"/>
    </row>
    <row r="333" spans="1:8" ht="20.25">
      <c r="A333" s="341"/>
      <c r="B333" s="348"/>
      <c r="C333" s="348"/>
      <c r="D333" s="348"/>
      <c r="E333" s="354"/>
      <c r="F333" s="349"/>
      <c r="G333" s="350"/>
      <c r="H333" s="894"/>
    </row>
    <row r="334" spans="1:8" ht="20.25">
      <c r="A334" s="341"/>
      <c r="B334" s="348"/>
      <c r="C334" s="348"/>
      <c r="D334" s="348"/>
      <c r="E334" s="354"/>
      <c r="F334" s="349"/>
      <c r="G334" s="350"/>
      <c r="H334" s="894"/>
    </row>
    <row r="335" spans="1:8" ht="20.25">
      <c r="A335" s="341"/>
      <c r="B335" s="348"/>
      <c r="C335" s="348"/>
      <c r="D335" s="348"/>
      <c r="E335" s="354"/>
      <c r="F335" s="349"/>
      <c r="G335" s="350"/>
      <c r="H335" s="894"/>
    </row>
    <row r="336" spans="1:8" ht="20.25">
      <c r="A336" s="341"/>
      <c r="B336" s="348"/>
      <c r="C336" s="348"/>
      <c r="D336" s="348"/>
      <c r="E336" s="354"/>
      <c r="F336" s="349"/>
      <c r="G336" s="350"/>
      <c r="H336" s="894"/>
    </row>
    <row r="337" spans="1:8" ht="20.25">
      <c r="A337" s="341"/>
      <c r="B337" s="348"/>
      <c r="C337" s="348"/>
      <c r="D337" s="348"/>
      <c r="E337" s="354"/>
      <c r="F337" s="349"/>
      <c r="G337" s="350"/>
      <c r="H337" s="894"/>
    </row>
    <row r="338" spans="1:8" ht="20.25">
      <c r="A338" s="341"/>
      <c r="B338" s="348"/>
      <c r="C338" s="348"/>
      <c r="D338" s="348"/>
      <c r="E338" s="354"/>
      <c r="F338" s="349"/>
      <c r="G338" s="350"/>
      <c r="H338" s="894"/>
    </row>
    <row r="339" spans="1:8" ht="20.25">
      <c r="A339" s="341"/>
      <c r="B339" s="348"/>
      <c r="C339" s="348"/>
      <c r="D339" s="348"/>
      <c r="E339" s="354"/>
      <c r="F339" s="349"/>
      <c r="G339" s="350"/>
      <c r="H339" s="894"/>
    </row>
    <row r="340" spans="1:8" ht="20.25">
      <c r="A340" s="341"/>
      <c r="B340" s="348"/>
      <c r="C340" s="348"/>
      <c r="D340" s="348"/>
      <c r="E340" s="354"/>
      <c r="F340" s="349"/>
      <c r="G340" s="350"/>
      <c r="H340" s="894"/>
    </row>
    <row r="341" spans="1:8" ht="20.25">
      <c r="A341" s="341"/>
      <c r="B341" s="348"/>
      <c r="C341" s="348"/>
      <c r="D341" s="348"/>
      <c r="E341" s="354"/>
      <c r="F341" s="349"/>
      <c r="G341" s="350"/>
      <c r="H341" s="894"/>
    </row>
    <row r="342" spans="1:8" ht="20.25">
      <c r="A342" s="341"/>
      <c r="B342" s="348"/>
      <c r="C342" s="348"/>
      <c r="D342" s="348"/>
      <c r="E342" s="354"/>
      <c r="F342" s="349"/>
      <c r="G342" s="350"/>
      <c r="H342" s="894"/>
    </row>
    <row r="343" spans="1:8" ht="20.25">
      <c r="A343" s="341"/>
      <c r="B343" s="348"/>
      <c r="C343" s="348"/>
      <c r="D343" s="348"/>
      <c r="E343" s="354"/>
      <c r="F343" s="349"/>
      <c r="G343" s="350"/>
      <c r="H343" s="894"/>
    </row>
    <row r="344" spans="1:8" ht="20.25">
      <c r="A344" s="341"/>
      <c r="B344" s="348"/>
      <c r="C344" s="348"/>
      <c r="D344" s="348"/>
      <c r="E344" s="354"/>
      <c r="F344" s="349"/>
      <c r="G344" s="350"/>
      <c r="H344" s="894"/>
    </row>
    <row r="345" spans="1:8" ht="20.25">
      <c r="A345" s="341"/>
      <c r="B345" s="348"/>
      <c r="C345" s="348"/>
      <c r="D345" s="348"/>
      <c r="E345" s="354"/>
      <c r="F345" s="349"/>
      <c r="G345" s="350"/>
      <c r="H345" s="894"/>
    </row>
    <row r="346" spans="1:8" ht="20.25">
      <c r="A346" s="341"/>
      <c r="B346" s="348"/>
      <c r="C346" s="348"/>
      <c r="D346" s="348"/>
      <c r="E346" s="354"/>
      <c r="F346" s="349"/>
      <c r="G346" s="350"/>
      <c r="H346" s="894"/>
    </row>
    <row r="347" spans="1:8" ht="20.25">
      <c r="A347" s="341"/>
      <c r="B347" s="348"/>
      <c r="C347" s="348"/>
      <c r="D347" s="348"/>
      <c r="E347" s="354"/>
      <c r="F347" s="349"/>
      <c r="G347" s="350"/>
      <c r="H347" s="894"/>
    </row>
    <row r="348" spans="1:8" ht="20.25">
      <c r="A348" s="341"/>
      <c r="B348" s="348"/>
      <c r="C348" s="348"/>
      <c r="D348" s="348"/>
      <c r="E348" s="354"/>
      <c r="F348" s="349"/>
      <c r="G348" s="350"/>
      <c r="H348" s="894"/>
    </row>
    <row r="349" spans="1:8" ht="20.25">
      <c r="A349" s="341"/>
      <c r="B349" s="348"/>
      <c r="C349" s="348"/>
      <c r="D349" s="348"/>
      <c r="E349" s="354"/>
      <c r="F349" s="349"/>
      <c r="G349" s="350"/>
      <c r="H349" s="894"/>
    </row>
    <row r="350" spans="1:8" ht="20.25">
      <c r="A350" s="341"/>
      <c r="B350" s="348"/>
      <c r="C350" s="348"/>
      <c r="D350" s="348"/>
      <c r="E350" s="354"/>
      <c r="F350" s="349"/>
      <c r="G350" s="350"/>
      <c r="H350" s="894"/>
    </row>
    <row r="351" spans="1:8" ht="20.25">
      <c r="A351" s="341"/>
      <c r="B351" s="348"/>
      <c r="C351" s="348"/>
      <c r="D351" s="348"/>
      <c r="E351" s="354"/>
      <c r="F351" s="349"/>
      <c r="G351" s="350"/>
      <c r="H351" s="894"/>
    </row>
    <row r="352" spans="1:8" ht="20.25">
      <c r="A352" s="341"/>
      <c r="B352" s="348"/>
      <c r="C352" s="348"/>
      <c r="D352" s="348"/>
      <c r="E352" s="354"/>
      <c r="F352" s="349"/>
      <c r="G352" s="350"/>
      <c r="H352" s="894"/>
    </row>
    <row r="353" spans="1:8" ht="20.25">
      <c r="A353" s="341"/>
      <c r="B353" s="348"/>
      <c r="C353" s="348"/>
      <c r="D353" s="348"/>
      <c r="E353" s="354"/>
      <c r="F353" s="349"/>
      <c r="G353" s="350"/>
      <c r="H353" s="894"/>
    </row>
    <row r="354" spans="1:8" ht="20.25">
      <c r="A354" s="341"/>
      <c r="B354" s="348"/>
      <c r="C354" s="348"/>
      <c r="D354" s="348"/>
      <c r="E354" s="354"/>
      <c r="F354" s="349"/>
      <c r="G354" s="350"/>
      <c r="H354" s="894"/>
    </row>
    <row r="355" spans="1:8" ht="20.25">
      <c r="A355" s="341"/>
      <c r="B355" s="348"/>
      <c r="C355" s="348"/>
      <c r="D355" s="348"/>
      <c r="E355" s="354"/>
      <c r="F355" s="349"/>
      <c r="G355" s="350"/>
      <c r="H355" s="894"/>
    </row>
    <row r="356" spans="1:8" ht="20.25">
      <c r="A356" s="341"/>
      <c r="B356" s="348"/>
      <c r="C356" s="348"/>
      <c r="D356" s="348"/>
      <c r="E356" s="354"/>
      <c r="F356" s="349"/>
      <c r="G356" s="350"/>
      <c r="H356" s="894"/>
    </row>
    <row r="357" spans="1:8" ht="20.25">
      <c r="A357" s="341"/>
      <c r="B357" s="348"/>
      <c r="C357" s="348"/>
      <c r="D357" s="348"/>
      <c r="E357" s="354"/>
      <c r="F357" s="349"/>
      <c r="G357" s="350"/>
      <c r="H357" s="894"/>
    </row>
    <row r="358" spans="1:8" ht="20.25">
      <c r="A358" s="341"/>
      <c r="B358" s="348"/>
      <c r="C358" s="348"/>
      <c r="D358" s="348"/>
      <c r="E358" s="354"/>
      <c r="F358" s="349"/>
      <c r="G358" s="350"/>
      <c r="H358" s="894"/>
    </row>
    <row r="359" spans="1:8" ht="20.25">
      <c r="A359" s="341"/>
      <c r="B359" s="348"/>
      <c r="C359" s="348"/>
      <c r="D359" s="348"/>
      <c r="E359" s="354"/>
      <c r="F359" s="349"/>
      <c r="G359" s="350"/>
      <c r="H359" s="894"/>
    </row>
    <row r="360" spans="1:8" ht="20.25">
      <c r="A360" s="341"/>
      <c r="B360" s="348"/>
      <c r="C360" s="348"/>
      <c r="D360" s="348"/>
      <c r="E360" s="354"/>
      <c r="F360" s="349"/>
      <c r="G360" s="350"/>
      <c r="H360" s="894"/>
    </row>
    <row r="361" spans="1:8" ht="20.25">
      <c r="A361" s="341"/>
      <c r="B361" s="348"/>
      <c r="C361" s="348"/>
      <c r="D361" s="348"/>
      <c r="E361" s="354"/>
      <c r="F361" s="349"/>
      <c r="G361" s="350"/>
      <c r="H361" s="894"/>
    </row>
    <row r="362" spans="1:8" ht="20.25">
      <c r="A362" s="341"/>
      <c r="B362" s="348"/>
      <c r="C362" s="348"/>
      <c r="D362" s="348"/>
      <c r="E362" s="354"/>
      <c r="F362" s="349"/>
      <c r="G362" s="350"/>
      <c r="H362" s="894"/>
    </row>
    <row r="363" spans="1:8" ht="20.25">
      <c r="A363" s="341"/>
      <c r="B363" s="348"/>
      <c r="C363" s="348"/>
      <c r="D363" s="348"/>
      <c r="E363" s="354"/>
      <c r="F363" s="349"/>
      <c r="G363" s="350"/>
      <c r="H363" s="894"/>
    </row>
    <row r="364" spans="1:8" ht="20.25">
      <c r="A364" s="341"/>
      <c r="B364" s="348"/>
      <c r="C364" s="348"/>
      <c r="D364" s="348"/>
      <c r="E364" s="354"/>
      <c r="F364" s="349"/>
      <c r="G364" s="350"/>
      <c r="H364" s="894"/>
    </row>
    <row r="365" spans="1:8" ht="20.25">
      <c r="A365" s="341"/>
      <c r="B365" s="348"/>
      <c r="C365" s="348"/>
      <c r="D365" s="348"/>
      <c r="E365" s="354"/>
      <c r="F365" s="349"/>
      <c r="G365" s="350"/>
      <c r="H365" s="894"/>
    </row>
    <row r="366" spans="1:8" ht="20.25">
      <c r="A366" s="341"/>
      <c r="B366" s="348"/>
      <c r="C366" s="348"/>
      <c r="D366" s="348"/>
      <c r="E366" s="354"/>
      <c r="F366" s="349"/>
      <c r="G366" s="350"/>
      <c r="H366" s="894"/>
    </row>
    <row r="367" spans="1:8" ht="20.25">
      <c r="A367" s="341"/>
      <c r="B367" s="348"/>
      <c r="C367" s="348"/>
      <c r="D367" s="348"/>
      <c r="E367" s="354"/>
      <c r="F367" s="349"/>
      <c r="G367" s="350"/>
      <c r="H367" s="894"/>
    </row>
    <row r="368" spans="1:8" ht="20.25">
      <c r="A368" s="341"/>
      <c r="B368" s="348"/>
      <c r="C368" s="348"/>
      <c r="D368" s="348"/>
      <c r="E368" s="354"/>
      <c r="F368" s="349"/>
      <c r="G368" s="350"/>
      <c r="H368" s="894"/>
    </row>
    <row r="369" spans="1:8" ht="20.25">
      <c r="A369" s="341"/>
      <c r="B369" s="348"/>
      <c r="C369" s="348"/>
      <c r="D369" s="348"/>
      <c r="E369" s="354"/>
      <c r="F369" s="349"/>
      <c r="G369" s="350"/>
      <c r="H369" s="894"/>
    </row>
    <row r="370" spans="1:8" ht="20.25">
      <c r="A370" s="341"/>
      <c r="B370" s="348"/>
      <c r="C370" s="348"/>
      <c r="D370" s="348"/>
      <c r="E370" s="354"/>
      <c r="F370" s="349"/>
      <c r="G370" s="350"/>
      <c r="H370" s="894"/>
    </row>
    <row r="371" spans="1:8" ht="20.25">
      <c r="A371" s="341"/>
      <c r="B371" s="348"/>
      <c r="C371" s="348"/>
      <c r="D371" s="348"/>
      <c r="E371" s="354"/>
      <c r="F371" s="349"/>
      <c r="G371" s="350"/>
      <c r="H371" s="894"/>
    </row>
    <row r="372" spans="1:8" ht="20.25">
      <c r="A372" s="341"/>
      <c r="B372" s="348"/>
      <c r="C372" s="348"/>
      <c r="D372" s="348"/>
      <c r="E372" s="354"/>
      <c r="F372" s="349"/>
      <c r="G372" s="350"/>
      <c r="H372" s="894"/>
    </row>
    <row r="373" spans="1:8" ht="20.25">
      <c r="A373" s="341"/>
      <c r="B373" s="348"/>
      <c r="C373" s="348"/>
      <c r="D373" s="348"/>
      <c r="E373" s="354"/>
      <c r="F373" s="349"/>
      <c r="G373" s="350"/>
      <c r="H373" s="894"/>
    </row>
    <row r="374" spans="1:8" ht="20.25">
      <c r="A374" s="341"/>
      <c r="B374" s="348"/>
      <c r="C374" s="348"/>
      <c r="D374" s="348"/>
      <c r="E374" s="354"/>
      <c r="F374" s="349"/>
      <c r="G374" s="350"/>
      <c r="H374" s="894"/>
    </row>
    <row r="375" spans="1:8" ht="20.25">
      <c r="A375" s="341"/>
      <c r="B375" s="348"/>
      <c r="C375" s="348"/>
      <c r="D375" s="348"/>
      <c r="E375" s="354"/>
      <c r="F375" s="349"/>
      <c r="G375" s="350"/>
      <c r="H375" s="894"/>
    </row>
    <row r="376" spans="1:8" ht="20.25">
      <c r="A376" s="341"/>
      <c r="B376" s="348"/>
      <c r="C376" s="348"/>
      <c r="D376" s="348"/>
      <c r="E376" s="354"/>
      <c r="F376" s="349"/>
      <c r="G376" s="350"/>
      <c r="H376" s="894"/>
    </row>
    <row r="377" spans="1:8" ht="20.25">
      <c r="A377" s="341"/>
      <c r="B377" s="348"/>
      <c r="C377" s="348"/>
      <c r="D377" s="348"/>
      <c r="E377" s="354"/>
      <c r="F377" s="349"/>
      <c r="G377" s="350"/>
      <c r="H377" s="894"/>
    </row>
    <row r="378" spans="1:8" ht="20.25">
      <c r="A378" s="341"/>
      <c r="B378" s="348"/>
      <c r="C378" s="348"/>
      <c r="D378" s="348"/>
      <c r="E378" s="354"/>
      <c r="F378" s="349"/>
      <c r="G378" s="350"/>
      <c r="H378" s="894"/>
    </row>
    <row r="379" spans="1:8" ht="20.25">
      <c r="A379" s="341"/>
      <c r="B379" s="348"/>
      <c r="C379" s="348"/>
      <c r="D379" s="348"/>
      <c r="E379" s="354"/>
      <c r="F379" s="349"/>
      <c r="G379" s="350"/>
      <c r="H379" s="894"/>
    </row>
    <row r="380" spans="1:8" ht="20.25">
      <c r="A380" s="341"/>
      <c r="B380" s="348"/>
      <c r="C380" s="348"/>
      <c r="D380" s="348"/>
      <c r="E380" s="354"/>
      <c r="F380" s="349"/>
      <c r="G380" s="350"/>
      <c r="H380" s="894"/>
    </row>
    <row r="381" spans="1:8" ht="20.25">
      <c r="A381" s="341"/>
      <c r="B381" s="348"/>
      <c r="C381" s="348"/>
      <c r="D381" s="348"/>
      <c r="E381" s="354"/>
      <c r="F381" s="349"/>
      <c r="G381" s="350"/>
      <c r="H381" s="894"/>
    </row>
    <row r="382" spans="1:8" ht="20.25">
      <c r="A382" s="341"/>
      <c r="B382" s="348"/>
      <c r="C382" s="348"/>
      <c r="D382" s="348"/>
      <c r="E382" s="354"/>
      <c r="F382" s="349"/>
      <c r="G382" s="350"/>
      <c r="H382" s="894"/>
    </row>
    <row r="383" spans="1:8" ht="20.25">
      <c r="A383" s="341"/>
      <c r="B383" s="348"/>
      <c r="C383" s="348"/>
      <c r="D383" s="348"/>
      <c r="E383" s="354"/>
      <c r="F383" s="349"/>
      <c r="G383" s="350"/>
      <c r="H383" s="894"/>
    </row>
    <row r="384" spans="1:8" ht="20.25">
      <c r="A384" s="341"/>
      <c r="B384" s="348"/>
      <c r="C384" s="348"/>
      <c r="D384" s="348"/>
      <c r="E384" s="354"/>
      <c r="F384" s="349"/>
      <c r="G384" s="350"/>
      <c r="H384" s="894"/>
    </row>
    <row r="385" spans="1:8" ht="20.25">
      <c r="A385" s="341"/>
      <c r="B385" s="348"/>
      <c r="C385" s="348"/>
      <c r="D385" s="348"/>
      <c r="E385" s="354"/>
      <c r="F385" s="349"/>
      <c r="G385" s="350"/>
      <c r="H385" s="894"/>
    </row>
    <row r="386" spans="1:8" ht="20.25">
      <c r="A386" s="341"/>
      <c r="B386" s="348"/>
      <c r="C386" s="348"/>
      <c r="D386" s="348"/>
      <c r="E386" s="354"/>
      <c r="F386" s="349"/>
      <c r="G386" s="350"/>
      <c r="H386" s="894"/>
    </row>
    <row r="387" spans="1:8" ht="20.25">
      <c r="A387" s="341"/>
      <c r="B387" s="348"/>
      <c r="C387" s="348"/>
      <c r="D387" s="348"/>
      <c r="E387" s="354"/>
      <c r="F387" s="349"/>
      <c r="G387" s="350"/>
      <c r="H387" s="894"/>
    </row>
    <row r="388" spans="1:8" ht="20.25">
      <c r="A388" s="341"/>
      <c r="B388" s="348"/>
      <c r="C388" s="348"/>
      <c r="D388" s="348"/>
      <c r="E388" s="354"/>
      <c r="F388" s="349"/>
      <c r="G388" s="350"/>
      <c r="H388" s="894"/>
    </row>
    <row r="389" spans="1:8" ht="20.25">
      <c r="A389" s="341"/>
      <c r="B389" s="348"/>
      <c r="C389" s="348"/>
      <c r="D389" s="348"/>
      <c r="E389" s="354"/>
      <c r="F389" s="349"/>
      <c r="G389" s="350"/>
      <c r="H389" s="894"/>
    </row>
    <row r="390" spans="1:8" ht="20.25">
      <c r="A390" s="341"/>
      <c r="B390" s="348"/>
      <c r="C390" s="348"/>
      <c r="D390" s="348"/>
      <c r="E390" s="354"/>
      <c r="F390" s="349"/>
      <c r="G390" s="350"/>
      <c r="H390" s="894"/>
    </row>
    <row r="391" spans="1:8" ht="20.25">
      <c r="A391" s="341"/>
      <c r="B391" s="348"/>
      <c r="C391" s="348"/>
      <c r="D391" s="348"/>
      <c r="E391" s="354"/>
      <c r="F391" s="349"/>
      <c r="G391" s="350"/>
      <c r="H391" s="894"/>
    </row>
    <row r="392" spans="1:8" ht="20.25">
      <c r="A392" s="341"/>
      <c r="B392" s="348"/>
      <c r="C392" s="348"/>
      <c r="D392" s="348"/>
      <c r="E392" s="354"/>
      <c r="F392" s="349"/>
      <c r="G392" s="350"/>
      <c r="H392" s="894"/>
    </row>
    <row r="393" spans="1:8" ht="20.25">
      <c r="A393" s="341"/>
      <c r="B393" s="348"/>
      <c r="C393" s="348"/>
      <c r="D393" s="348"/>
      <c r="E393" s="354"/>
      <c r="F393" s="349"/>
      <c r="G393" s="350"/>
      <c r="H393" s="894"/>
    </row>
    <row r="394" spans="1:8" ht="20.25">
      <c r="A394" s="341"/>
      <c r="B394" s="348"/>
      <c r="C394" s="348"/>
      <c r="D394" s="348"/>
      <c r="E394" s="354"/>
      <c r="F394" s="349"/>
      <c r="G394" s="350"/>
      <c r="H394" s="894"/>
    </row>
    <row r="395" spans="1:8" ht="20.25">
      <c r="A395" s="341"/>
      <c r="B395" s="348"/>
      <c r="C395" s="348"/>
      <c r="D395" s="348"/>
      <c r="E395" s="354"/>
      <c r="F395" s="349"/>
      <c r="G395" s="350"/>
      <c r="H395" s="894"/>
    </row>
    <row r="396" spans="1:8" ht="20.25">
      <c r="A396" s="341"/>
      <c r="B396" s="348"/>
      <c r="C396" s="348"/>
      <c r="D396" s="348"/>
      <c r="E396" s="354"/>
      <c r="F396" s="349"/>
      <c r="G396" s="350"/>
      <c r="H396" s="894"/>
    </row>
    <row r="397" spans="1:8" ht="20.25">
      <c r="A397" s="341"/>
      <c r="B397" s="348"/>
      <c r="C397" s="348"/>
      <c r="D397" s="348"/>
      <c r="E397" s="354"/>
      <c r="F397" s="349"/>
      <c r="G397" s="350"/>
      <c r="H397" s="894"/>
    </row>
    <row r="398" spans="1:8" ht="20.25">
      <c r="A398" s="341"/>
      <c r="B398" s="348"/>
      <c r="C398" s="348"/>
      <c r="D398" s="348"/>
      <c r="E398" s="354"/>
      <c r="F398" s="349"/>
      <c r="G398" s="350"/>
      <c r="H398" s="894"/>
    </row>
    <row r="399" spans="1:8" ht="20.25">
      <c r="A399" s="341"/>
      <c r="B399" s="348"/>
      <c r="C399" s="348"/>
      <c r="D399" s="348"/>
      <c r="E399" s="354"/>
      <c r="F399" s="349"/>
      <c r="G399" s="350"/>
      <c r="H399" s="894"/>
    </row>
    <row r="400" spans="1:8" ht="20.25">
      <c r="A400" s="341"/>
      <c r="B400" s="348"/>
      <c r="C400" s="348"/>
      <c r="D400" s="348"/>
      <c r="E400" s="354"/>
      <c r="F400" s="349"/>
      <c r="G400" s="350"/>
      <c r="H400" s="894"/>
    </row>
    <row r="401" spans="1:8" ht="20.25">
      <c r="A401" s="341"/>
      <c r="B401" s="348"/>
      <c r="C401" s="348"/>
      <c r="D401" s="348"/>
      <c r="E401" s="354"/>
      <c r="F401" s="349"/>
      <c r="G401" s="350"/>
      <c r="H401" s="894"/>
    </row>
    <row r="402" spans="1:8" ht="20.25">
      <c r="A402" s="341"/>
      <c r="B402" s="348"/>
      <c r="C402" s="348"/>
      <c r="D402" s="348"/>
      <c r="E402" s="354"/>
      <c r="F402" s="349"/>
      <c r="G402" s="350"/>
      <c r="H402" s="894"/>
    </row>
    <row r="403" spans="1:8" ht="20.25">
      <c r="A403" s="341"/>
      <c r="B403" s="348"/>
      <c r="C403" s="348"/>
      <c r="D403" s="348"/>
      <c r="E403" s="354"/>
      <c r="F403" s="349"/>
      <c r="G403" s="350"/>
      <c r="H403" s="894"/>
    </row>
    <row r="404" spans="1:8" ht="20.25">
      <c r="A404" s="341"/>
      <c r="B404" s="348"/>
      <c r="C404" s="348"/>
      <c r="D404" s="348"/>
      <c r="E404" s="354"/>
      <c r="F404" s="349"/>
      <c r="G404" s="350"/>
      <c r="H404" s="894"/>
    </row>
    <row r="405" spans="1:8" ht="20.25">
      <c r="A405" s="341"/>
      <c r="B405" s="348"/>
      <c r="C405" s="348"/>
      <c r="D405" s="348"/>
      <c r="E405" s="354"/>
      <c r="F405" s="349"/>
      <c r="G405" s="350"/>
      <c r="H405" s="894"/>
    </row>
    <row r="406" spans="1:8" ht="20.25">
      <c r="A406" s="341"/>
      <c r="B406" s="348"/>
      <c r="C406" s="348"/>
      <c r="D406" s="348"/>
      <c r="E406" s="354"/>
      <c r="F406" s="349"/>
      <c r="G406" s="350"/>
      <c r="H406" s="894"/>
    </row>
    <row r="407" spans="1:8" ht="20.25">
      <c r="A407" s="341"/>
      <c r="B407" s="348"/>
      <c r="C407" s="348"/>
      <c r="D407" s="348"/>
      <c r="E407" s="354"/>
      <c r="F407" s="349"/>
      <c r="G407" s="350"/>
      <c r="H407" s="894"/>
    </row>
    <row r="408" spans="1:8" ht="20.25">
      <c r="A408" s="341"/>
      <c r="B408" s="348"/>
      <c r="C408" s="348"/>
      <c r="D408" s="348"/>
      <c r="E408" s="354"/>
      <c r="F408" s="349"/>
      <c r="G408" s="350"/>
      <c r="H408" s="894"/>
    </row>
    <row r="409" spans="1:8" ht="20.25">
      <c r="A409" s="341"/>
      <c r="B409" s="348"/>
      <c r="C409" s="348"/>
      <c r="D409" s="348"/>
      <c r="E409" s="354"/>
      <c r="F409" s="349"/>
      <c r="G409" s="350"/>
      <c r="H409" s="894"/>
    </row>
    <row r="410" spans="1:8" ht="20.25">
      <c r="A410" s="341"/>
      <c r="B410" s="348"/>
      <c r="C410" s="348"/>
      <c r="D410" s="348"/>
      <c r="E410" s="354"/>
      <c r="F410" s="349"/>
      <c r="G410" s="350"/>
      <c r="H410" s="894"/>
    </row>
    <row r="411" spans="1:8" ht="20.25">
      <c r="A411" s="341"/>
      <c r="B411" s="348"/>
      <c r="C411" s="348"/>
      <c r="D411" s="348"/>
      <c r="E411" s="354"/>
      <c r="F411" s="349"/>
      <c r="G411" s="350"/>
      <c r="H411" s="894"/>
    </row>
    <row r="412" spans="1:8" ht="20.25">
      <c r="A412" s="341"/>
      <c r="B412" s="348"/>
      <c r="C412" s="348"/>
      <c r="D412" s="348"/>
      <c r="E412" s="354"/>
      <c r="F412" s="349"/>
      <c r="G412" s="350"/>
      <c r="H412" s="894"/>
    </row>
    <row r="413" spans="1:8" ht="20.25">
      <c r="A413" s="341"/>
      <c r="B413" s="348"/>
      <c r="C413" s="348"/>
      <c r="D413" s="348"/>
      <c r="E413" s="354"/>
      <c r="F413" s="349"/>
      <c r="G413" s="350"/>
      <c r="H413" s="894"/>
    </row>
    <row r="414" spans="1:8" ht="20.25">
      <c r="A414" s="341"/>
      <c r="B414" s="348"/>
      <c r="C414" s="348"/>
      <c r="D414" s="348"/>
      <c r="E414" s="354"/>
      <c r="F414" s="349"/>
      <c r="G414" s="350"/>
      <c r="H414" s="894"/>
    </row>
    <row r="415" spans="1:8" ht="20.25">
      <c r="A415" s="341"/>
      <c r="B415" s="348"/>
      <c r="C415" s="348"/>
      <c r="D415" s="348"/>
      <c r="E415" s="354"/>
      <c r="F415" s="349"/>
      <c r="G415" s="350"/>
      <c r="H415" s="894"/>
    </row>
    <row r="416" spans="1:8" ht="20.25">
      <c r="A416" s="341"/>
      <c r="B416" s="348"/>
      <c r="C416" s="348"/>
      <c r="D416" s="348"/>
      <c r="E416" s="354"/>
      <c r="F416" s="349"/>
      <c r="G416" s="350"/>
      <c r="H416" s="894"/>
    </row>
    <row r="417" spans="1:8" ht="20.25">
      <c r="A417" s="341"/>
      <c r="B417" s="348"/>
      <c r="C417" s="348"/>
      <c r="D417" s="348"/>
      <c r="E417" s="354"/>
      <c r="F417" s="349"/>
      <c r="G417" s="350"/>
      <c r="H417" s="894"/>
    </row>
    <row r="418" spans="1:8" ht="20.25">
      <c r="A418" s="341"/>
      <c r="B418" s="348"/>
      <c r="C418" s="348"/>
      <c r="D418" s="348"/>
      <c r="E418" s="354"/>
      <c r="F418" s="349"/>
      <c r="G418" s="350"/>
      <c r="H418" s="894"/>
    </row>
    <row r="419" spans="1:8" ht="20.25">
      <c r="A419" s="341"/>
      <c r="B419" s="348"/>
      <c r="C419" s="348"/>
      <c r="D419" s="348"/>
      <c r="E419" s="354"/>
      <c r="F419" s="349"/>
      <c r="G419" s="350"/>
      <c r="H419" s="894"/>
    </row>
    <row r="420" spans="1:8" ht="20.25">
      <c r="A420" s="341"/>
      <c r="B420" s="348"/>
      <c r="C420" s="348"/>
      <c r="D420" s="348"/>
      <c r="E420" s="354"/>
      <c r="F420" s="349"/>
      <c r="G420" s="350"/>
      <c r="H420" s="894"/>
    </row>
    <row r="421" spans="1:8" ht="20.25">
      <c r="A421" s="341"/>
      <c r="B421" s="348"/>
      <c r="C421" s="348"/>
      <c r="D421" s="348"/>
      <c r="E421" s="354"/>
      <c r="F421" s="349"/>
      <c r="G421" s="350"/>
      <c r="H421" s="894"/>
    </row>
    <row r="422" spans="1:8" ht="20.25">
      <c r="A422" s="341"/>
      <c r="B422" s="348"/>
      <c r="C422" s="348"/>
      <c r="D422" s="348"/>
      <c r="E422" s="354"/>
      <c r="F422" s="349"/>
      <c r="G422" s="350"/>
      <c r="H422" s="894"/>
    </row>
    <row r="423" spans="1:8" ht="20.25">
      <c r="A423" s="341"/>
      <c r="B423" s="348"/>
      <c r="C423" s="348"/>
      <c r="D423" s="348"/>
      <c r="E423" s="354"/>
      <c r="F423" s="349"/>
      <c r="G423" s="350"/>
      <c r="H423" s="894"/>
    </row>
    <row r="424" spans="1:8" ht="20.25">
      <c r="A424" s="341"/>
      <c r="B424" s="348"/>
      <c r="C424" s="348"/>
      <c r="D424" s="348"/>
      <c r="E424" s="354"/>
      <c r="F424" s="349"/>
      <c r="G424" s="350"/>
      <c r="H424" s="894"/>
    </row>
    <row r="425" spans="1:8" ht="20.25">
      <c r="A425" s="341"/>
      <c r="B425" s="348"/>
      <c r="C425" s="348"/>
      <c r="D425" s="348"/>
      <c r="E425" s="354"/>
      <c r="F425" s="349"/>
      <c r="G425" s="350"/>
      <c r="H425" s="894"/>
    </row>
    <row r="426" spans="1:8" ht="20.25">
      <c r="A426" s="341"/>
      <c r="B426" s="348"/>
      <c r="C426" s="348"/>
      <c r="D426" s="348"/>
      <c r="E426" s="354"/>
      <c r="F426" s="349"/>
      <c r="G426" s="350"/>
      <c r="H426" s="894"/>
    </row>
    <row r="427" spans="1:8" ht="20.25">
      <c r="A427" s="341"/>
      <c r="B427" s="348"/>
      <c r="C427" s="348"/>
      <c r="D427" s="348"/>
      <c r="E427" s="354"/>
      <c r="F427" s="349"/>
      <c r="G427" s="350"/>
      <c r="H427" s="894"/>
    </row>
    <row r="428" spans="1:8" ht="20.25">
      <c r="A428" s="341"/>
      <c r="B428" s="348"/>
      <c r="C428" s="348"/>
      <c r="D428" s="348"/>
      <c r="E428" s="354"/>
      <c r="F428" s="349"/>
      <c r="G428" s="350"/>
      <c r="H428" s="894"/>
    </row>
    <row r="429" spans="1:8" ht="20.25">
      <c r="A429" s="341"/>
      <c r="B429" s="348"/>
      <c r="C429" s="348"/>
      <c r="D429" s="348"/>
      <c r="E429" s="354"/>
      <c r="F429" s="349"/>
      <c r="G429" s="350"/>
      <c r="H429" s="894"/>
    </row>
    <row r="430" spans="1:8" ht="20.25">
      <c r="A430" s="341"/>
      <c r="B430" s="348"/>
      <c r="C430" s="348"/>
      <c r="D430" s="348"/>
      <c r="E430" s="354"/>
      <c r="F430" s="349"/>
      <c r="G430" s="350"/>
      <c r="H430" s="894"/>
    </row>
    <row r="431" spans="1:8" ht="20.25">
      <c r="A431" s="341"/>
      <c r="B431" s="348"/>
      <c r="C431" s="348"/>
      <c r="D431" s="348"/>
      <c r="E431" s="354"/>
      <c r="F431" s="349"/>
      <c r="G431" s="350"/>
      <c r="H431" s="894"/>
    </row>
    <row r="432" spans="1:8" ht="20.25">
      <c r="A432" s="341"/>
      <c r="B432" s="348"/>
      <c r="C432" s="348"/>
      <c r="D432" s="348"/>
      <c r="E432" s="354"/>
      <c r="F432" s="349"/>
      <c r="G432" s="350"/>
      <c r="H432" s="894"/>
    </row>
    <row r="433" spans="1:8" ht="20.25">
      <c r="A433" s="341"/>
      <c r="B433" s="348"/>
      <c r="C433" s="348"/>
      <c r="D433" s="348"/>
      <c r="E433" s="354"/>
      <c r="F433" s="349"/>
      <c r="G433" s="350"/>
      <c r="H433" s="894"/>
    </row>
    <row r="434" spans="1:8" ht="20.25">
      <c r="A434" s="341"/>
      <c r="B434" s="348"/>
      <c r="C434" s="348"/>
      <c r="D434" s="348"/>
      <c r="E434" s="354"/>
      <c r="F434" s="349"/>
      <c r="G434" s="350"/>
      <c r="H434" s="894"/>
    </row>
    <row r="435" spans="1:8" ht="20.25">
      <c r="A435" s="341"/>
      <c r="B435" s="348"/>
      <c r="C435" s="348"/>
      <c r="D435" s="348"/>
      <c r="E435" s="354"/>
      <c r="F435" s="349"/>
      <c r="G435" s="350"/>
      <c r="H435" s="894"/>
    </row>
    <row r="436" spans="1:8" ht="20.25">
      <c r="A436" s="341"/>
      <c r="B436" s="348"/>
      <c r="C436" s="348"/>
      <c r="D436" s="348"/>
      <c r="E436" s="354"/>
      <c r="F436" s="349"/>
      <c r="G436" s="350"/>
      <c r="H436" s="894"/>
    </row>
    <row r="437" spans="1:8" ht="20.25">
      <c r="A437" s="341"/>
      <c r="B437" s="348"/>
      <c r="C437" s="348"/>
      <c r="D437" s="348"/>
      <c r="E437" s="354"/>
      <c r="F437" s="349"/>
      <c r="G437" s="350"/>
      <c r="H437" s="894"/>
    </row>
    <row r="438" spans="1:8" ht="20.25">
      <c r="A438" s="341"/>
      <c r="B438" s="348"/>
      <c r="C438" s="348"/>
      <c r="D438" s="348"/>
      <c r="E438" s="354"/>
      <c r="F438" s="349"/>
      <c r="G438" s="350"/>
      <c r="H438" s="894"/>
    </row>
    <row r="439" spans="1:8" ht="20.25">
      <c r="A439" s="341"/>
      <c r="B439" s="348"/>
      <c r="C439" s="348"/>
      <c r="D439" s="348"/>
      <c r="E439" s="354"/>
      <c r="F439" s="349"/>
      <c r="G439" s="350"/>
      <c r="H439" s="894"/>
    </row>
    <row r="440" spans="1:8" ht="20.25">
      <c r="A440" s="341"/>
      <c r="B440" s="348"/>
      <c r="C440" s="348"/>
      <c r="D440" s="348"/>
      <c r="E440" s="354"/>
      <c r="F440" s="349"/>
      <c r="G440" s="350"/>
      <c r="H440" s="894"/>
    </row>
    <row r="441" spans="1:8" ht="20.25">
      <c r="A441" s="341"/>
      <c r="B441" s="348"/>
      <c r="C441" s="348"/>
      <c r="D441" s="348"/>
      <c r="E441" s="354"/>
      <c r="F441" s="349"/>
      <c r="G441" s="350"/>
      <c r="H441" s="894"/>
    </row>
    <row r="442" spans="1:8" ht="20.25">
      <c r="A442" s="341"/>
      <c r="B442" s="348"/>
      <c r="C442" s="348"/>
      <c r="D442" s="348"/>
      <c r="E442" s="354"/>
      <c r="F442" s="349"/>
      <c r="G442" s="350"/>
      <c r="H442" s="894"/>
    </row>
    <row r="443" spans="1:8" ht="20.25">
      <c r="A443" s="341"/>
      <c r="B443" s="348"/>
      <c r="C443" s="348"/>
      <c r="D443" s="348"/>
      <c r="E443" s="354"/>
      <c r="F443" s="349"/>
      <c r="G443" s="350"/>
      <c r="H443" s="894"/>
    </row>
    <row r="444" spans="1:8" ht="20.25">
      <c r="A444" s="341"/>
      <c r="B444" s="348"/>
      <c r="C444" s="348"/>
      <c r="D444" s="348"/>
      <c r="E444" s="354"/>
      <c r="F444" s="349"/>
      <c r="G444" s="350"/>
      <c r="H444" s="894"/>
    </row>
    <row r="445" spans="1:8" ht="20.25">
      <c r="A445" s="341"/>
      <c r="B445" s="348"/>
      <c r="C445" s="348"/>
      <c r="D445" s="348"/>
      <c r="E445" s="354"/>
      <c r="F445" s="349"/>
      <c r="G445" s="350"/>
      <c r="H445" s="894"/>
    </row>
    <row r="446" spans="1:8" ht="20.25">
      <c r="A446" s="341"/>
      <c r="B446" s="348"/>
      <c r="C446" s="348"/>
      <c r="D446" s="348"/>
      <c r="E446" s="354"/>
      <c r="F446" s="349"/>
      <c r="G446" s="350"/>
      <c r="H446" s="894"/>
    </row>
    <row r="447" spans="1:8" ht="20.25">
      <c r="A447" s="341"/>
      <c r="B447" s="348"/>
      <c r="C447" s="348"/>
      <c r="D447" s="348"/>
      <c r="E447" s="354"/>
      <c r="F447" s="349"/>
      <c r="G447" s="350"/>
      <c r="H447" s="894"/>
    </row>
    <row r="448" spans="1:8" ht="20.25">
      <c r="A448" s="341"/>
      <c r="B448" s="348"/>
      <c r="C448" s="348"/>
      <c r="D448" s="348"/>
      <c r="E448" s="354"/>
      <c r="F448" s="349"/>
      <c r="G448" s="350"/>
      <c r="H448" s="894"/>
    </row>
    <row r="449" spans="1:8" ht="20.25">
      <c r="A449" s="341"/>
      <c r="B449" s="348"/>
      <c r="C449" s="348"/>
      <c r="D449" s="348"/>
      <c r="E449" s="354"/>
      <c r="F449" s="349"/>
      <c r="G449" s="350"/>
      <c r="H449" s="894"/>
    </row>
    <row r="450" spans="1:8" ht="20.25">
      <c r="A450" s="341"/>
      <c r="B450" s="348"/>
      <c r="C450" s="348"/>
      <c r="D450" s="348"/>
      <c r="E450" s="354"/>
      <c r="F450" s="349"/>
      <c r="G450" s="350"/>
      <c r="H450" s="894"/>
    </row>
    <row r="451" spans="1:8" ht="20.25">
      <c r="A451" s="341"/>
      <c r="B451" s="348"/>
      <c r="C451" s="348"/>
      <c r="D451" s="348"/>
      <c r="E451" s="354"/>
      <c r="F451" s="349"/>
      <c r="G451" s="350"/>
      <c r="H451" s="894"/>
    </row>
    <row r="452" spans="1:8" ht="20.25">
      <c r="A452" s="341"/>
      <c r="B452" s="348"/>
      <c r="C452" s="348"/>
      <c r="D452" s="348"/>
      <c r="E452" s="354"/>
      <c r="F452" s="349"/>
      <c r="G452" s="350"/>
      <c r="H452" s="894"/>
    </row>
    <row r="453" spans="1:8" ht="20.25">
      <c r="A453" s="341"/>
      <c r="B453" s="348"/>
      <c r="C453" s="348"/>
      <c r="D453" s="348"/>
      <c r="E453" s="354"/>
      <c r="F453" s="349"/>
      <c r="G453" s="350"/>
      <c r="H453" s="894"/>
    </row>
    <row r="454" spans="1:8" ht="20.25">
      <c r="A454" s="341"/>
      <c r="B454" s="348"/>
      <c r="C454" s="348"/>
      <c r="D454" s="348"/>
      <c r="E454" s="354"/>
      <c r="F454" s="349"/>
      <c r="G454" s="350"/>
      <c r="H454" s="894"/>
    </row>
    <row r="455" spans="1:8" ht="20.25">
      <c r="A455" s="341"/>
      <c r="B455" s="348"/>
      <c r="C455" s="348"/>
      <c r="D455" s="348"/>
      <c r="E455" s="354"/>
      <c r="F455" s="349"/>
      <c r="G455" s="350"/>
      <c r="H455" s="894"/>
    </row>
    <row r="456" spans="1:8" ht="20.25">
      <c r="A456" s="341"/>
      <c r="B456" s="348"/>
      <c r="C456" s="348"/>
      <c r="D456" s="348"/>
      <c r="E456" s="354"/>
      <c r="F456" s="349"/>
      <c r="G456" s="350"/>
      <c r="H456" s="894"/>
    </row>
    <row r="457" spans="1:8" ht="20.25">
      <c r="A457" s="341"/>
      <c r="B457" s="348"/>
      <c r="C457" s="348"/>
      <c r="D457" s="348"/>
      <c r="E457" s="354"/>
      <c r="F457" s="349"/>
      <c r="G457" s="350"/>
      <c r="H457" s="894"/>
    </row>
    <row r="458" spans="1:8" ht="20.25">
      <c r="A458" s="341"/>
      <c r="B458" s="348"/>
      <c r="C458" s="348"/>
      <c r="D458" s="348"/>
      <c r="E458" s="354"/>
      <c r="F458" s="349"/>
      <c r="G458" s="350"/>
      <c r="H458" s="894"/>
    </row>
    <row r="459" spans="1:8" ht="20.25">
      <c r="A459" s="341"/>
      <c r="B459" s="348"/>
      <c r="C459" s="348"/>
      <c r="D459" s="348"/>
      <c r="E459" s="354"/>
      <c r="F459" s="349"/>
      <c r="G459" s="350"/>
      <c r="H459" s="894"/>
    </row>
    <row r="460" spans="1:8" ht="20.25">
      <c r="A460" s="341"/>
      <c r="B460" s="348"/>
      <c r="C460" s="348"/>
      <c r="D460" s="348"/>
      <c r="E460" s="354"/>
      <c r="F460" s="349"/>
      <c r="G460" s="350"/>
      <c r="H460" s="894"/>
    </row>
    <row r="461" spans="1:8" ht="20.25">
      <c r="A461" s="341"/>
      <c r="B461" s="348"/>
      <c r="C461" s="348"/>
      <c r="D461" s="348"/>
      <c r="E461" s="354"/>
      <c r="F461" s="349"/>
      <c r="G461" s="350"/>
      <c r="H461" s="894"/>
    </row>
    <row r="462" spans="1:8" ht="20.25">
      <c r="A462" s="341"/>
      <c r="B462" s="348"/>
      <c r="C462" s="348"/>
      <c r="D462" s="348"/>
      <c r="E462" s="354"/>
      <c r="F462" s="349"/>
      <c r="G462" s="350"/>
      <c r="H462" s="894"/>
    </row>
    <row r="463" spans="1:8" ht="20.25">
      <c r="A463" s="341"/>
      <c r="B463" s="348"/>
      <c r="C463" s="348"/>
      <c r="D463" s="348"/>
      <c r="E463" s="354"/>
      <c r="F463" s="349"/>
      <c r="G463" s="350"/>
      <c r="H463" s="894"/>
    </row>
    <row r="464" spans="1:8" ht="20.25">
      <c r="A464" s="341"/>
      <c r="B464" s="348"/>
      <c r="C464" s="348"/>
      <c r="D464" s="348"/>
      <c r="E464" s="354"/>
      <c r="F464" s="349"/>
      <c r="G464" s="350"/>
      <c r="H464" s="894"/>
    </row>
    <row r="465" spans="1:8" ht="20.25">
      <c r="A465" s="341"/>
      <c r="B465" s="348"/>
      <c r="C465" s="348"/>
      <c r="D465" s="348"/>
      <c r="E465" s="354"/>
      <c r="F465" s="349"/>
      <c r="G465" s="350"/>
      <c r="H465" s="894"/>
    </row>
    <row r="466" spans="1:8" ht="20.25">
      <c r="A466" s="341"/>
      <c r="B466" s="348"/>
      <c r="C466" s="348"/>
      <c r="D466" s="348"/>
      <c r="E466" s="354"/>
      <c r="F466" s="349"/>
      <c r="G466" s="350"/>
      <c r="H466" s="894"/>
    </row>
    <row r="467" spans="1:8" ht="20.25">
      <c r="A467" s="341"/>
      <c r="B467" s="348"/>
      <c r="C467" s="348"/>
      <c r="D467" s="348"/>
      <c r="E467" s="354"/>
      <c r="F467" s="349"/>
      <c r="G467" s="350"/>
      <c r="H467" s="894"/>
    </row>
    <row r="468" spans="1:8" ht="20.25">
      <c r="A468" s="341"/>
      <c r="B468" s="348"/>
      <c r="C468" s="348"/>
      <c r="D468" s="348"/>
      <c r="E468" s="354"/>
      <c r="F468" s="349"/>
      <c r="G468" s="350"/>
      <c r="H468" s="894"/>
    </row>
    <row r="469" spans="1:8" ht="20.25">
      <c r="A469" s="341"/>
      <c r="B469" s="348"/>
      <c r="C469" s="348"/>
      <c r="D469" s="348"/>
      <c r="E469" s="354"/>
      <c r="F469" s="349"/>
      <c r="G469" s="350"/>
      <c r="H469" s="894"/>
    </row>
    <row r="470" spans="1:8" ht="20.25">
      <c r="A470" s="341"/>
      <c r="B470" s="348"/>
      <c r="C470" s="348"/>
      <c r="D470" s="348"/>
      <c r="E470" s="354"/>
      <c r="F470" s="349"/>
      <c r="G470" s="350"/>
      <c r="H470" s="894"/>
    </row>
    <row r="471" spans="1:8" ht="20.25">
      <c r="A471" s="341"/>
      <c r="B471" s="348"/>
      <c r="C471" s="348"/>
      <c r="D471" s="348"/>
      <c r="E471" s="354"/>
      <c r="F471" s="349"/>
      <c r="G471" s="350"/>
      <c r="H471" s="894"/>
    </row>
    <row r="472" spans="1:8" ht="20.25">
      <c r="A472" s="341"/>
      <c r="B472" s="348"/>
      <c r="C472" s="348"/>
      <c r="D472" s="348"/>
      <c r="E472" s="354"/>
      <c r="F472" s="349"/>
      <c r="G472" s="350"/>
      <c r="H472" s="894"/>
    </row>
    <row r="473" spans="1:8" ht="20.25">
      <c r="A473" s="341"/>
      <c r="B473" s="348"/>
      <c r="C473" s="348"/>
      <c r="D473" s="348"/>
      <c r="E473" s="354"/>
      <c r="F473" s="349"/>
      <c r="G473" s="350"/>
      <c r="H473" s="894"/>
    </row>
    <row r="474" spans="1:8" ht="20.25">
      <c r="A474" s="341"/>
      <c r="B474" s="348"/>
      <c r="C474" s="348"/>
      <c r="D474" s="348"/>
      <c r="E474" s="354"/>
      <c r="F474" s="349"/>
      <c r="G474" s="350"/>
      <c r="H474" s="894"/>
    </row>
    <row r="475" spans="1:8" ht="20.25">
      <c r="A475" s="341"/>
      <c r="B475" s="348"/>
      <c r="C475" s="348"/>
      <c r="D475" s="348"/>
      <c r="E475" s="354"/>
      <c r="F475" s="349"/>
      <c r="G475" s="350"/>
      <c r="H475" s="894"/>
    </row>
    <row r="476" spans="1:8" ht="20.25">
      <c r="A476" s="341"/>
      <c r="B476" s="348"/>
      <c r="C476" s="348"/>
      <c r="D476" s="348"/>
      <c r="E476" s="354"/>
      <c r="F476" s="349"/>
      <c r="G476" s="350"/>
      <c r="H476" s="894"/>
    </row>
    <row r="477" spans="1:8" ht="20.25">
      <c r="A477" s="341"/>
      <c r="B477" s="348"/>
      <c r="C477" s="348"/>
      <c r="D477" s="348"/>
      <c r="E477" s="354"/>
      <c r="F477" s="349"/>
      <c r="G477" s="350"/>
      <c r="H477" s="894"/>
    </row>
    <row r="478" spans="1:8" ht="20.25">
      <c r="A478" s="341"/>
      <c r="B478" s="348"/>
      <c r="C478" s="348"/>
      <c r="D478" s="348"/>
      <c r="E478" s="354"/>
      <c r="F478" s="349"/>
      <c r="G478" s="350"/>
      <c r="H478" s="894"/>
    </row>
    <row r="479" spans="1:8" ht="20.25">
      <c r="A479" s="341"/>
      <c r="B479" s="348"/>
      <c r="C479" s="348"/>
      <c r="D479" s="348"/>
      <c r="E479" s="354"/>
      <c r="F479" s="349"/>
      <c r="G479" s="350"/>
      <c r="H479" s="894"/>
    </row>
    <row r="480" spans="1:8" ht="20.25">
      <c r="A480" s="341"/>
      <c r="B480" s="348"/>
      <c r="C480" s="348"/>
      <c r="D480" s="348"/>
      <c r="E480" s="354"/>
      <c r="F480" s="349"/>
      <c r="G480" s="350"/>
      <c r="H480" s="894"/>
    </row>
    <row r="481" spans="1:8" ht="20.25">
      <c r="A481" s="341"/>
      <c r="B481" s="348"/>
      <c r="C481" s="348"/>
      <c r="D481" s="348"/>
      <c r="E481" s="354"/>
      <c r="F481" s="349"/>
      <c r="G481" s="350"/>
      <c r="H481" s="894"/>
    </row>
    <row r="482" spans="1:8" ht="20.25">
      <c r="A482" s="341"/>
      <c r="B482" s="348"/>
      <c r="C482" s="348"/>
      <c r="D482" s="348"/>
      <c r="E482" s="354"/>
      <c r="F482" s="349"/>
      <c r="G482" s="350"/>
      <c r="H482" s="894"/>
    </row>
    <row r="483" spans="1:8" ht="20.25">
      <c r="A483" s="341"/>
      <c r="B483" s="348"/>
      <c r="C483" s="348"/>
      <c r="D483" s="348"/>
      <c r="E483" s="354"/>
      <c r="F483" s="349"/>
      <c r="G483" s="350"/>
      <c r="H483" s="894"/>
    </row>
    <row r="484" spans="1:8" ht="20.25">
      <c r="A484" s="341"/>
      <c r="B484" s="348"/>
      <c r="C484" s="348"/>
      <c r="D484" s="348"/>
      <c r="E484" s="354"/>
      <c r="F484" s="349"/>
      <c r="G484" s="350"/>
      <c r="H484" s="894"/>
    </row>
    <row r="485" spans="1:8" ht="20.25">
      <c r="A485" s="341"/>
      <c r="B485" s="348"/>
      <c r="C485" s="348"/>
      <c r="D485" s="348"/>
      <c r="E485" s="354"/>
      <c r="F485" s="349"/>
      <c r="G485" s="350"/>
      <c r="H485" s="894"/>
    </row>
    <row r="486" spans="1:8" ht="20.25">
      <c r="A486" s="341"/>
      <c r="B486" s="348"/>
      <c r="C486" s="348"/>
      <c r="D486" s="348"/>
      <c r="E486" s="354"/>
      <c r="F486" s="349"/>
      <c r="G486" s="350"/>
      <c r="H486" s="894"/>
    </row>
    <row r="487" spans="1:8" ht="20.25">
      <c r="A487" s="341"/>
      <c r="B487" s="348"/>
      <c r="C487" s="348"/>
      <c r="D487" s="348"/>
      <c r="E487" s="354"/>
      <c r="F487" s="349"/>
      <c r="G487" s="350"/>
      <c r="H487" s="894"/>
    </row>
    <row r="488" spans="1:8" ht="20.25">
      <c r="A488" s="341"/>
      <c r="B488" s="348"/>
      <c r="C488" s="348"/>
      <c r="D488" s="348"/>
      <c r="E488" s="354"/>
      <c r="F488" s="349"/>
      <c r="G488" s="350"/>
      <c r="H488" s="894"/>
    </row>
    <row r="489" spans="1:8" ht="20.25">
      <c r="A489" s="341"/>
      <c r="B489" s="348"/>
      <c r="C489" s="348"/>
      <c r="D489" s="348"/>
      <c r="E489" s="354"/>
      <c r="F489" s="349"/>
      <c r="G489" s="350"/>
      <c r="H489" s="894"/>
    </row>
    <row r="490" spans="1:8" ht="20.25">
      <c r="A490" s="341"/>
      <c r="B490" s="348"/>
      <c r="C490" s="348"/>
      <c r="D490" s="348"/>
      <c r="E490" s="354"/>
      <c r="F490" s="349"/>
      <c r="G490" s="350"/>
      <c r="H490" s="894"/>
    </row>
    <row r="491" spans="1:8" ht="20.25">
      <c r="A491" s="341"/>
      <c r="B491" s="348"/>
      <c r="C491" s="348"/>
      <c r="D491" s="348"/>
      <c r="E491" s="354"/>
      <c r="F491" s="349"/>
      <c r="G491" s="350"/>
      <c r="H491" s="894"/>
    </row>
    <row r="492" spans="1:8" ht="20.25">
      <c r="A492" s="341"/>
      <c r="B492" s="348"/>
      <c r="C492" s="348"/>
      <c r="D492" s="348"/>
      <c r="E492" s="354"/>
      <c r="F492" s="349"/>
      <c r="G492" s="350"/>
      <c r="H492" s="894"/>
    </row>
    <row r="493" spans="1:8" ht="20.25">
      <c r="A493" s="341"/>
      <c r="B493" s="348"/>
      <c r="C493" s="348"/>
      <c r="D493" s="348"/>
      <c r="E493" s="354"/>
      <c r="F493" s="349"/>
      <c r="G493" s="350"/>
      <c r="H493" s="894"/>
    </row>
    <row r="494" spans="1:8" ht="20.25">
      <c r="A494" s="341"/>
      <c r="B494" s="348"/>
      <c r="C494" s="348"/>
      <c r="D494" s="348"/>
      <c r="E494" s="354"/>
      <c r="F494" s="349"/>
      <c r="G494" s="350"/>
      <c r="H494" s="894"/>
    </row>
    <row r="495" spans="1:8" ht="20.25">
      <c r="A495" s="341"/>
      <c r="B495" s="348"/>
      <c r="C495" s="348"/>
      <c r="D495" s="348"/>
      <c r="E495" s="354"/>
      <c r="F495" s="349"/>
      <c r="G495" s="350"/>
      <c r="H495" s="894"/>
    </row>
    <row r="496" spans="1:8" ht="20.25">
      <c r="A496" s="341"/>
      <c r="B496" s="348"/>
      <c r="C496" s="348"/>
      <c r="D496" s="348"/>
      <c r="E496" s="354"/>
      <c r="F496" s="349"/>
      <c r="G496" s="350"/>
      <c r="H496" s="894"/>
    </row>
    <row r="497" spans="1:8" ht="20.25">
      <c r="A497" s="341"/>
      <c r="B497" s="348"/>
      <c r="C497" s="348"/>
      <c r="D497" s="348"/>
      <c r="E497" s="354"/>
      <c r="F497" s="349"/>
      <c r="G497" s="350"/>
      <c r="H497" s="894"/>
    </row>
    <row r="498" spans="1:8" ht="20.25">
      <c r="A498" s="341"/>
      <c r="B498" s="348"/>
      <c r="C498" s="348"/>
      <c r="D498" s="348"/>
      <c r="E498" s="354"/>
      <c r="F498" s="349"/>
      <c r="G498" s="350"/>
      <c r="H498" s="894"/>
    </row>
    <row r="499" spans="1:8" ht="20.25">
      <c r="A499" s="341"/>
      <c r="B499" s="348"/>
      <c r="C499" s="348"/>
      <c r="D499" s="348"/>
      <c r="E499" s="354"/>
      <c r="F499" s="349"/>
      <c r="G499" s="350"/>
      <c r="H499" s="894"/>
    </row>
    <row r="500" spans="1:8" ht="20.25">
      <c r="A500" s="341"/>
      <c r="B500" s="348"/>
      <c r="C500" s="348"/>
      <c r="D500" s="348"/>
      <c r="E500" s="354"/>
      <c r="F500" s="349"/>
      <c r="G500" s="350"/>
      <c r="H500" s="894"/>
    </row>
    <row r="501" spans="1:8" ht="20.25">
      <c r="A501" s="341"/>
      <c r="B501" s="348"/>
      <c r="C501" s="348"/>
      <c r="D501" s="348"/>
      <c r="E501" s="354"/>
      <c r="F501" s="349"/>
      <c r="G501" s="350"/>
      <c r="H501" s="894"/>
    </row>
    <row r="502" spans="1:8" ht="20.25">
      <c r="A502" s="341"/>
      <c r="B502" s="348"/>
      <c r="C502" s="348"/>
      <c r="D502" s="348"/>
      <c r="E502" s="354"/>
      <c r="F502" s="349"/>
      <c r="G502" s="350"/>
      <c r="H502" s="894"/>
    </row>
    <row r="503" spans="1:8" ht="20.25">
      <c r="A503" s="341"/>
      <c r="B503" s="348"/>
      <c r="C503" s="348"/>
      <c r="D503" s="348"/>
      <c r="E503" s="354"/>
      <c r="F503" s="349"/>
      <c r="G503" s="350"/>
      <c r="H503" s="894"/>
    </row>
    <row r="504" spans="1:8" ht="20.25">
      <c r="A504" s="341"/>
      <c r="B504" s="348"/>
      <c r="C504" s="348"/>
      <c r="D504" s="348"/>
      <c r="E504" s="354"/>
      <c r="F504" s="349"/>
      <c r="G504" s="350"/>
      <c r="H504" s="894"/>
    </row>
    <row r="505" spans="1:8" ht="20.25">
      <c r="A505" s="341"/>
      <c r="B505" s="348"/>
      <c r="C505" s="348"/>
      <c r="D505" s="348"/>
      <c r="E505" s="354"/>
      <c r="F505" s="349"/>
      <c r="G505" s="350"/>
      <c r="H505" s="894"/>
    </row>
    <row r="506" spans="1:8" ht="20.25">
      <c r="A506" s="341"/>
      <c r="B506" s="348"/>
      <c r="C506" s="348"/>
      <c r="D506" s="348"/>
      <c r="E506" s="354"/>
      <c r="F506" s="349"/>
      <c r="G506" s="350"/>
      <c r="H506" s="894"/>
    </row>
    <row r="507" spans="1:8" ht="20.25">
      <c r="A507" s="341"/>
      <c r="B507" s="348"/>
      <c r="C507" s="348"/>
      <c r="D507" s="348"/>
      <c r="E507" s="354"/>
      <c r="F507" s="349"/>
      <c r="G507" s="350"/>
      <c r="H507" s="894"/>
    </row>
    <row r="508" spans="1:8" ht="20.25">
      <c r="A508" s="341"/>
      <c r="B508" s="348"/>
      <c r="C508" s="348"/>
      <c r="D508" s="348"/>
      <c r="E508" s="354"/>
      <c r="F508" s="349"/>
      <c r="G508" s="350"/>
      <c r="H508" s="894"/>
    </row>
    <row r="509" spans="1:8" ht="20.25">
      <c r="A509" s="341"/>
      <c r="B509" s="348"/>
      <c r="C509" s="348"/>
      <c r="D509" s="348"/>
      <c r="E509" s="354"/>
      <c r="F509" s="349"/>
      <c r="G509" s="350"/>
      <c r="H509" s="894"/>
    </row>
    <row r="510" spans="1:8" ht="20.25">
      <c r="A510" s="341"/>
      <c r="B510" s="348"/>
      <c r="C510" s="348"/>
      <c r="D510" s="348"/>
      <c r="E510" s="354"/>
      <c r="F510" s="349"/>
      <c r="G510" s="350"/>
      <c r="H510" s="894"/>
    </row>
    <row r="511" spans="1:8" ht="20.25">
      <c r="A511" s="341"/>
      <c r="B511" s="348"/>
      <c r="C511" s="348"/>
      <c r="D511" s="348"/>
      <c r="E511" s="354"/>
      <c r="F511" s="349"/>
      <c r="G511" s="350"/>
      <c r="H511" s="894"/>
    </row>
    <row r="512" spans="1:8" ht="20.25">
      <c r="A512" s="341"/>
      <c r="B512" s="348"/>
      <c r="C512" s="348"/>
      <c r="D512" s="348"/>
      <c r="E512" s="354"/>
      <c r="F512" s="349"/>
      <c r="G512" s="350"/>
      <c r="H512" s="894"/>
    </row>
    <row r="513" spans="1:8" ht="20.25">
      <c r="A513" s="341"/>
      <c r="B513" s="348"/>
      <c r="C513" s="348"/>
      <c r="D513" s="348"/>
      <c r="E513" s="354"/>
      <c r="F513" s="349"/>
      <c r="G513" s="350"/>
      <c r="H513" s="894"/>
    </row>
    <row r="514" spans="1:8" ht="20.25">
      <c r="A514" s="341"/>
      <c r="B514" s="348"/>
      <c r="C514" s="348"/>
      <c r="D514" s="348"/>
      <c r="E514" s="354"/>
      <c r="F514" s="349"/>
      <c r="G514" s="350"/>
      <c r="H514" s="894"/>
    </row>
    <row r="515" spans="1:8" ht="20.25">
      <c r="A515" s="341"/>
      <c r="B515" s="348"/>
      <c r="C515" s="348"/>
      <c r="D515" s="348"/>
      <c r="E515" s="354"/>
      <c r="F515" s="349"/>
      <c r="G515" s="350"/>
      <c r="H515" s="894"/>
    </row>
    <row r="516" spans="1:8" ht="20.25">
      <c r="A516" s="341"/>
      <c r="B516" s="348"/>
      <c r="C516" s="348"/>
      <c r="D516" s="348"/>
      <c r="E516" s="354"/>
      <c r="F516" s="349"/>
      <c r="G516" s="350"/>
      <c r="H516" s="894"/>
    </row>
    <row r="517" spans="1:8" ht="20.25">
      <c r="A517" s="341"/>
      <c r="B517" s="348"/>
      <c r="C517" s="348"/>
      <c r="D517" s="348"/>
      <c r="E517" s="354"/>
      <c r="F517" s="349"/>
      <c r="G517" s="350"/>
      <c r="H517" s="894"/>
    </row>
    <row r="518" spans="1:8" ht="20.25">
      <c r="A518" s="341"/>
      <c r="B518" s="348"/>
      <c r="C518" s="348"/>
      <c r="D518" s="348"/>
      <c r="E518" s="354"/>
      <c r="F518" s="349"/>
      <c r="G518" s="350"/>
      <c r="H518" s="894"/>
    </row>
    <row r="519" spans="1:8" ht="20.25">
      <c r="A519" s="341"/>
      <c r="B519" s="348"/>
      <c r="C519" s="348"/>
      <c r="D519" s="348"/>
      <c r="E519" s="354"/>
      <c r="F519" s="349"/>
      <c r="G519" s="350"/>
      <c r="H519" s="894"/>
    </row>
    <row r="520" spans="1:8" ht="20.25">
      <c r="A520" s="341"/>
      <c r="B520" s="348"/>
      <c r="C520" s="348"/>
      <c r="D520" s="348"/>
      <c r="E520" s="354"/>
      <c r="F520" s="349"/>
      <c r="G520" s="350"/>
      <c r="H520" s="894"/>
    </row>
    <row r="521" spans="1:8" ht="20.25">
      <c r="A521" s="341"/>
      <c r="B521" s="348"/>
      <c r="C521" s="348"/>
      <c r="D521" s="348"/>
      <c r="E521" s="354"/>
      <c r="F521" s="349"/>
      <c r="G521" s="350"/>
      <c r="H521" s="894"/>
    </row>
    <row r="522" spans="1:8" ht="20.25">
      <c r="A522" s="341"/>
      <c r="B522" s="348"/>
      <c r="C522" s="348"/>
      <c r="D522" s="348"/>
      <c r="E522" s="354"/>
      <c r="F522" s="349"/>
      <c r="G522" s="350"/>
      <c r="H522" s="894"/>
    </row>
    <row r="523" spans="1:8" ht="20.25">
      <c r="A523" s="341"/>
      <c r="B523" s="348"/>
      <c r="C523" s="348"/>
      <c r="D523" s="348"/>
      <c r="E523" s="354"/>
      <c r="F523" s="349"/>
      <c r="G523" s="350"/>
      <c r="H523" s="894"/>
    </row>
    <row r="524" spans="1:8" ht="20.25">
      <c r="A524" s="341"/>
      <c r="B524" s="348"/>
      <c r="C524" s="348"/>
      <c r="D524" s="348"/>
      <c r="E524" s="354"/>
      <c r="F524" s="349"/>
      <c r="G524" s="350"/>
      <c r="H524" s="894"/>
    </row>
    <row r="525" spans="1:8" ht="20.25">
      <c r="A525" s="341"/>
      <c r="B525" s="348"/>
      <c r="C525" s="348"/>
      <c r="D525" s="348"/>
      <c r="E525" s="354"/>
      <c r="F525" s="349"/>
      <c r="G525" s="350"/>
      <c r="H525" s="894"/>
    </row>
    <row r="526" spans="1:8" ht="20.25">
      <c r="A526" s="341"/>
      <c r="B526" s="348"/>
      <c r="C526" s="348"/>
      <c r="D526" s="348"/>
      <c r="E526" s="354"/>
      <c r="F526" s="349"/>
      <c r="G526" s="350"/>
      <c r="H526" s="894"/>
    </row>
    <row r="527" spans="1:8" ht="20.25">
      <c r="A527" s="341"/>
      <c r="B527" s="348"/>
      <c r="C527" s="348"/>
      <c r="D527" s="348"/>
      <c r="E527" s="354"/>
      <c r="F527" s="349"/>
      <c r="G527" s="350"/>
      <c r="H527" s="894"/>
    </row>
    <row r="528" spans="1:8" ht="20.25">
      <c r="A528" s="341"/>
      <c r="B528" s="348"/>
      <c r="C528" s="348"/>
      <c r="D528" s="348"/>
      <c r="E528" s="354"/>
      <c r="F528" s="349"/>
      <c r="G528" s="350"/>
      <c r="H528" s="894"/>
    </row>
    <row r="529" spans="1:8" ht="20.25">
      <c r="A529" s="341"/>
      <c r="B529" s="348"/>
      <c r="C529" s="348"/>
      <c r="D529" s="348"/>
      <c r="E529" s="354"/>
      <c r="F529" s="349"/>
      <c r="G529" s="350"/>
      <c r="H529" s="894"/>
    </row>
    <row r="530" spans="1:8" ht="20.25">
      <c r="A530" s="341"/>
      <c r="B530" s="348"/>
      <c r="C530" s="348"/>
      <c r="D530" s="348"/>
      <c r="E530" s="354"/>
      <c r="F530" s="349"/>
      <c r="G530" s="350"/>
      <c r="H530" s="894"/>
    </row>
    <row r="531" spans="1:8" ht="20.25">
      <c r="A531" s="341"/>
      <c r="B531" s="348"/>
      <c r="C531" s="348"/>
      <c r="D531" s="348"/>
      <c r="E531" s="354"/>
      <c r="F531" s="349"/>
      <c r="G531" s="350"/>
      <c r="H531" s="894"/>
    </row>
    <row r="532" spans="1:8" ht="20.25">
      <c r="A532" s="341"/>
      <c r="B532" s="348"/>
      <c r="C532" s="348"/>
      <c r="D532" s="348"/>
      <c r="E532" s="354"/>
      <c r="F532" s="349"/>
      <c r="G532" s="350"/>
      <c r="H532" s="894"/>
    </row>
    <row r="533" spans="1:8" ht="20.25">
      <c r="A533" s="341"/>
      <c r="B533" s="348"/>
      <c r="C533" s="348"/>
      <c r="D533" s="348"/>
      <c r="E533" s="354"/>
      <c r="F533" s="349"/>
      <c r="G533" s="350"/>
      <c r="H533" s="894"/>
    </row>
    <row r="534" spans="1:8" ht="20.25">
      <c r="A534" s="341"/>
      <c r="B534" s="348"/>
      <c r="C534" s="348"/>
      <c r="D534" s="348"/>
      <c r="E534" s="354"/>
      <c r="F534" s="349"/>
      <c r="G534" s="350"/>
      <c r="H534" s="894"/>
    </row>
    <row r="535" spans="1:8" ht="20.25">
      <c r="A535" s="341"/>
      <c r="B535" s="348"/>
      <c r="C535" s="348"/>
      <c r="D535" s="348"/>
      <c r="E535" s="354"/>
      <c r="F535" s="349"/>
      <c r="G535" s="350"/>
      <c r="H535" s="894"/>
    </row>
    <row r="536" spans="1:8" ht="20.25">
      <c r="A536" s="341"/>
      <c r="B536" s="348"/>
      <c r="C536" s="348"/>
      <c r="D536" s="348"/>
      <c r="E536" s="354"/>
      <c r="F536" s="349"/>
      <c r="G536" s="350"/>
      <c r="H536" s="894"/>
    </row>
    <row r="537" spans="1:8" ht="20.25">
      <c r="A537" s="341"/>
      <c r="B537" s="348"/>
      <c r="C537" s="348"/>
      <c r="D537" s="348"/>
      <c r="E537" s="354"/>
      <c r="F537" s="349"/>
      <c r="G537" s="350"/>
      <c r="H537" s="894"/>
    </row>
    <row r="538" spans="1:8" ht="20.25">
      <c r="A538" s="341"/>
      <c r="B538" s="348"/>
      <c r="C538" s="348"/>
      <c r="D538" s="348"/>
      <c r="E538" s="354"/>
      <c r="F538" s="349"/>
      <c r="G538" s="350"/>
      <c r="H538" s="894"/>
    </row>
    <row r="539" spans="1:8" ht="20.25">
      <c r="A539" s="341"/>
      <c r="B539" s="348"/>
      <c r="C539" s="348"/>
      <c r="D539" s="348"/>
      <c r="E539" s="354"/>
      <c r="F539" s="349"/>
      <c r="G539" s="350"/>
      <c r="H539" s="894"/>
    </row>
    <row r="540" spans="1:8" ht="20.25">
      <c r="A540" s="341"/>
      <c r="B540" s="348"/>
      <c r="C540" s="348"/>
      <c r="D540" s="348"/>
      <c r="E540" s="354"/>
      <c r="F540" s="349"/>
      <c r="G540" s="350"/>
      <c r="H540" s="894"/>
    </row>
    <row r="541" spans="1:8" ht="20.25">
      <c r="A541" s="341"/>
      <c r="B541" s="348"/>
      <c r="C541" s="348"/>
      <c r="D541" s="348"/>
      <c r="E541" s="354"/>
      <c r="F541" s="349"/>
      <c r="G541" s="350"/>
      <c r="H541" s="894"/>
    </row>
    <row r="542" spans="1:8" ht="20.25">
      <c r="A542" s="341"/>
      <c r="B542" s="348"/>
      <c r="C542" s="348"/>
      <c r="D542" s="348"/>
      <c r="E542" s="354"/>
      <c r="F542" s="349"/>
      <c r="G542" s="350"/>
      <c r="H542" s="894"/>
    </row>
    <row r="543" spans="1:8" ht="20.25">
      <c r="A543" s="341"/>
      <c r="B543" s="348"/>
      <c r="C543" s="348"/>
      <c r="D543" s="348"/>
      <c r="E543" s="354"/>
      <c r="F543" s="349"/>
      <c r="G543" s="350"/>
      <c r="H543" s="894"/>
    </row>
    <row r="544" spans="1:8" ht="20.25">
      <c r="A544" s="341"/>
      <c r="B544" s="348"/>
      <c r="C544" s="348"/>
      <c r="D544" s="348"/>
      <c r="E544" s="354"/>
      <c r="F544" s="349"/>
      <c r="G544" s="350"/>
      <c r="H544" s="894"/>
    </row>
    <row r="545" spans="1:8" ht="20.25">
      <c r="A545" s="341"/>
      <c r="B545" s="348"/>
      <c r="C545" s="348"/>
      <c r="D545" s="348"/>
      <c r="E545" s="354"/>
      <c r="F545" s="349"/>
      <c r="G545" s="350"/>
      <c r="H545" s="894"/>
    </row>
    <row r="546" spans="1:8" ht="20.25">
      <c r="A546" s="341"/>
      <c r="B546" s="348"/>
      <c r="C546" s="348"/>
      <c r="D546" s="348"/>
      <c r="E546" s="354"/>
      <c r="F546" s="349"/>
      <c r="G546" s="350"/>
      <c r="H546" s="894"/>
    </row>
    <row r="547" spans="1:8" ht="20.25">
      <c r="A547" s="341"/>
      <c r="B547" s="348"/>
      <c r="C547" s="348"/>
      <c r="D547" s="348"/>
      <c r="E547" s="354"/>
      <c r="F547" s="349"/>
      <c r="G547" s="350"/>
      <c r="H547" s="894"/>
    </row>
    <row r="548" spans="1:8" ht="20.25">
      <c r="A548" s="341"/>
      <c r="B548" s="348"/>
      <c r="C548" s="348"/>
      <c r="D548" s="348"/>
      <c r="E548" s="354"/>
      <c r="F548" s="349"/>
      <c r="G548" s="350"/>
      <c r="H548" s="894"/>
    </row>
    <row r="549" spans="1:8" ht="20.25">
      <c r="A549" s="341"/>
      <c r="B549" s="348"/>
      <c r="C549" s="348"/>
      <c r="D549" s="348"/>
      <c r="E549" s="354"/>
      <c r="F549" s="349"/>
      <c r="G549" s="350"/>
      <c r="H549" s="894"/>
    </row>
    <row r="550" spans="1:8" ht="20.25">
      <c r="A550" s="341"/>
      <c r="B550" s="348"/>
      <c r="C550" s="348"/>
      <c r="D550" s="348"/>
      <c r="E550" s="354"/>
      <c r="F550" s="349"/>
      <c r="G550" s="350"/>
      <c r="H550" s="894"/>
    </row>
    <row r="551" spans="1:8" ht="20.25">
      <c r="A551" s="341"/>
      <c r="B551" s="348"/>
      <c r="C551" s="348"/>
      <c r="D551" s="348"/>
      <c r="E551" s="354"/>
      <c r="F551" s="349"/>
      <c r="G551" s="350"/>
      <c r="H551" s="894"/>
    </row>
    <row r="552" spans="1:8" ht="20.25">
      <c r="A552" s="341"/>
      <c r="B552" s="348"/>
      <c r="C552" s="348"/>
      <c r="D552" s="348"/>
      <c r="E552" s="354"/>
      <c r="F552" s="349"/>
      <c r="G552" s="350"/>
      <c r="H552" s="894"/>
    </row>
    <row r="553" spans="1:8" ht="20.25">
      <c r="A553" s="341"/>
      <c r="B553" s="348"/>
      <c r="C553" s="348"/>
      <c r="D553" s="348"/>
      <c r="E553" s="354"/>
      <c r="F553" s="349"/>
      <c r="G553" s="350"/>
      <c r="H553" s="894"/>
    </row>
    <row r="554" spans="1:8" ht="20.25">
      <c r="A554" s="341"/>
      <c r="B554" s="348"/>
      <c r="C554" s="348"/>
      <c r="D554" s="348"/>
      <c r="E554" s="354"/>
      <c r="F554" s="349"/>
      <c r="G554" s="350"/>
      <c r="H554" s="894"/>
    </row>
    <row r="555" spans="1:8" ht="20.25">
      <c r="A555" s="341"/>
      <c r="B555" s="348"/>
      <c r="C555" s="348"/>
      <c r="D555" s="348"/>
      <c r="E555" s="354"/>
      <c r="F555" s="349"/>
      <c r="G555" s="350"/>
      <c r="H555" s="894"/>
    </row>
    <row r="556" spans="1:8" ht="20.25">
      <c r="A556" s="341"/>
      <c r="B556" s="348"/>
      <c r="C556" s="348"/>
      <c r="D556" s="348"/>
      <c r="E556" s="354"/>
      <c r="F556" s="349"/>
      <c r="G556" s="350"/>
      <c r="H556" s="894"/>
    </row>
    <row r="557" spans="1:8" ht="20.25">
      <c r="A557" s="341"/>
      <c r="B557" s="348"/>
      <c r="C557" s="348"/>
      <c r="D557" s="348"/>
      <c r="E557" s="354"/>
      <c r="F557" s="349"/>
      <c r="G557" s="350"/>
      <c r="H557" s="894"/>
    </row>
    <row r="558" spans="1:8" ht="20.25">
      <c r="A558" s="341"/>
      <c r="B558" s="348"/>
      <c r="C558" s="348"/>
      <c r="D558" s="348"/>
      <c r="E558" s="354"/>
      <c r="F558" s="349"/>
      <c r="G558" s="350"/>
      <c r="H558" s="894"/>
    </row>
    <row r="559" spans="1:8" ht="20.25">
      <c r="A559" s="341"/>
      <c r="B559" s="348"/>
      <c r="C559" s="348"/>
      <c r="D559" s="348"/>
      <c r="E559" s="354"/>
      <c r="F559" s="349"/>
      <c r="G559" s="350"/>
      <c r="H559" s="894"/>
    </row>
    <row r="560" spans="1:8" ht="20.25">
      <c r="A560" s="341"/>
      <c r="B560" s="348"/>
      <c r="C560" s="348"/>
      <c r="D560" s="348"/>
      <c r="E560" s="354"/>
      <c r="F560" s="349"/>
      <c r="G560" s="350"/>
      <c r="H560" s="894"/>
    </row>
    <row r="561" spans="1:8" ht="20.25">
      <c r="A561" s="341"/>
      <c r="B561" s="348"/>
      <c r="C561" s="348"/>
      <c r="D561" s="348"/>
      <c r="E561" s="354"/>
      <c r="F561" s="349"/>
      <c r="G561" s="350"/>
      <c r="H561" s="894"/>
    </row>
    <row r="562" spans="1:8" ht="20.25">
      <c r="A562" s="341"/>
      <c r="B562" s="348"/>
      <c r="C562" s="348"/>
      <c r="D562" s="348"/>
      <c r="E562" s="354"/>
      <c r="F562" s="349"/>
      <c r="G562" s="350"/>
      <c r="H562" s="894"/>
    </row>
    <row r="563" spans="1:8" ht="20.25">
      <c r="A563" s="341"/>
      <c r="B563" s="348"/>
      <c r="C563" s="348"/>
      <c r="D563" s="348"/>
      <c r="E563" s="354"/>
      <c r="F563" s="349"/>
      <c r="G563" s="350"/>
      <c r="H563" s="894"/>
    </row>
    <row r="564" spans="1:8" ht="20.25">
      <c r="A564" s="341"/>
      <c r="B564" s="348"/>
      <c r="C564" s="348"/>
      <c r="D564" s="348"/>
      <c r="E564" s="354"/>
      <c r="F564" s="349"/>
      <c r="G564" s="350"/>
      <c r="H564" s="894"/>
    </row>
    <row r="565" spans="1:8" ht="20.25">
      <c r="A565" s="341"/>
      <c r="B565" s="348"/>
      <c r="C565" s="348"/>
      <c r="D565" s="348"/>
      <c r="E565" s="354"/>
      <c r="F565" s="349"/>
      <c r="G565" s="350"/>
      <c r="H565" s="894"/>
    </row>
    <row r="566" spans="1:8" ht="20.25">
      <c r="A566" s="341"/>
      <c r="B566" s="348"/>
      <c r="C566" s="348"/>
      <c r="D566" s="348"/>
      <c r="E566" s="354"/>
      <c r="F566" s="349"/>
      <c r="G566" s="350"/>
      <c r="H566" s="894"/>
    </row>
    <row r="567" spans="1:8" ht="20.25">
      <c r="A567" s="341"/>
      <c r="B567" s="348"/>
      <c r="C567" s="348"/>
      <c r="D567" s="348"/>
      <c r="E567" s="354"/>
      <c r="F567" s="349"/>
      <c r="G567" s="350"/>
      <c r="H567" s="894"/>
    </row>
    <row r="568" spans="1:8" ht="20.25">
      <c r="A568" s="341"/>
      <c r="B568" s="348"/>
      <c r="C568" s="348"/>
      <c r="D568" s="348"/>
      <c r="E568" s="354"/>
      <c r="F568" s="349"/>
      <c r="G568" s="350"/>
      <c r="H568" s="894"/>
    </row>
    <row r="569" spans="1:8" ht="20.25">
      <c r="A569" s="341"/>
      <c r="B569" s="348"/>
      <c r="C569" s="348"/>
      <c r="D569" s="348"/>
      <c r="E569" s="354"/>
      <c r="F569" s="349"/>
      <c r="G569" s="350"/>
      <c r="H569" s="894"/>
    </row>
    <row r="570" spans="1:8" ht="20.25">
      <c r="A570" s="341"/>
      <c r="B570" s="348"/>
      <c r="C570" s="348"/>
      <c r="D570" s="348"/>
      <c r="E570" s="354"/>
      <c r="F570" s="349"/>
      <c r="G570" s="350"/>
      <c r="H570" s="894"/>
    </row>
    <row r="571" spans="1:8" ht="20.25">
      <c r="A571" s="341"/>
      <c r="B571" s="348"/>
      <c r="C571" s="348"/>
      <c r="D571" s="348"/>
      <c r="E571" s="354"/>
      <c r="F571" s="349"/>
      <c r="G571" s="350"/>
      <c r="H571" s="894"/>
    </row>
    <row r="572" spans="1:8" ht="20.25">
      <c r="A572" s="341"/>
      <c r="B572" s="348"/>
      <c r="C572" s="348"/>
      <c r="D572" s="348"/>
      <c r="E572" s="354"/>
      <c r="F572" s="349"/>
      <c r="G572" s="350"/>
      <c r="H572" s="894"/>
    </row>
    <row r="573" spans="1:8" ht="20.25">
      <c r="A573" s="341"/>
      <c r="B573" s="348"/>
      <c r="C573" s="348"/>
      <c r="D573" s="348"/>
      <c r="E573" s="354"/>
      <c r="F573" s="349"/>
      <c r="G573" s="350"/>
      <c r="H573" s="894"/>
    </row>
    <row r="574" spans="1:8" ht="20.25">
      <c r="A574" s="341"/>
      <c r="B574" s="348"/>
      <c r="C574" s="348"/>
      <c r="D574" s="348"/>
      <c r="E574" s="354"/>
      <c r="F574" s="349"/>
      <c r="G574" s="350"/>
      <c r="H574" s="894"/>
    </row>
    <row r="575" spans="1:8" ht="20.25">
      <c r="A575" s="341"/>
      <c r="B575" s="348"/>
      <c r="C575" s="348"/>
      <c r="D575" s="348"/>
      <c r="E575" s="354"/>
      <c r="F575" s="349"/>
      <c r="G575" s="350"/>
      <c r="H575" s="894"/>
    </row>
    <row r="576" spans="1:8" ht="20.25">
      <c r="A576" s="341"/>
      <c r="B576" s="348"/>
      <c r="C576" s="348"/>
      <c r="D576" s="348"/>
      <c r="E576" s="354"/>
      <c r="F576" s="349"/>
      <c r="G576" s="350"/>
      <c r="H576" s="894"/>
    </row>
    <row r="577" spans="1:8" ht="20.25">
      <c r="A577" s="341"/>
      <c r="B577" s="348"/>
      <c r="C577" s="348"/>
      <c r="D577" s="348"/>
      <c r="E577" s="354"/>
      <c r="F577" s="349"/>
      <c r="G577" s="350"/>
      <c r="H577" s="894"/>
    </row>
    <row r="578" spans="1:8" ht="20.25">
      <c r="A578" s="341"/>
      <c r="B578" s="348"/>
      <c r="C578" s="348"/>
      <c r="D578" s="348"/>
      <c r="E578" s="354"/>
      <c r="F578" s="349"/>
      <c r="G578" s="350"/>
      <c r="H578" s="894"/>
    </row>
    <row r="579" spans="1:8" ht="20.25">
      <c r="A579" s="341"/>
      <c r="B579" s="348"/>
      <c r="C579" s="348"/>
      <c r="D579" s="348"/>
      <c r="E579" s="354"/>
      <c r="F579" s="349"/>
      <c r="G579" s="350"/>
      <c r="H579" s="894"/>
    </row>
    <row r="580" spans="1:8" ht="20.25">
      <c r="A580" s="341"/>
      <c r="B580" s="348"/>
      <c r="C580" s="348"/>
      <c r="D580" s="348"/>
      <c r="E580" s="354"/>
      <c r="F580" s="349"/>
      <c r="G580" s="350"/>
      <c r="H580" s="894"/>
    </row>
    <row r="581" spans="1:8" ht="20.25">
      <c r="A581" s="341"/>
      <c r="B581" s="348"/>
      <c r="C581" s="348"/>
      <c r="D581" s="348"/>
      <c r="E581" s="354"/>
      <c r="F581" s="349"/>
      <c r="G581" s="350"/>
      <c r="H581" s="894"/>
    </row>
    <row r="582" spans="1:8" ht="20.25">
      <c r="A582" s="341"/>
      <c r="B582" s="348"/>
      <c r="C582" s="348"/>
      <c r="D582" s="348"/>
      <c r="E582" s="354"/>
      <c r="F582" s="349"/>
      <c r="G582" s="350"/>
      <c r="H582" s="894"/>
    </row>
    <row r="583" spans="1:8" ht="20.25">
      <c r="A583" s="341"/>
      <c r="B583" s="348"/>
      <c r="C583" s="348"/>
      <c r="D583" s="348"/>
      <c r="E583" s="354"/>
      <c r="F583" s="349"/>
      <c r="G583" s="350"/>
      <c r="H583" s="894"/>
    </row>
    <row r="584" spans="1:8" ht="20.25">
      <c r="A584" s="341"/>
      <c r="B584" s="348"/>
      <c r="C584" s="348"/>
      <c r="D584" s="348"/>
      <c r="E584" s="354"/>
      <c r="F584" s="349"/>
      <c r="G584" s="350"/>
      <c r="H584" s="894"/>
    </row>
    <row r="585" spans="1:8" ht="20.25">
      <c r="A585" s="341"/>
      <c r="B585" s="348"/>
      <c r="C585" s="348"/>
      <c r="D585" s="348"/>
      <c r="E585" s="354"/>
      <c r="F585" s="349"/>
      <c r="G585" s="350"/>
      <c r="H585" s="894"/>
    </row>
    <row r="586" spans="1:8" ht="20.25">
      <c r="A586" s="341"/>
      <c r="B586" s="348"/>
      <c r="C586" s="348"/>
      <c r="D586" s="348"/>
      <c r="E586" s="354"/>
      <c r="F586" s="349"/>
      <c r="G586" s="350"/>
      <c r="H586" s="894"/>
    </row>
    <row r="587" spans="1:8" ht="20.25">
      <c r="A587" s="341"/>
      <c r="B587" s="348"/>
      <c r="C587" s="348"/>
      <c r="D587" s="348"/>
      <c r="E587" s="354"/>
      <c r="F587" s="349"/>
      <c r="G587" s="350"/>
      <c r="H587" s="894"/>
    </row>
    <row r="588" spans="1:8" ht="20.25">
      <c r="A588" s="341"/>
      <c r="B588" s="348"/>
      <c r="C588" s="348"/>
      <c r="D588" s="348"/>
      <c r="E588" s="354"/>
      <c r="F588" s="349"/>
      <c r="G588" s="350"/>
      <c r="H588" s="894"/>
    </row>
    <row r="589" spans="1:8" ht="20.25">
      <c r="A589" s="341"/>
      <c r="B589" s="348"/>
      <c r="C589" s="348"/>
      <c r="D589" s="348"/>
      <c r="E589" s="354"/>
      <c r="F589" s="349"/>
      <c r="G589" s="350"/>
      <c r="H589" s="894"/>
    </row>
    <row r="590" spans="1:8" ht="20.25">
      <c r="A590" s="341"/>
      <c r="B590" s="348"/>
      <c r="C590" s="348"/>
      <c r="D590" s="348"/>
      <c r="E590" s="354"/>
      <c r="F590" s="349"/>
      <c r="G590" s="350"/>
      <c r="H590" s="894"/>
    </row>
    <row r="591" spans="1:8" ht="20.25">
      <c r="A591" s="341"/>
      <c r="B591" s="348"/>
      <c r="C591" s="348"/>
      <c r="D591" s="348"/>
      <c r="E591" s="354"/>
      <c r="F591" s="349"/>
      <c r="G591" s="350"/>
      <c r="H591" s="894"/>
    </row>
    <row r="592" spans="1:8" ht="20.25">
      <c r="A592" s="341"/>
      <c r="B592" s="348"/>
      <c r="C592" s="348"/>
      <c r="D592" s="348"/>
      <c r="E592" s="354"/>
      <c r="F592" s="349"/>
      <c r="G592" s="350"/>
      <c r="H592" s="894"/>
    </row>
    <row r="593" spans="1:8" ht="20.25">
      <c r="A593" s="341"/>
      <c r="B593" s="348"/>
      <c r="C593" s="348"/>
      <c r="D593" s="348"/>
      <c r="E593" s="354"/>
      <c r="F593" s="349"/>
      <c r="G593" s="350"/>
      <c r="H593" s="894"/>
    </row>
    <row r="594" spans="1:8" ht="20.25">
      <c r="A594" s="341"/>
      <c r="B594" s="348"/>
      <c r="C594" s="348"/>
      <c r="D594" s="348"/>
      <c r="E594" s="354"/>
      <c r="F594" s="349"/>
      <c r="G594" s="350"/>
      <c r="H594" s="894"/>
    </row>
    <row r="595" spans="1:8" ht="20.25">
      <c r="A595" s="341"/>
      <c r="B595" s="348"/>
      <c r="C595" s="348"/>
      <c r="D595" s="348"/>
      <c r="E595" s="354"/>
      <c r="F595" s="349"/>
      <c r="G595" s="350"/>
      <c r="H595" s="894"/>
    </row>
    <row r="596" spans="1:8" ht="20.25">
      <c r="A596" s="341"/>
      <c r="B596" s="348"/>
      <c r="C596" s="348"/>
      <c r="D596" s="348"/>
      <c r="E596" s="354"/>
      <c r="F596" s="349"/>
      <c r="G596" s="350"/>
      <c r="H596" s="894"/>
    </row>
    <row r="597" spans="1:8" ht="20.25">
      <c r="A597" s="341"/>
      <c r="B597" s="348"/>
      <c r="C597" s="348"/>
      <c r="D597" s="348"/>
      <c r="E597" s="354"/>
      <c r="F597" s="349"/>
      <c r="G597" s="350"/>
      <c r="H597" s="894"/>
    </row>
    <row r="598" spans="1:8" ht="20.25">
      <c r="A598" s="341"/>
      <c r="B598" s="348"/>
      <c r="C598" s="348"/>
      <c r="D598" s="348"/>
      <c r="E598" s="354"/>
      <c r="F598" s="349"/>
      <c r="G598" s="350"/>
      <c r="H598" s="894"/>
    </row>
    <row r="599" spans="1:8" ht="20.25">
      <c r="A599" s="341"/>
      <c r="B599" s="348"/>
      <c r="C599" s="348"/>
      <c r="D599" s="348"/>
      <c r="E599" s="354"/>
      <c r="F599" s="349"/>
      <c r="G599" s="350"/>
      <c r="H599" s="894"/>
    </row>
    <row r="600" spans="1:8" ht="20.25">
      <c r="A600" s="341"/>
      <c r="B600" s="348"/>
      <c r="C600" s="348"/>
      <c r="D600" s="348"/>
      <c r="E600" s="354"/>
      <c r="F600" s="349"/>
      <c r="G600" s="350"/>
      <c r="H600" s="894"/>
    </row>
    <row r="601" spans="1:8" ht="20.25">
      <c r="A601" s="341"/>
      <c r="B601" s="348"/>
      <c r="C601" s="348"/>
      <c r="D601" s="348"/>
      <c r="E601" s="354"/>
      <c r="F601" s="349"/>
      <c r="G601" s="350"/>
      <c r="H601" s="894"/>
    </row>
    <row r="602" spans="1:8" ht="20.25">
      <c r="A602" s="341"/>
      <c r="B602" s="348"/>
      <c r="C602" s="348"/>
      <c r="D602" s="348"/>
      <c r="E602" s="354"/>
      <c r="F602" s="349"/>
      <c r="G602" s="350"/>
      <c r="H602" s="894"/>
    </row>
    <row r="603" spans="1:8" ht="20.25">
      <c r="A603" s="341"/>
      <c r="B603" s="348"/>
      <c r="C603" s="348"/>
      <c r="D603" s="348"/>
      <c r="E603" s="354"/>
      <c r="F603" s="349"/>
      <c r="G603" s="350"/>
      <c r="H603" s="894"/>
    </row>
    <row r="604" spans="1:8" ht="20.25">
      <c r="A604" s="341"/>
      <c r="B604" s="348"/>
      <c r="C604" s="348"/>
      <c r="D604" s="348"/>
      <c r="E604" s="354"/>
      <c r="F604" s="349"/>
      <c r="G604" s="350"/>
      <c r="H604" s="894"/>
    </row>
    <row r="605" spans="1:8" ht="20.25">
      <c r="A605" s="341"/>
      <c r="B605" s="348"/>
      <c r="C605" s="348"/>
      <c r="D605" s="348"/>
      <c r="E605" s="354"/>
      <c r="F605" s="349"/>
      <c r="G605" s="350"/>
      <c r="H605" s="894"/>
    </row>
    <row r="606" spans="1:8" ht="20.25">
      <c r="A606" s="341"/>
      <c r="B606" s="348"/>
      <c r="C606" s="348"/>
      <c r="D606" s="348"/>
      <c r="E606" s="354"/>
      <c r="F606" s="349"/>
      <c r="G606" s="350"/>
      <c r="H606" s="894"/>
    </row>
    <row r="607" spans="1:8" ht="20.25">
      <c r="A607" s="341"/>
      <c r="B607" s="348"/>
      <c r="C607" s="348"/>
      <c r="D607" s="348"/>
      <c r="E607" s="354"/>
      <c r="F607" s="349"/>
      <c r="G607" s="350"/>
      <c r="H607" s="894"/>
    </row>
    <row r="608" spans="1:8" ht="20.25">
      <c r="A608" s="341"/>
      <c r="B608" s="348"/>
      <c r="C608" s="348"/>
      <c r="D608" s="348"/>
      <c r="E608" s="354"/>
      <c r="F608" s="349"/>
      <c r="G608" s="350"/>
      <c r="H608" s="894"/>
    </row>
    <row r="609" spans="1:8" ht="20.25">
      <c r="A609" s="341"/>
      <c r="B609" s="348"/>
      <c r="C609" s="348"/>
      <c r="D609" s="348"/>
      <c r="E609" s="354"/>
      <c r="F609" s="349"/>
      <c r="G609" s="350"/>
      <c r="H609" s="894"/>
    </row>
    <row r="610" spans="1:8" ht="20.25">
      <c r="A610" s="341"/>
      <c r="B610" s="348"/>
      <c r="C610" s="348"/>
      <c r="D610" s="348"/>
      <c r="E610" s="354"/>
      <c r="F610" s="349"/>
      <c r="G610" s="350"/>
      <c r="H610" s="894"/>
    </row>
    <row r="611" spans="1:8" ht="20.25">
      <c r="A611" s="341"/>
      <c r="B611" s="348"/>
      <c r="C611" s="348"/>
      <c r="D611" s="348"/>
      <c r="E611" s="354"/>
      <c r="F611" s="349"/>
      <c r="G611" s="350"/>
      <c r="H611" s="894"/>
    </row>
    <row r="612" spans="1:8" ht="20.25">
      <c r="A612" s="341"/>
      <c r="B612" s="348"/>
      <c r="C612" s="348"/>
      <c r="D612" s="348"/>
      <c r="E612" s="354"/>
      <c r="F612" s="349"/>
      <c r="G612" s="350"/>
      <c r="H612" s="894"/>
    </row>
    <row r="613" spans="1:8" ht="20.25">
      <c r="A613" s="341"/>
      <c r="B613" s="348"/>
      <c r="C613" s="348"/>
      <c r="D613" s="348"/>
      <c r="E613" s="354"/>
      <c r="F613" s="349"/>
      <c r="G613" s="350"/>
      <c r="H613" s="894"/>
    </row>
    <row r="614" spans="1:8" ht="20.25">
      <c r="A614" s="341"/>
      <c r="B614" s="348"/>
      <c r="C614" s="348"/>
      <c r="D614" s="348"/>
      <c r="E614" s="354"/>
      <c r="F614" s="349"/>
      <c r="G614" s="350"/>
      <c r="H614" s="894"/>
    </row>
    <row r="615" spans="1:8" ht="20.25">
      <c r="A615" s="341"/>
      <c r="B615" s="348"/>
      <c r="C615" s="348"/>
      <c r="D615" s="348"/>
      <c r="E615" s="354"/>
      <c r="F615" s="349"/>
      <c r="G615" s="350"/>
      <c r="H615" s="894"/>
    </row>
    <row r="616" spans="1:8" ht="20.25">
      <c r="A616" s="341"/>
      <c r="B616" s="348"/>
      <c r="C616" s="348"/>
      <c r="D616" s="348"/>
      <c r="E616" s="354"/>
      <c r="F616" s="349"/>
      <c r="G616" s="350"/>
      <c r="H616" s="894"/>
    </row>
    <row r="617" spans="1:8" ht="20.25">
      <c r="A617" s="341"/>
      <c r="B617" s="348"/>
      <c r="C617" s="348"/>
      <c r="D617" s="348"/>
      <c r="E617" s="354"/>
      <c r="F617" s="349"/>
      <c r="G617" s="350"/>
      <c r="H617" s="894"/>
    </row>
    <row r="618" spans="1:8" ht="20.25">
      <c r="A618" s="341"/>
      <c r="B618" s="348"/>
      <c r="C618" s="348"/>
      <c r="D618" s="348"/>
      <c r="E618" s="354"/>
      <c r="F618" s="349"/>
      <c r="G618" s="350"/>
      <c r="H618" s="894"/>
    </row>
    <row r="619" spans="1:8" ht="20.25">
      <c r="A619" s="341"/>
      <c r="B619" s="348"/>
      <c r="C619" s="348"/>
      <c r="D619" s="348"/>
      <c r="E619" s="354"/>
      <c r="F619" s="349"/>
      <c r="G619" s="350"/>
      <c r="H619" s="894"/>
    </row>
    <row r="620" spans="1:8" ht="20.25">
      <c r="A620" s="341"/>
      <c r="B620" s="348"/>
      <c r="C620" s="348"/>
      <c r="D620" s="348"/>
      <c r="E620" s="354"/>
      <c r="F620" s="349"/>
      <c r="G620" s="350"/>
      <c r="H620" s="894"/>
    </row>
    <row r="621" spans="1:8" ht="20.25">
      <c r="A621" s="341"/>
      <c r="B621" s="348"/>
      <c r="C621" s="348"/>
      <c r="D621" s="348"/>
      <c r="E621" s="354"/>
      <c r="F621" s="349"/>
      <c r="G621" s="350"/>
      <c r="H621" s="894"/>
    </row>
    <row r="622" spans="1:8" ht="20.25">
      <c r="A622" s="341"/>
      <c r="B622" s="348"/>
      <c r="C622" s="348"/>
      <c r="D622" s="348"/>
      <c r="E622" s="354"/>
      <c r="F622" s="349"/>
      <c r="G622" s="350"/>
      <c r="H622" s="894"/>
    </row>
    <row r="623" spans="1:8" ht="20.25">
      <c r="A623" s="341"/>
      <c r="B623" s="348"/>
      <c r="C623" s="348"/>
      <c r="D623" s="348"/>
      <c r="E623" s="354"/>
      <c r="F623" s="349"/>
      <c r="G623" s="350"/>
      <c r="H623" s="894"/>
    </row>
    <row r="624" spans="1:8" ht="20.25">
      <c r="A624" s="341"/>
      <c r="B624" s="348"/>
      <c r="C624" s="348"/>
      <c r="D624" s="348"/>
      <c r="E624" s="354"/>
      <c r="F624" s="349"/>
      <c r="G624" s="350"/>
      <c r="H624" s="894"/>
    </row>
    <row r="625" spans="1:8" ht="20.25">
      <c r="A625" s="341"/>
      <c r="B625" s="348"/>
      <c r="C625" s="348"/>
      <c r="D625" s="348"/>
      <c r="E625" s="354"/>
      <c r="F625" s="349"/>
      <c r="G625" s="350"/>
      <c r="H625" s="894"/>
    </row>
    <row r="626" spans="1:8" ht="20.25">
      <c r="A626" s="341"/>
      <c r="B626" s="348"/>
      <c r="C626" s="348"/>
      <c r="D626" s="348"/>
      <c r="E626" s="354"/>
      <c r="F626" s="349"/>
      <c r="G626" s="350"/>
      <c r="H626" s="894"/>
    </row>
    <row r="627" spans="1:8" ht="20.25">
      <c r="A627" s="341"/>
      <c r="B627" s="348"/>
      <c r="C627" s="348"/>
      <c r="D627" s="348"/>
      <c r="E627" s="354"/>
      <c r="F627" s="349"/>
      <c r="G627" s="350"/>
      <c r="H627" s="894"/>
    </row>
    <row r="628" spans="1:8" ht="20.25">
      <c r="A628" s="341"/>
      <c r="B628" s="348"/>
      <c r="C628" s="348"/>
      <c r="D628" s="348"/>
      <c r="E628" s="354"/>
      <c r="F628" s="349"/>
      <c r="G628" s="350"/>
      <c r="H628" s="894"/>
    </row>
    <row r="629" spans="1:8" ht="20.25">
      <c r="A629" s="341"/>
      <c r="B629" s="348"/>
      <c r="C629" s="348"/>
      <c r="D629" s="348"/>
      <c r="E629" s="354"/>
      <c r="F629" s="349"/>
      <c r="G629" s="350"/>
      <c r="H629" s="894"/>
    </row>
    <row r="630" spans="1:8" ht="20.25">
      <c r="A630" s="341"/>
      <c r="B630" s="348"/>
      <c r="C630" s="348"/>
      <c r="D630" s="348"/>
      <c r="E630" s="354"/>
      <c r="F630" s="349"/>
      <c r="G630" s="350"/>
      <c r="H630" s="894"/>
    </row>
    <row r="631" spans="1:8" ht="20.25">
      <c r="A631" s="341"/>
      <c r="B631" s="348"/>
      <c r="C631" s="348"/>
      <c r="D631" s="348"/>
      <c r="E631" s="354"/>
      <c r="F631" s="349"/>
      <c r="G631" s="350"/>
      <c r="H631" s="894"/>
    </row>
    <row r="632" spans="1:8" ht="20.25">
      <c r="A632" s="341"/>
      <c r="B632" s="348"/>
      <c r="C632" s="348"/>
      <c r="D632" s="348"/>
      <c r="E632" s="354"/>
      <c r="F632" s="349"/>
      <c r="G632" s="350"/>
      <c r="H632" s="894"/>
    </row>
    <row r="633" spans="1:8" ht="20.25">
      <c r="A633" s="341"/>
      <c r="B633" s="348"/>
      <c r="C633" s="348"/>
      <c r="D633" s="348"/>
      <c r="E633" s="354"/>
      <c r="F633" s="349"/>
      <c r="G633" s="350"/>
      <c r="H633" s="894"/>
    </row>
    <row r="634" spans="1:8" ht="20.25">
      <c r="A634" s="341"/>
      <c r="B634" s="348"/>
      <c r="C634" s="348"/>
      <c r="D634" s="348"/>
      <c r="E634" s="354"/>
      <c r="F634" s="349"/>
      <c r="G634" s="350"/>
      <c r="H634" s="894"/>
    </row>
    <row r="635" spans="1:8" ht="20.25">
      <c r="A635" s="341"/>
      <c r="B635" s="348"/>
      <c r="C635" s="348"/>
      <c r="D635" s="348"/>
      <c r="E635" s="354"/>
      <c r="F635" s="349"/>
      <c r="G635" s="350"/>
      <c r="H635" s="894"/>
    </row>
    <row r="636" spans="1:8" ht="20.25">
      <c r="A636" s="341"/>
      <c r="B636" s="348"/>
      <c r="C636" s="348"/>
      <c r="D636" s="348"/>
      <c r="E636" s="354"/>
      <c r="F636" s="349"/>
      <c r="G636" s="350"/>
      <c r="H636" s="894"/>
    </row>
    <row r="637" spans="1:8" ht="20.25">
      <c r="A637" s="341"/>
      <c r="B637" s="348"/>
      <c r="C637" s="348"/>
      <c r="D637" s="348"/>
      <c r="E637" s="354"/>
      <c r="F637" s="349"/>
      <c r="G637" s="350"/>
      <c r="H637" s="894"/>
    </row>
    <row r="638" spans="1:8" ht="20.25">
      <c r="A638" s="341"/>
      <c r="B638" s="348"/>
      <c r="C638" s="348"/>
      <c r="D638" s="348"/>
      <c r="E638" s="354"/>
      <c r="F638" s="349"/>
      <c r="G638" s="350"/>
      <c r="H638" s="894"/>
    </row>
    <row r="639" spans="1:8" ht="20.25">
      <c r="A639" s="341"/>
      <c r="B639" s="348"/>
      <c r="C639" s="348"/>
      <c r="D639" s="348"/>
      <c r="E639" s="354"/>
      <c r="F639" s="349"/>
      <c r="G639" s="350"/>
      <c r="H639" s="894"/>
    </row>
    <row r="640" spans="1:8" ht="20.25">
      <c r="A640" s="341"/>
      <c r="B640" s="348"/>
      <c r="C640" s="348"/>
      <c r="D640" s="348"/>
      <c r="E640" s="354"/>
      <c r="F640" s="349"/>
      <c r="G640" s="350"/>
      <c r="H640" s="894"/>
    </row>
    <row r="641" spans="1:8" ht="20.25">
      <c r="A641" s="341"/>
      <c r="B641" s="348"/>
      <c r="C641" s="348"/>
      <c r="D641" s="348"/>
      <c r="E641" s="354"/>
      <c r="F641" s="349"/>
      <c r="G641" s="350"/>
      <c r="H641" s="894"/>
    </row>
    <row r="642" spans="1:8" ht="20.25">
      <c r="A642" s="341"/>
      <c r="B642" s="348"/>
      <c r="C642" s="348"/>
      <c r="D642" s="348"/>
      <c r="E642" s="354"/>
      <c r="F642" s="349"/>
      <c r="G642" s="350"/>
      <c r="H642" s="894"/>
    </row>
    <row r="643" spans="1:8" ht="20.25">
      <c r="A643" s="341"/>
      <c r="B643" s="348"/>
      <c r="C643" s="348"/>
      <c r="D643" s="348"/>
      <c r="E643" s="354"/>
      <c r="F643" s="349"/>
      <c r="G643" s="350"/>
      <c r="H643" s="894"/>
    </row>
    <row r="644" spans="1:8" ht="20.25">
      <c r="A644" s="341"/>
      <c r="B644" s="348"/>
      <c r="C644" s="348"/>
      <c r="D644" s="348"/>
      <c r="E644" s="354"/>
      <c r="F644" s="349"/>
      <c r="G644" s="350"/>
      <c r="H644" s="894"/>
    </row>
    <row r="645" spans="1:8" ht="20.25">
      <c r="A645" s="341"/>
      <c r="B645" s="348"/>
      <c r="C645" s="348"/>
      <c r="D645" s="348"/>
      <c r="E645" s="354"/>
      <c r="F645" s="349"/>
      <c r="G645" s="350"/>
      <c r="H645" s="894"/>
    </row>
    <row r="646" spans="1:8" ht="20.25">
      <c r="A646" s="341"/>
      <c r="B646" s="348"/>
      <c r="C646" s="348"/>
      <c r="D646" s="348"/>
      <c r="E646" s="354"/>
      <c r="F646" s="349"/>
      <c r="G646" s="350"/>
      <c r="H646" s="894"/>
    </row>
    <row r="647" spans="1:8" ht="20.25">
      <c r="A647" s="341"/>
      <c r="B647" s="348"/>
      <c r="C647" s="348"/>
      <c r="D647" s="348"/>
      <c r="E647" s="354"/>
      <c r="F647" s="349"/>
      <c r="G647" s="350"/>
      <c r="H647" s="894"/>
    </row>
    <row r="648" spans="1:8" ht="20.25">
      <c r="A648" s="341"/>
      <c r="B648" s="348"/>
      <c r="C648" s="348"/>
      <c r="D648" s="348"/>
      <c r="E648" s="354"/>
      <c r="F648" s="349"/>
      <c r="G648" s="350"/>
      <c r="H648" s="894"/>
    </row>
    <row r="649" spans="1:8" ht="20.25">
      <c r="A649" s="341"/>
      <c r="B649" s="348"/>
      <c r="C649" s="348"/>
      <c r="D649" s="348"/>
      <c r="E649" s="354"/>
      <c r="F649" s="349"/>
      <c r="G649" s="350"/>
      <c r="H649" s="894"/>
    </row>
    <row r="650" spans="1:8" ht="20.25">
      <c r="A650" s="341"/>
      <c r="B650" s="348"/>
      <c r="C650" s="348"/>
      <c r="D650" s="348"/>
      <c r="E650" s="354"/>
      <c r="F650" s="349"/>
      <c r="G650" s="350"/>
      <c r="H650" s="894"/>
    </row>
    <row r="651" spans="1:8" ht="20.25">
      <c r="A651" s="341"/>
      <c r="B651" s="348"/>
      <c r="C651" s="348"/>
      <c r="D651" s="348"/>
      <c r="E651" s="354"/>
      <c r="F651" s="349"/>
      <c r="G651" s="350"/>
      <c r="H651" s="894"/>
    </row>
    <row r="652" spans="1:8" ht="20.25">
      <c r="A652" s="341"/>
      <c r="B652" s="348"/>
      <c r="C652" s="348"/>
      <c r="D652" s="348"/>
      <c r="E652" s="354"/>
      <c r="F652" s="349"/>
      <c r="G652" s="350"/>
      <c r="H652" s="894"/>
    </row>
    <row r="653" spans="1:8" ht="20.25">
      <c r="A653" s="341"/>
      <c r="B653" s="348"/>
      <c r="C653" s="348"/>
      <c r="D653" s="348"/>
      <c r="E653" s="354"/>
      <c r="F653" s="349"/>
      <c r="G653" s="350"/>
      <c r="H653" s="894"/>
    </row>
    <row r="654" spans="1:8" ht="20.25">
      <c r="A654" s="341"/>
      <c r="B654" s="348"/>
      <c r="C654" s="348"/>
      <c r="D654" s="348"/>
      <c r="E654" s="354"/>
      <c r="F654" s="349"/>
      <c r="G654" s="350"/>
      <c r="H654" s="894"/>
    </row>
    <row r="655" spans="1:8" ht="20.25">
      <c r="A655" s="341"/>
      <c r="B655" s="348"/>
      <c r="C655" s="348"/>
      <c r="D655" s="348"/>
      <c r="E655" s="354"/>
      <c r="F655" s="349"/>
      <c r="G655" s="350"/>
      <c r="H655" s="894"/>
    </row>
    <row r="656" spans="1:8" ht="20.25">
      <c r="A656" s="341"/>
      <c r="B656" s="348"/>
      <c r="C656" s="348"/>
      <c r="D656" s="348"/>
      <c r="E656" s="354"/>
      <c r="F656" s="349"/>
      <c r="G656" s="350"/>
      <c r="H656" s="894"/>
    </row>
    <row r="657" spans="1:8" ht="20.25">
      <c r="A657" s="341"/>
      <c r="B657" s="348"/>
      <c r="C657" s="348"/>
      <c r="D657" s="348"/>
      <c r="E657" s="354"/>
      <c r="F657" s="349"/>
      <c r="G657" s="350"/>
      <c r="H657" s="894"/>
    </row>
    <row r="658" spans="1:8" ht="20.25">
      <c r="A658" s="341"/>
      <c r="B658" s="348"/>
      <c r="C658" s="348"/>
      <c r="D658" s="348"/>
      <c r="E658" s="354"/>
      <c r="F658" s="349"/>
      <c r="G658" s="350"/>
      <c r="H658" s="894"/>
    </row>
    <row r="659" spans="1:8" ht="20.25">
      <c r="A659" s="341"/>
      <c r="B659" s="348"/>
      <c r="C659" s="348"/>
      <c r="D659" s="348"/>
      <c r="E659" s="354"/>
      <c r="F659" s="349"/>
      <c r="G659" s="350"/>
      <c r="H659" s="894"/>
    </row>
    <row r="660" spans="1:8" ht="20.25">
      <c r="A660" s="341"/>
      <c r="B660" s="348"/>
      <c r="C660" s="348"/>
      <c r="D660" s="348"/>
      <c r="E660" s="354"/>
      <c r="F660" s="349"/>
      <c r="G660" s="350"/>
      <c r="H660" s="894"/>
    </row>
    <row r="661" spans="1:8" ht="20.25">
      <c r="A661" s="341"/>
      <c r="B661" s="348"/>
      <c r="C661" s="348"/>
      <c r="D661" s="348"/>
      <c r="E661" s="354"/>
      <c r="F661" s="349"/>
      <c r="G661" s="350"/>
      <c r="H661" s="894"/>
    </row>
    <row r="662" spans="1:8" ht="20.25">
      <c r="A662" s="341"/>
      <c r="B662" s="348"/>
      <c r="C662" s="348"/>
      <c r="D662" s="348"/>
      <c r="E662" s="354"/>
      <c r="F662" s="349"/>
      <c r="G662" s="350"/>
      <c r="H662" s="894"/>
    </row>
    <row r="663" spans="1:8" ht="20.25">
      <c r="A663" s="341"/>
      <c r="B663" s="348"/>
      <c r="C663" s="348"/>
      <c r="D663" s="348"/>
      <c r="E663" s="354"/>
      <c r="F663" s="349"/>
      <c r="G663" s="350"/>
      <c r="H663" s="894"/>
    </row>
    <row r="664" spans="1:8" ht="20.25">
      <c r="A664" s="341"/>
      <c r="B664" s="348"/>
      <c r="C664" s="348"/>
      <c r="D664" s="348"/>
      <c r="E664" s="354"/>
      <c r="F664" s="349"/>
      <c r="G664" s="350"/>
      <c r="H664" s="894"/>
    </row>
    <row r="665" spans="1:8" ht="20.25">
      <c r="A665" s="341"/>
      <c r="B665" s="348"/>
      <c r="C665" s="348"/>
      <c r="D665" s="348"/>
      <c r="E665" s="354"/>
      <c r="F665" s="349"/>
      <c r="G665" s="350"/>
      <c r="H665" s="894"/>
    </row>
    <row r="666" spans="1:8" ht="20.25">
      <c r="A666" s="341"/>
      <c r="B666" s="348"/>
      <c r="C666" s="348"/>
      <c r="D666" s="348"/>
      <c r="E666" s="354"/>
      <c r="F666" s="349"/>
      <c r="G666" s="350"/>
      <c r="H666" s="894"/>
    </row>
    <row r="667" spans="1:8" ht="20.25">
      <c r="A667" s="341"/>
      <c r="B667" s="348"/>
      <c r="C667" s="348"/>
      <c r="D667" s="348"/>
      <c r="E667" s="354"/>
      <c r="F667" s="349"/>
      <c r="G667" s="350"/>
      <c r="H667" s="894"/>
    </row>
    <row r="668" spans="1:8" ht="20.25">
      <c r="A668" s="341"/>
      <c r="B668" s="348"/>
      <c r="C668" s="348"/>
      <c r="D668" s="348"/>
      <c r="E668" s="354"/>
      <c r="F668" s="349"/>
      <c r="G668" s="350"/>
      <c r="H668" s="894"/>
    </row>
    <row r="669" spans="1:8" ht="20.25">
      <c r="A669" s="341"/>
      <c r="B669" s="348"/>
      <c r="C669" s="348"/>
      <c r="D669" s="348"/>
      <c r="E669" s="354"/>
      <c r="F669" s="349"/>
      <c r="G669" s="350"/>
      <c r="H669" s="894"/>
    </row>
    <row r="670" spans="1:8" ht="20.25">
      <c r="A670" s="341"/>
      <c r="B670" s="348"/>
      <c r="C670" s="348"/>
      <c r="D670" s="348"/>
      <c r="E670" s="354"/>
      <c r="F670" s="349"/>
      <c r="G670" s="350"/>
      <c r="H670" s="894"/>
    </row>
    <row r="671" spans="1:8" ht="20.25">
      <c r="A671" s="341"/>
      <c r="B671" s="348"/>
      <c r="C671" s="348"/>
      <c r="D671" s="348"/>
      <c r="E671" s="354"/>
      <c r="F671" s="349"/>
      <c r="G671" s="350"/>
      <c r="H671" s="894"/>
    </row>
    <row r="672" spans="1:8" ht="20.25">
      <c r="A672" s="341"/>
      <c r="B672" s="348"/>
      <c r="C672" s="348"/>
      <c r="D672" s="348"/>
      <c r="E672" s="354"/>
      <c r="F672" s="349"/>
      <c r="G672" s="350"/>
      <c r="H672" s="894"/>
    </row>
    <row r="673" spans="1:8" ht="20.25">
      <c r="A673" s="341"/>
      <c r="B673" s="348"/>
      <c r="C673" s="348"/>
      <c r="D673" s="348"/>
      <c r="E673" s="354"/>
      <c r="F673" s="349"/>
      <c r="G673" s="350"/>
      <c r="H673" s="894"/>
    </row>
    <row r="674" spans="1:8" ht="20.25">
      <c r="A674" s="341"/>
      <c r="B674" s="348"/>
      <c r="C674" s="348"/>
      <c r="D674" s="348"/>
      <c r="E674" s="354"/>
      <c r="F674" s="349"/>
      <c r="G674" s="350"/>
      <c r="H674" s="894"/>
    </row>
    <row r="675" spans="1:8" ht="20.25">
      <c r="A675" s="341"/>
      <c r="B675" s="348"/>
      <c r="C675" s="348"/>
      <c r="D675" s="348"/>
      <c r="E675" s="354"/>
      <c r="F675" s="349"/>
      <c r="G675" s="350"/>
      <c r="H675" s="894"/>
    </row>
    <row r="676" spans="1:8" ht="20.25">
      <c r="A676" s="341"/>
      <c r="B676" s="348"/>
      <c r="C676" s="348"/>
      <c r="D676" s="348"/>
      <c r="E676" s="354"/>
      <c r="F676" s="349"/>
      <c r="G676" s="350"/>
      <c r="H676" s="894"/>
    </row>
    <row r="677" spans="1:8" ht="20.25">
      <c r="A677" s="341"/>
      <c r="B677" s="348"/>
      <c r="C677" s="348"/>
      <c r="D677" s="348"/>
      <c r="E677" s="354"/>
      <c r="F677" s="349"/>
      <c r="G677" s="350"/>
      <c r="H677" s="894"/>
    </row>
    <row r="678" spans="1:8" ht="20.25">
      <c r="A678" s="341"/>
      <c r="B678" s="348"/>
      <c r="C678" s="348"/>
      <c r="D678" s="348"/>
      <c r="E678" s="354"/>
      <c r="F678" s="349"/>
      <c r="G678" s="350"/>
      <c r="H678" s="894"/>
    </row>
    <row r="679" spans="1:8" ht="20.25">
      <c r="A679" s="341"/>
      <c r="B679" s="348"/>
      <c r="C679" s="348"/>
      <c r="D679" s="348"/>
      <c r="E679" s="354"/>
      <c r="F679" s="349"/>
      <c r="G679" s="350"/>
      <c r="H679" s="894"/>
    </row>
    <row r="680" spans="1:8" ht="20.25">
      <c r="A680" s="341"/>
      <c r="B680" s="348"/>
      <c r="C680" s="348"/>
      <c r="D680" s="348"/>
      <c r="E680" s="354"/>
      <c r="F680" s="349"/>
      <c r="G680" s="350"/>
      <c r="H680" s="894"/>
    </row>
    <row r="681" spans="1:8" ht="20.25">
      <c r="A681" s="341"/>
      <c r="B681" s="348"/>
      <c r="C681" s="348"/>
      <c r="D681" s="348"/>
      <c r="E681" s="354"/>
      <c r="F681" s="349"/>
      <c r="G681" s="350"/>
      <c r="H681" s="894"/>
    </row>
    <row r="682" spans="1:8" ht="20.25">
      <c r="A682" s="341"/>
      <c r="B682" s="348"/>
      <c r="C682" s="348"/>
      <c r="D682" s="348"/>
      <c r="E682" s="354"/>
      <c r="F682" s="349"/>
      <c r="G682" s="350"/>
      <c r="H682" s="894"/>
    </row>
    <row r="683" spans="1:8" ht="20.25">
      <c r="A683" s="341"/>
      <c r="B683" s="348"/>
      <c r="C683" s="348"/>
      <c r="D683" s="348"/>
      <c r="E683" s="354"/>
      <c r="F683" s="349"/>
      <c r="G683" s="350"/>
      <c r="H683" s="894"/>
    </row>
    <row r="684" spans="1:8" ht="20.25">
      <c r="A684" s="341"/>
      <c r="B684" s="348"/>
      <c r="C684" s="348"/>
      <c r="D684" s="348"/>
      <c r="E684" s="354"/>
      <c r="F684" s="349"/>
      <c r="G684" s="350"/>
      <c r="H684" s="894"/>
    </row>
    <row r="685" spans="1:8" ht="20.25">
      <c r="A685" s="341"/>
      <c r="B685" s="348"/>
      <c r="C685" s="348"/>
      <c r="D685" s="348"/>
      <c r="E685" s="354"/>
      <c r="F685" s="349"/>
      <c r="G685" s="350"/>
      <c r="H685" s="894"/>
    </row>
    <row r="686" spans="1:8" ht="20.25">
      <c r="A686" s="341"/>
      <c r="B686" s="348"/>
      <c r="C686" s="348"/>
      <c r="D686" s="348"/>
      <c r="E686" s="354"/>
      <c r="F686" s="349"/>
      <c r="G686" s="350"/>
      <c r="H686" s="894"/>
    </row>
    <row r="687" spans="1:8" ht="20.25">
      <c r="A687" s="341"/>
      <c r="B687" s="348"/>
      <c r="C687" s="348"/>
      <c r="D687" s="348"/>
      <c r="E687" s="354"/>
      <c r="F687" s="349"/>
      <c r="G687" s="350"/>
      <c r="H687" s="894"/>
    </row>
    <row r="688" spans="1:8" ht="20.25">
      <c r="A688" s="341"/>
      <c r="B688" s="348"/>
      <c r="C688" s="348"/>
      <c r="D688" s="348"/>
      <c r="E688" s="354"/>
      <c r="F688" s="349"/>
      <c r="G688" s="350"/>
      <c r="H688" s="894"/>
    </row>
    <row r="689" spans="1:8" ht="20.25">
      <c r="A689" s="341"/>
      <c r="B689" s="348"/>
      <c r="C689" s="348"/>
      <c r="D689" s="348"/>
      <c r="E689" s="354"/>
      <c r="F689" s="349"/>
      <c r="G689" s="350"/>
      <c r="H689" s="894"/>
    </row>
    <row r="690" spans="1:8" ht="20.25">
      <c r="A690" s="341"/>
      <c r="B690" s="348"/>
      <c r="C690" s="348"/>
      <c r="D690" s="348"/>
      <c r="E690" s="354"/>
      <c r="F690" s="349"/>
      <c r="G690" s="350"/>
      <c r="H690" s="894"/>
    </row>
    <row r="691" spans="1:8" ht="20.25">
      <c r="A691" s="341"/>
      <c r="B691" s="348"/>
      <c r="C691" s="348"/>
      <c r="D691" s="348"/>
      <c r="E691" s="354"/>
      <c r="F691" s="349"/>
      <c r="G691" s="350"/>
      <c r="H691" s="894"/>
    </row>
    <row r="692" spans="1:8" ht="20.25">
      <c r="A692" s="341"/>
      <c r="B692" s="348"/>
      <c r="C692" s="348"/>
      <c r="D692" s="348"/>
      <c r="E692" s="354"/>
      <c r="F692" s="349"/>
      <c r="G692" s="350"/>
      <c r="H692" s="894"/>
    </row>
    <row r="693" spans="1:8" ht="20.25">
      <c r="A693" s="341"/>
      <c r="B693" s="348"/>
      <c r="C693" s="348"/>
      <c r="D693" s="348"/>
      <c r="E693" s="354"/>
      <c r="F693" s="349"/>
      <c r="G693" s="350"/>
      <c r="H693" s="894"/>
    </row>
    <row r="694" spans="1:8" ht="20.25">
      <c r="A694" s="341"/>
      <c r="B694" s="348"/>
      <c r="C694" s="348"/>
      <c r="D694" s="348"/>
      <c r="E694" s="354"/>
      <c r="F694" s="349"/>
      <c r="G694" s="350"/>
      <c r="H694" s="894"/>
    </row>
    <row r="695" spans="1:8" ht="20.25">
      <c r="A695" s="341"/>
      <c r="B695" s="348"/>
      <c r="C695" s="348"/>
      <c r="D695" s="348"/>
      <c r="E695" s="354"/>
      <c r="F695" s="349"/>
      <c r="G695" s="350"/>
      <c r="H695" s="894"/>
    </row>
    <row r="696" spans="1:8" ht="20.25">
      <c r="A696" s="341"/>
      <c r="B696" s="348"/>
      <c r="C696" s="348"/>
      <c r="D696" s="348"/>
      <c r="E696" s="354"/>
      <c r="F696" s="349"/>
      <c r="G696" s="350"/>
      <c r="H696" s="894"/>
    </row>
    <row r="697" spans="1:8" ht="20.25">
      <c r="A697" s="341"/>
      <c r="B697" s="348"/>
      <c r="C697" s="348"/>
      <c r="D697" s="348"/>
      <c r="E697" s="354"/>
      <c r="F697" s="349"/>
      <c r="G697" s="350"/>
      <c r="H697" s="894"/>
    </row>
    <row r="698" spans="1:8" ht="20.25">
      <c r="A698" s="341"/>
      <c r="B698" s="348"/>
      <c r="C698" s="348"/>
      <c r="D698" s="348"/>
      <c r="E698" s="354"/>
      <c r="F698" s="349"/>
      <c r="G698" s="350"/>
      <c r="H698" s="894"/>
    </row>
    <row r="699" spans="1:8" ht="20.25">
      <c r="A699" s="341"/>
      <c r="B699" s="348"/>
      <c r="C699" s="348"/>
      <c r="D699" s="348"/>
      <c r="E699" s="354"/>
      <c r="F699" s="349"/>
      <c r="G699" s="350"/>
      <c r="H699" s="894"/>
    </row>
    <row r="700" spans="1:8" ht="20.25">
      <c r="A700" s="341"/>
      <c r="B700" s="348"/>
      <c r="C700" s="348"/>
      <c r="D700" s="348"/>
      <c r="E700" s="354"/>
      <c r="F700" s="349"/>
      <c r="G700" s="350"/>
      <c r="H700" s="894"/>
    </row>
    <row r="701" spans="1:8" ht="20.25">
      <c r="A701" s="341"/>
      <c r="B701" s="348"/>
      <c r="C701" s="348"/>
      <c r="D701" s="348"/>
      <c r="E701" s="354"/>
      <c r="F701" s="349"/>
      <c r="G701" s="350"/>
      <c r="H701" s="894"/>
    </row>
    <row r="702" spans="1:8" ht="20.25">
      <c r="A702" s="341"/>
      <c r="B702" s="348"/>
      <c r="C702" s="348"/>
      <c r="D702" s="348"/>
      <c r="E702" s="354"/>
      <c r="F702" s="349"/>
      <c r="G702" s="350"/>
      <c r="H702" s="894"/>
    </row>
    <row r="703" spans="1:8" ht="20.25">
      <c r="A703" s="341"/>
      <c r="B703" s="348"/>
      <c r="C703" s="348"/>
      <c r="D703" s="348"/>
      <c r="E703" s="354"/>
      <c r="F703" s="349"/>
      <c r="G703" s="350"/>
      <c r="H703" s="894"/>
    </row>
    <row r="704" spans="1:8" ht="20.25">
      <c r="A704" s="341"/>
      <c r="B704" s="348"/>
      <c r="C704" s="348"/>
      <c r="D704" s="348"/>
      <c r="E704" s="354"/>
      <c r="F704" s="349"/>
      <c r="G704" s="350"/>
      <c r="H704" s="894"/>
    </row>
    <row r="705" spans="1:8" ht="20.25">
      <c r="A705" s="341"/>
      <c r="B705" s="348"/>
      <c r="C705" s="348"/>
      <c r="D705" s="348"/>
      <c r="E705" s="354"/>
      <c r="F705" s="349"/>
      <c r="G705" s="350"/>
      <c r="H705" s="894"/>
    </row>
    <row r="706" spans="1:8" ht="20.25">
      <c r="A706" s="341"/>
      <c r="B706" s="348"/>
      <c r="C706" s="348"/>
      <c r="D706" s="348"/>
      <c r="E706" s="354"/>
      <c r="F706" s="349"/>
      <c r="G706" s="350"/>
      <c r="H706" s="894"/>
    </row>
    <row r="707" spans="1:8" ht="20.25">
      <c r="A707" s="341"/>
      <c r="B707" s="348"/>
      <c r="C707" s="348"/>
      <c r="D707" s="348"/>
      <c r="E707" s="354"/>
      <c r="F707" s="349"/>
      <c r="G707" s="350"/>
      <c r="H707" s="894"/>
    </row>
    <row r="708" spans="1:8" ht="20.25">
      <c r="A708" s="341"/>
      <c r="B708" s="348"/>
      <c r="C708" s="348"/>
      <c r="D708" s="348"/>
      <c r="E708" s="354"/>
      <c r="F708" s="349"/>
      <c r="G708" s="350"/>
      <c r="H708" s="894"/>
    </row>
    <row r="709" spans="1:8" ht="20.25">
      <c r="A709" s="341"/>
      <c r="B709" s="348"/>
      <c r="C709" s="348"/>
      <c r="D709" s="348"/>
      <c r="E709" s="354"/>
      <c r="F709" s="349"/>
      <c r="G709" s="350"/>
      <c r="H709" s="894"/>
    </row>
    <row r="710" spans="1:8" ht="20.25">
      <c r="A710" s="341"/>
      <c r="B710" s="348"/>
      <c r="C710" s="348"/>
      <c r="D710" s="348"/>
      <c r="E710" s="354"/>
      <c r="F710" s="349"/>
      <c r="G710" s="350"/>
      <c r="H710" s="894"/>
    </row>
    <row r="711" spans="1:8" ht="20.25">
      <c r="A711" s="341"/>
      <c r="B711" s="348"/>
      <c r="C711" s="348"/>
      <c r="D711" s="348"/>
      <c r="E711" s="354"/>
      <c r="F711" s="349"/>
      <c r="G711" s="350"/>
      <c r="H711" s="894"/>
    </row>
    <row r="712" spans="1:8" ht="20.25">
      <c r="A712" s="341"/>
      <c r="B712" s="348"/>
      <c r="C712" s="348"/>
      <c r="D712" s="348"/>
      <c r="E712" s="354"/>
      <c r="F712" s="349"/>
      <c r="G712" s="350"/>
      <c r="H712" s="894"/>
    </row>
    <row r="713" spans="1:8" ht="20.25">
      <c r="A713" s="341"/>
      <c r="B713" s="348"/>
      <c r="C713" s="348"/>
      <c r="D713" s="348"/>
      <c r="E713" s="354"/>
      <c r="F713" s="349"/>
      <c r="G713" s="350"/>
      <c r="H713" s="894"/>
    </row>
    <row r="714" spans="1:8" ht="20.25">
      <c r="A714" s="341"/>
      <c r="B714" s="348"/>
      <c r="C714" s="348"/>
      <c r="D714" s="348"/>
      <c r="E714" s="354"/>
      <c r="F714" s="349"/>
      <c r="G714" s="350"/>
      <c r="H714" s="894"/>
    </row>
    <row r="715" spans="1:8" ht="20.25">
      <c r="A715" s="341"/>
      <c r="B715" s="348"/>
      <c r="C715" s="348"/>
      <c r="D715" s="348"/>
      <c r="E715" s="354"/>
      <c r="F715" s="349"/>
      <c r="G715" s="350"/>
      <c r="H715" s="894"/>
    </row>
    <row r="716" spans="1:8" ht="20.25">
      <c r="A716" s="341"/>
      <c r="B716" s="348"/>
      <c r="C716" s="348"/>
      <c r="D716" s="348"/>
      <c r="E716" s="354"/>
      <c r="F716" s="349"/>
      <c r="G716" s="350"/>
      <c r="H716" s="894"/>
    </row>
    <row r="717" spans="1:8" ht="20.25">
      <c r="A717" s="341"/>
      <c r="B717" s="348"/>
      <c r="C717" s="348"/>
      <c r="D717" s="348"/>
      <c r="E717" s="354"/>
      <c r="F717" s="349"/>
      <c r="G717" s="350"/>
      <c r="H717" s="894"/>
    </row>
    <row r="718" spans="1:8" ht="20.25">
      <c r="A718" s="341"/>
      <c r="B718" s="348"/>
      <c r="C718" s="348"/>
      <c r="D718" s="348"/>
      <c r="E718" s="354"/>
      <c r="F718" s="349"/>
      <c r="G718" s="350"/>
      <c r="H718" s="894"/>
    </row>
    <row r="719" spans="1:8" ht="20.25">
      <c r="A719" s="341"/>
      <c r="B719" s="348"/>
      <c r="C719" s="348"/>
      <c r="D719" s="348"/>
      <c r="E719" s="354"/>
      <c r="F719" s="349"/>
      <c r="G719" s="350"/>
      <c r="H719" s="894"/>
    </row>
    <row r="720" spans="1:8" ht="20.25">
      <c r="A720" s="341"/>
      <c r="B720" s="348"/>
      <c r="C720" s="348"/>
      <c r="D720" s="348"/>
      <c r="E720" s="354"/>
      <c r="F720" s="349"/>
      <c r="G720" s="350"/>
      <c r="H720" s="894"/>
    </row>
    <row r="721" spans="1:8" ht="20.25">
      <c r="A721" s="341"/>
      <c r="B721" s="348"/>
      <c r="C721" s="348"/>
      <c r="D721" s="348"/>
      <c r="E721" s="354"/>
      <c r="F721" s="349"/>
      <c r="G721" s="350"/>
      <c r="H721" s="894"/>
    </row>
    <row r="722" spans="1:8" ht="20.25">
      <c r="A722" s="341"/>
      <c r="B722" s="348"/>
      <c r="C722" s="348"/>
      <c r="D722" s="348"/>
      <c r="E722" s="354"/>
      <c r="F722" s="349"/>
      <c r="G722" s="350"/>
      <c r="H722" s="894"/>
    </row>
    <row r="723" spans="1:8" ht="20.25">
      <c r="A723" s="341"/>
      <c r="B723" s="348"/>
      <c r="C723" s="348"/>
      <c r="D723" s="348"/>
      <c r="E723" s="354"/>
      <c r="F723" s="349"/>
      <c r="G723" s="350"/>
      <c r="H723" s="894"/>
    </row>
    <row r="724" spans="1:8" ht="20.25">
      <c r="A724" s="341"/>
      <c r="B724" s="348"/>
      <c r="C724" s="348"/>
      <c r="D724" s="348"/>
      <c r="E724" s="354"/>
      <c r="F724" s="349"/>
      <c r="G724" s="350"/>
      <c r="H724" s="894"/>
    </row>
    <row r="725" spans="1:8" ht="20.25">
      <c r="A725" s="341"/>
      <c r="B725" s="348"/>
      <c r="C725" s="348"/>
      <c r="D725" s="348"/>
      <c r="E725" s="354"/>
      <c r="F725" s="349"/>
      <c r="G725" s="350"/>
      <c r="H725" s="894"/>
    </row>
    <row r="726" spans="1:8" ht="20.25">
      <c r="A726" s="341"/>
      <c r="B726" s="348"/>
      <c r="C726" s="348"/>
      <c r="D726" s="348"/>
      <c r="E726" s="354"/>
      <c r="F726" s="349"/>
      <c r="G726" s="350"/>
      <c r="H726" s="894"/>
    </row>
    <row r="727" spans="1:8" ht="20.25">
      <c r="A727" s="341"/>
      <c r="B727" s="348"/>
      <c r="C727" s="348"/>
      <c r="D727" s="348"/>
      <c r="E727" s="354"/>
      <c r="F727" s="349"/>
      <c r="G727" s="350"/>
      <c r="H727" s="894"/>
    </row>
    <row r="728" spans="1:8" ht="20.25">
      <c r="A728" s="341"/>
      <c r="B728" s="348"/>
      <c r="C728" s="348"/>
      <c r="D728" s="348"/>
      <c r="E728" s="354"/>
      <c r="F728" s="349"/>
      <c r="G728" s="350"/>
      <c r="H728" s="894"/>
    </row>
    <row r="729" spans="1:8" ht="20.25">
      <c r="A729" s="341"/>
      <c r="B729" s="348"/>
      <c r="C729" s="348"/>
      <c r="D729" s="348"/>
      <c r="E729" s="354"/>
      <c r="F729" s="349"/>
      <c r="G729" s="350"/>
      <c r="H729" s="894"/>
    </row>
    <row r="730" spans="1:8" ht="20.25">
      <c r="A730" s="341"/>
      <c r="B730" s="348"/>
      <c r="C730" s="348"/>
      <c r="D730" s="348"/>
      <c r="E730" s="354"/>
      <c r="F730" s="349"/>
      <c r="G730" s="350"/>
      <c r="H730" s="894"/>
    </row>
    <row r="731" spans="1:8" ht="20.25">
      <c r="A731" s="341"/>
      <c r="B731" s="348"/>
      <c r="C731" s="348"/>
      <c r="D731" s="348"/>
      <c r="E731" s="354"/>
      <c r="F731" s="349"/>
      <c r="G731" s="350"/>
      <c r="H731" s="894"/>
    </row>
    <row r="732" spans="1:8" ht="20.25">
      <c r="A732" s="341"/>
      <c r="B732" s="348"/>
      <c r="C732" s="348"/>
      <c r="D732" s="348"/>
      <c r="E732" s="354"/>
      <c r="F732" s="349"/>
      <c r="G732" s="350"/>
      <c r="H732" s="894"/>
    </row>
    <row r="733" spans="1:8" ht="20.25">
      <c r="A733" s="341"/>
      <c r="B733" s="348"/>
      <c r="C733" s="348"/>
      <c r="D733" s="348"/>
      <c r="E733" s="354"/>
      <c r="F733" s="349"/>
      <c r="G733" s="350"/>
      <c r="H733" s="894"/>
    </row>
    <row r="734" spans="1:8" ht="20.25">
      <c r="A734" s="341"/>
      <c r="B734" s="348"/>
      <c r="C734" s="348"/>
      <c r="D734" s="348"/>
      <c r="E734" s="354"/>
      <c r="F734" s="349"/>
      <c r="G734" s="350"/>
      <c r="H734" s="894"/>
    </row>
    <row r="735" spans="1:8" ht="20.25">
      <c r="A735" s="341"/>
      <c r="B735" s="348"/>
      <c r="C735" s="348"/>
      <c r="D735" s="348"/>
      <c r="E735" s="354"/>
      <c r="F735" s="349"/>
      <c r="G735" s="350"/>
      <c r="H735" s="894"/>
    </row>
    <row r="736" spans="1:8" ht="20.25">
      <c r="A736" s="341"/>
      <c r="B736" s="348"/>
      <c r="C736" s="348"/>
      <c r="D736" s="348"/>
      <c r="E736" s="354"/>
      <c r="F736" s="349"/>
      <c r="G736" s="350"/>
      <c r="H736" s="894"/>
    </row>
    <row r="737" spans="1:8" ht="20.25">
      <c r="A737" s="341"/>
      <c r="B737" s="348"/>
      <c r="C737" s="348"/>
      <c r="D737" s="348"/>
      <c r="E737" s="354"/>
      <c r="F737" s="349"/>
      <c r="G737" s="350"/>
      <c r="H737" s="894"/>
    </row>
    <row r="738" spans="1:8" ht="20.25">
      <c r="A738" s="341"/>
      <c r="B738" s="348"/>
      <c r="C738" s="348"/>
      <c r="D738" s="348"/>
      <c r="E738" s="354"/>
      <c r="F738" s="349"/>
      <c r="G738" s="350"/>
      <c r="H738" s="894"/>
    </row>
    <row r="739" spans="1:8" ht="20.25">
      <c r="A739" s="341"/>
      <c r="B739" s="348"/>
      <c r="C739" s="348"/>
      <c r="D739" s="348"/>
      <c r="E739" s="354"/>
      <c r="F739" s="349"/>
      <c r="G739" s="350"/>
      <c r="H739" s="894"/>
    </row>
    <row r="740" spans="1:8" ht="20.25">
      <c r="A740" s="341"/>
      <c r="B740" s="348"/>
      <c r="C740" s="348"/>
      <c r="D740" s="348"/>
      <c r="E740" s="354"/>
      <c r="F740" s="349"/>
      <c r="G740" s="350"/>
      <c r="H740" s="894"/>
    </row>
    <row r="741" spans="1:8" ht="20.25">
      <c r="A741" s="341"/>
      <c r="B741" s="348"/>
      <c r="C741" s="348"/>
      <c r="D741" s="348"/>
      <c r="E741" s="354"/>
      <c r="F741" s="349"/>
      <c r="G741" s="350"/>
      <c r="H741" s="894"/>
    </row>
    <row r="742" spans="1:8" ht="20.25">
      <c r="A742" s="341"/>
      <c r="B742" s="348"/>
      <c r="C742" s="348"/>
      <c r="D742" s="348"/>
      <c r="E742" s="354"/>
      <c r="F742" s="349"/>
      <c r="G742" s="350"/>
      <c r="H742" s="894"/>
    </row>
    <row r="743" spans="1:8" ht="20.25">
      <c r="A743" s="341"/>
      <c r="B743" s="348"/>
      <c r="C743" s="348"/>
      <c r="D743" s="348"/>
      <c r="E743" s="354"/>
      <c r="F743" s="349"/>
      <c r="G743" s="350"/>
      <c r="H743" s="894"/>
    </row>
    <row r="744" spans="1:8" ht="20.25">
      <c r="A744" s="341"/>
      <c r="B744" s="348"/>
      <c r="C744" s="348"/>
      <c r="D744" s="348"/>
      <c r="E744" s="354"/>
      <c r="F744" s="349"/>
      <c r="G744" s="350"/>
      <c r="H744" s="894"/>
    </row>
    <row r="745" spans="1:8" ht="20.25">
      <c r="A745" s="341"/>
      <c r="B745" s="348"/>
      <c r="C745" s="348"/>
      <c r="D745" s="348"/>
      <c r="E745" s="354"/>
      <c r="F745" s="349"/>
      <c r="G745" s="350"/>
      <c r="H745" s="894"/>
    </row>
    <row r="746" spans="1:8" ht="20.25">
      <c r="A746" s="341"/>
      <c r="B746" s="348"/>
      <c r="C746" s="348"/>
      <c r="D746" s="348"/>
      <c r="E746" s="354"/>
      <c r="F746" s="349"/>
      <c r="G746" s="350"/>
      <c r="H746" s="894"/>
    </row>
    <row r="747" spans="1:8" ht="20.25">
      <c r="A747" s="341"/>
      <c r="B747" s="348"/>
      <c r="C747" s="348"/>
      <c r="D747" s="348"/>
      <c r="E747" s="354"/>
      <c r="F747" s="349"/>
      <c r="G747" s="350"/>
      <c r="H747" s="894"/>
    </row>
    <row r="748" spans="1:8" ht="20.25">
      <c r="A748" s="341"/>
      <c r="B748" s="348"/>
      <c r="C748" s="348"/>
      <c r="D748" s="348"/>
      <c r="E748" s="354"/>
      <c r="F748" s="349"/>
      <c r="G748" s="350"/>
      <c r="H748" s="894"/>
    </row>
    <row r="749" spans="1:8" ht="20.25">
      <c r="A749" s="341"/>
      <c r="B749" s="348"/>
      <c r="C749" s="348"/>
      <c r="D749" s="348"/>
      <c r="E749" s="354"/>
      <c r="F749" s="349"/>
      <c r="G749" s="350"/>
      <c r="H749" s="894"/>
    </row>
    <row r="750" spans="1:8" ht="20.25">
      <c r="A750" s="341"/>
      <c r="B750" s="348"/>
      <c r="C750" s="348"/>
      <c r="D750" s="348"/>
      <c r="E750" s="354"/>
      <c r="F750" s="349"/>
      <c r="G750" s="350"/>
      <c r="H750" s="894"/>
    </row>
    <row r="751" spans="1:8" ht="20.25">
      <c r="A751" s="341"/>
      <c r="B751" s="348"/>
      <c r="C751" s="348"/>
      <c r="D751" s="348"/>
      <c r="E751" s="354"/>
      <c r="F751" s="349"/>
      <c r="G751" s="350"/>
      <c r="H751" s="894"/>
    </row>
    <row r="752" spans="1:8" ht="20.25">
      <c r="A752" s="341"/>
      <c r="B752" s="348"/>
      <c r="C752" s="348"/>
      <c r="D752" s="348"/>
      <c r="E752" s="354"/>
      <c r="F752" s="349"/>
      <c r="G752" s="350"/>
      <c r="H752" s="894"/>
    </row>
    <row r="753" spans="1:8" ht="20.25">
      <c r="A753" s="341"/>
      <c r="B753" s="348"/>
      <c r="C753" s="348"/>
      <c r="D753" s="348"/>
      <c r="E753" s="354"/>
      <c r="F753" s="349"/>
      <c r="G753" s="350"/>
      <c r="H753" s="894"/>
    </row>
    <row r="754" spans="1:8" ht="20.25">
      <c r="A754" s="341"/>
      <c r="B754" s="348"/>
      <c r="C754" s="348"/>
      <c r="D754" s="348"/>
      <c r="E754" s="354"/>
      <c r="F754" s="349"/>
      <c r="G754" s="350"/>
      <c r="H754" s="894"/>
    </row>
    <row r="755" spans="1:8" ht="20.25">
      <c r="A755" s="341"/>
      <c r="B755" s="348"/>
      <c r="C755" s="348"/>
      <c r="D755" s="348"/>
      <c r="E755" s="354"/>
      <c r="F755" s="349"/>
      <c r="G755" s="350"/>
      <c r="H755" s="894"/>
    </row>
    <row r="756" spans="1:8" ht="20.25">
      <c r="A756" s="341"/>
      <c r="B756" s="348"/>
      <c r="C756" s="348"/>
      <c r="D756" s="348"/>
      <c r="E756" s="354"/>
      <c r="F756" s="349"/>
      <c r="G756" s="350"/>
      <c r="H756" s="894"/>
    </row>
    <row r="757" spans="1:8" ht="20.25">
      <c r="A757" s="341"/>
      <c r="B757" s="348"/>
      <c r="C757" s="348"/>
      <c r="D757" s="348"/>
      <c r="E757" s="354"/>
      <c r="F757" s="349"/>
      <c r="G757" s="350"/>
      <c r="H757" s="894"/>
    </row>
    <row r="758" spans="1:8" ht="20.25">
      <c r="A758" s="341"/>
      <c r="B758" s="348"/>
      <c r="C758" s="348"/>
      <c r="D758" s="348"/>
      <c r="E758" s="354"/>
      <c r="F758" s="349"/>
      <c r="G758" s="350"/>
      <c r="H758" s="894"/>
    </row>
    <row r="759" spans="1:8" ht="20.25">
      <c r="A759" s="341"/>
      <c r="B759" s="348"/>
      <c r="C759" s="348"/>
      <c r="D759" s="348"/>
      <c r="E759" s="354"/>
      <c r="F759" s="349"/>
      <c r="G759" s="350"/>
      <c r="H759" s="894"/>
    </row>
    <row r="760" spans="1:8" ht="20.25">
      <c r="A760" s="341"/>
      <c r="B760" s="348"/>
      <c r="C760" s="348"/>
      <c r="D760" s="348"/>
      <c r="E760" s="354"/>
      <c r="F760" s="349"/>
      <c r="G760" s="350"/>
      <c r="H760" s="894"/>
    </row>
    <row r="761" spans="1:8" ht="20.25">
      <c r="A761" s="341"/>
      <c r="B761" s="348"/>
      <c r="C761" s="348"/>
      <c r="D761" s="348"/>
      <c r="E761" s="354"/>
      <c r="F761" s="349"/>
      <c r="G761" s="350"/>
      <c r="H761" s="894"/>
    </row>
    <row r="762" spans="1:8" ht="20.25">
      <c r="A762" s="341"/>
      <c r="B762" s="348"/>
      <c r="C762" s="348"/>
      <c r="D762" s="348"/>
      <c r="E762" s="354"/>
      <c r="F762" s="349"/>
      <c r="G762" s="350"/>
      <c r="H762" s="894"/>
    </row>
    <row r="763" spans="1:8" ht="20.25">
      <c r="A763" s="341"/>
      <c r="B763" s="348"/>
      <c r="C763" s="348"/>
      <c r="D763" s="348"/>
      <c r="E763" s="354"/>
      <c r="F763" s="349"/>
      <c r="G763" s="350"/>
      <c r="H763" s="894"/>
    </row>
    <row r="764" spans="1:8" ht="20.25">
      <c r="A764" s="341"/>
      <c r="B764" s="348"/>
      <c r="C764" s="348"/>
      <c r="D764" s="348"/>
      <c r="E764" s="354"/>
      <c r="F764" s="349"/>
      <c r="G764" s="350"/>
      <c r="H764" s="894"/>
    </row>
    <row r="765" spans="1:8" ht="20.25">
      <c r="A765" s="341"/>
      <c r="B765" s="348"/>
      <c r="C765" s="348"/>
      <c r="D765" s="348"/>
      <c r="E765" s="354"/>
      <c r="F765" s="349"/>
      <c r="G765" s="350"/>
      <c r="H765" s="894"/>
    </row>
    <row r="766" spans="1:8" ht="20.25">
      <c r="A766" s="341"/>
      <c r="B766" s="348"/>
      <c r="C766" s="348"/>
      <c r="D766" s="348"/>
      <c r="E766" s="354"/>
      <c r="F766" s="349"/>
      <c r="G766" s="350"/>
      <c r="H766" s="894"/>
    </row>
    <row r="767" spans="1:8" ht="20.25">
      <c r="A767" s="341"/>
      <c r="B767" s="348"/>
      <c r="C767" s="348"/>
      <c r="D767" s="348"/>
      <c r="E767" s="354"/>
      <c r="F767" s="349"/>
      <c r="G767" s="350"/>
      <c r="H767" s="894"/>
    </row>
    <row r="768" spans="1:8" ht="20.25">
      <c r="A768" s="341"/>
      <c r="B768" s="348"/>
      <c r="C768" s="348"/>
      <c r="D768" s="348"/>
      <c r="E768" s="354"/>
      <c r="F768" s="349"/>
      <c r="G768" s="350"/>
      <c r="H768" s="894"/>
    </row>
    <row r="769" spans="1:8" ht="20.25">
      <c r="A769" s="341"/>
      <c r="B769" s="348"/>
      <c r="C769" s="348"/>
      <c r="D769" s="348"/>
      <c r="E769" s="354"/>
      <c r="F769" s="349"/>
      <c r="G769" s="350"/>
      <c r="H769" s="894"/>
    </row>
    <row r="770" spans="1:8" ht="20.25">
      <c r="A770" s="341"/>
      <c r="B770" s="348"/>
      <c r="C770" s="348"/>
      <c r="D770" s="348"/>
      <c r="E770" s="354"/>
      <c r="F770" s="349"/>
      <c r="G770" s="350"/>
      <c r="H770" s="894"/>
    </row>
    <row r="771" spans="1:8" ht="20.25">
      <c r="A771" s="341"/>
      <c r="B771" s="348"/>
      <c r="C771" s="348"/>
      <c r="D771" s="348"/>
      <c r="E771" s="354"/>
      <c r="F771" s="349"/>
      <c r="G771" s="350"/>
      <c r="H771" s="894"/>
    </row>
    <row r="772" spans="1:8" ht="20.25">
      <c r="A772" s="341"/>
      <c r="B772" s="348"/>
      <c r="C772" s="348"/>
      <c r="D772" s="348"/>
      <c r="E772" s="354"/>
      <c r="F772" s="349"/>
      <c r="G772" s="350"/>
      <c r="H772" s="894"/>
    </row>
    <row r="773" spans="1:8" ht="20.25">
      <c r="A773" s="341"/>
      <c r="B773" s="348"/>
      <c r="C773" s="348"/>
      <c r="D773" s="348"/>
      <c r="E773" s="354"/>
      <c r="F773" s="349"/>
      <c r="G773" s="350"/>
      <c r="H773" s="894"/>
    </row>
    <row r="774" spans="1:8" ht="20.25">
      <c r="A774" s="341"/>
      <c r="B774" s="348"/>
      <c r="C774" s="348"/>
      <c r="D774" s="348"/>
      <c r="E774" s="354"/>
      <c r="F774" s="349"/>
      <c r="G774" s="350"/>
      <c r="H774" s="894"/>
    </row>
    <row r="775" spans="1:8" ht="20.25">
      <c r="A775" s="341"/>
      <c r="B775" s="348"/>
      <c r="C775" s="348"/>
      <c r="D775" s="348"/>
      <c r="E775" s="354"/>
      <c r="F775" s="349"/>
      <c r="G775" s="350"/>
      <c r="H775" s="894"/>
    </row>
    <row r="776" spans="1:8" ht="20.25">
      <c r="A776" s="341"/>
      <c r="B776" s="348"/>
      <c r="C776" s="348"/>
      <c r="D776" s="348"/>
      <c r="E776" s="354"/>
      <c r="F776" s="349"/>
      <c r="G776" s="350"/>
      <c r="H776" s="894"/>
    </row>
    <row r="777" spans="1:8" ht="20.25">
      <c r="A777" s="341"/>
      <c r="B777" s="348"/>
      <c r="C777" s="348"/>
      <c r="D777" s="348"/>
      <c r="E777" s="354"/>
      <c r="F777" s="349"/>
      <c r="G777" s="350"/>
      <c r="H777" s="894"/>
    </row>
    <row r="778" spans="1:8" ht="20.25">
      <c r="A778" s="341"/>
      <c r="B778" s="348"/>
      <c r="C778" s="348"/>
      <c r="D778" s="348"/>
      <c r="E778" s="354"/>
      <c r="F778" s="349"/>
      <c r="G778" s="350"/>
      <c r="H778" s="894"/>
    </row>
    <row r="779" spans="1:8" ht="20.25">
      <c r="A779" s="341"/>
      <c r="B779" s="348"/>
      <c r="C779" s="348"/>
      <c r="D779" s="348"/>
      <c r="E779" s="354"/>
      <c r="F779" s="349"/>
      <c r="G779" s="350"/>
      <c r="H779" s="894"/>
    </row>
    <row r="780" spans="1:8" ht="20.25">
      <c r="A780" s="341"/>
      <c r="B780" s="348"/>
      <c r="C780" s="348"/>
      <c r="D780" s="348"/>
      <c r="E780" s="354"/>
      <c r="F780" s="349"/>
      <c r="G780" s="350"/>
      <c r="H780" s="894"/>
    </row>
    <row r="781" spans="1:8" ht="20.25">
      <c r="A781" s="341"/>
      <c r="B781" s="348"/>
      <c r="C781" s="348"/>
      <c r="D781" s="348"/>
      <c r="E781" s="354"/>
      <c r="F781" s="349"/>
      <c r="G781" s="350"/>
      <c r="H781" s="894"/>
    </row>
    <row r="782" spans="1:8" ht="20.25">
      <c r="A782" s="341"/>
      <c r="B782" s="348"/>
      <c r="C782" s="348"/>
      <c r="D782" s="348"/>
      <c r="E782" s="354"/>
      <c r="F782" s="349"/>
      <c r="G782" s="350"/>
      <c r="H782" s="894"/>
    </row>
    <row r="783" spans="1:8" ht="20.25">
      <c r="A783" s="341"/>
      <c r="B783" s="348"/>
      <c r="C783" s="348"/>
      <c r="D783" s="348"/>
      <c r="E783" s="354"/>
      <c r="F783" s="349"/>
      <c r="G783" s="350"/>
      <c r="H783" s="894"/>
    </row>
    <row r="784" spans="1:8" ht="20.25">
      <c r="A784" s="341"/>
      <c r="B784" s="348"/>
      <c r="C784" s="348"/>
      <c r="D784" s="348"/>
      <c r="E784" s="354"/>
      <c r="F784" s="349"/>
      <c r="G784" s="350"/>
      <c r="H784" s="894"/>
    </row>
    <row r="785" spans="1:8" ht="20.25">
      <c r="A785" s="341"/>
      <c r="B785" s="348"/>
      <c r="C785" s="348"/>
      <c r="D785" s="348"/>
      <c r="E785" s="354"/>
      <c r="F785" s="349"/>
      <c r="G785" s="350"/>
      <c r="H785" s="894"/>
    </row>
    <row r="786" spans="1:8" ht="20.25">
      <c r="A786" s="341"/>
      <c r="B786" s="348"/>
      <c r="C786" s="348"/>
      <c r="D786" s="348"/>
      <c r="E786" s="354"/>
      <c r="F786" s="349"/>
      <c r="G786" s="350"/>
      <c r="H786" s="894"/>
    </row>
    <row r="787" spans="1:8" ht="20.25">
      <c r="A787" s="341"/>
      <c r="B787" s="348"/>
      <c r="C787" s="348"/>
      <c r="D787" s="348"/>
      <c r="E787" s="354"/>
      <c r="F787" s="349"/>
      <c r="G787" s="350"/>
      <c r="H787" s="894"/>
    </row>
    <row r="788" spans="1:8" ht="20.25">
      <c r="A788" s="341"/>
      <c r="B788" s="348"/>
      <c r="C788" s="348"/>
      <c r="D788" s="348"/>
      <c r="E788" s="354"/>
      <c r="F788" s="349"/>
      <c r="G788" s="350"/>
      <c r="H788" s="894"/>
    </row>
    <row r="789" spans="1:8" ht="20.25">
      <c r="A789" s="341"/>
      <c r="B789" s="348"/>
      <c r="C789" s="348"/>
      <c r="D789" s="348"/>
      <c r="E789" s="354"/>
      <c r="F789" s="349"/>
      <c r="G789" s="350"/>
      <c r="H789" s="894"/>
    </row>
    <row r="790" spans="1:8" ht="20.25">
      <c r="A790" s="341"/>
      <c r="B790" s="348"/>
      <c r="C790" s="348"/>
      <c r="D790" s="348"/>
      <c r="E790" s="354"/>
      <c r="F790" s="349"/>
      <c r="G790" s="350"/>
      <c r="H790" s="894"/>
    </row>
    <row r="791" spans="1:8" ht="20.25">
      <c r="A791" s="341"/>
      <c r="B791" s="348"/>
      <c r="C791" s="348"/>
      <c r="D791" s="348"/>
      <c r="E791" s="354"/>
      <c r="F791" s="349"/>
      <c r="G791" s="350"/>
      <c r="H791" s="894"/>
    </row>
    <row r="792" spans="1:8" ht="20.25">
      <c r="A792" s="341"/>
      <c r="B792" s="348"/>
      <c r="C792" s="348"/>
      <c r="D792" s="348"/>
      <c r="E792" s="354"/>
      <c r="F792" s="349"/>
      <c r="G792" s="350"/>
      <c r="H792" s="894"/>
    </row>
    <row r="793" spans="1:8" ht="20.25">
      <c r="A793" s="341"/>
      <c r="B793" s="348"/>
      <c r="C793" s="348"/>
      <c r="D793" s="348"/>
      <c r="E793" s="354"/>
      <c r="F793" s="349"/>
      <c r="G793" s="350"/>
      <c r="H793" s="894"/>
    </row>
    <row r="794" spans="1:8" ht="20.25">
      <c r="A794" s="341"/>
      <c r="B794" s="348"/>
      <c r="C794" s="348"/>
      <c r="D794" s="348"/>
      <c r="E794" s="354"/>
      <c r="F794" s="349"/>
      <c r="G794" s="350"/>
      <c r="H794" s="894"/>
    </row>
    <row r="795" spans="1:8" ht="20.25">
      <c r="A795" s="341"/>
      <c r="B795" s="348"/>
      <c r="C795" s="348"/>
      <c r="D795" s="348"/>
      <c r="E795" s="354"/>
      <c r="F795" s="349"/>
      <c r="G795" s="350"/>
      <c r="H795" s="894"/>
    </row>
    <row r="796" spans="1:8" ht="20.25">
      <c r="A796" s="341"/>
      <c r="B796" s="348"/>
      <c r="C796" s="348"/>
      <c r="D796" s="348"/>
      <c r="E796" s="354"/>
      <c r="F796" s="349"/>
      <c r="G796" s="350"/>
      <c r="H796" s="894"/>
    </row>
    <row r="797" spans="1:8" ht="20.25">
      <c r="A797" s="341"/>
      <c r="B797" s="348"/>
      <c r="C797" s="348"/>
      <c r="D797" s="348"/>
      <c r="E797" s="354"/>
      <c r="F797" s="349"/>
      <c r="G797" s="350"/>
      <c r="H797" s="894"/>
    </row>
    <row r="798" spans="1:8" ht="20.25">
      <c r="A798" s="341"/>
      <c r="B798" s="348"/>
      <c r="C798" s="348"/>
      <c r="D798" s="348"/>
      <c r="E798" s="354"/>
      <c r="F798" s="349"/>
      <c r="G798" s="350"/>
      <c r="H798" s="894"/>
    </row>
    <row r="799" spans="1:8" ht="20.25">
      <c r="A799" s="341"/>
      <c r="B799" s="348"/>
      <c r="C799" s="348"/>
      <c r="D799" s="348"/>
      <c r="E799" s="354"/>
      <c r="F799" s="349"/>
      <c r="G799" s="350"/>
      <c r="H799" s="894"/>
    </row>
    <row r="800" spans="1:8" ht="20.25">
      <c r="A800" s="341"/>
      <c r="B800" s="348"/>
      <c r="C800" s="348"/>
      <c r="D800" s="348"/>
      <c r="E800" s="354"/>
      <c r="F800" s="349"/>
      <c r="G800" s="350"/>
      <c r="H800" s="894"/>
    </row>
    <row r="801" spans="1:8" ht="20.25">
      <c r="A801" s="341"/>
      <c r="B801" s="348"/>
      <c r="C801" s="348"/>
      <c r="D801" s="348"/>
      <c r="E801" s="354"/>
      <c r="F801" s="349"/>
      <c r="G801" s="350"/>
      <c r="H801" s="894"/>
    </row>
    <row r="802" spans="1:8" ht="20.25">
      <c r="A802" s="341"/>
      <c r="B802" s="348"/>
      <c r="C802" s="348"/>
      <c r="D802" s="348"/>
      <c r="E802" s="354"/>
      <c r="F802" s="349"/>
      <c r="G802" s="350"/>
      <c r="H802" s="894"/>
    </row>
    <row r="803" spans="1:8" ht="20.25">
      <c r="A803" s="341"/>
      <c r="B803" s="348"/>
      <c r="C803" s="348"/>
      <c r="D803" s="348"/>
      <c r="E803" s="354"/>
      <c r="F803" s="349"/>
      <c r="G803" s="350"/>
      <c r="H803" s="894"/>
    </row>
    <row r="804" spans="1:8" ht="20.25">
      <c r="A804" s="341"/>
      <c r="B804" s="348"/>
      <c r="C804" s="348"/>
      <c r="D804" s="348"/>
      <c r="E804" s="354"/>
      <c r="F804" s="349"/>
      <c r="G804" s="350"/>
      <c r="H804" s="894"/>
    </row>
    <row r="805" spans="1:8" ht="20.25">
      <c r="A805" s="341"/>
      <c r="B805" s="348"/>
      <c r="C805" s="348"/>
      <c r="D805" s="348"/>
      <c r="E805" s="354"/>
      <c r="F805" s="349"/>
      <c r="G805" s="350"/>
      <c r="H805" s="894"/>
    </row>
    <row r="806" spans="1:8" ht="20.25">
      <c r="A806" s="341"/>
      <c r="B806" s="348"/>
      <c r="C806" s="348"/>
      <c r="D806" s="348"/>
      <c r="E806" s="354"/>
      <c r="F806" s="349"/>
      <c r="G806" s="350"/>
      <c r="H806" s="894"/>
    </row>
    <row r="807" spans="1:8" ht="20.25">
      <c r="A807" s="341"/>
      <c r="B807" s="348"/>
      <c r="C807" s="348"/>
      <c r="D807" s="348"/>
      <c r="E807" s="354"/>
      <c r="F807" s="349"/>
      <c r="G807" s="350"/>
      <c r="H807" s="894"/>
    </row>
    <row r="808" spans="1:8" ht="20.25">
      <c r="A808" s="341"/>
      <c r="B808" s="348"/>
      <c r="C808" s="348"/>
      <c r="D808" s="348"/>
      <c r="E808" s="354"/>
      <c r="F808" s="349"/>
      <c r="G808" s="350"/>
      <c r="H808" s="894"/>
    </row>
    <row r="809" spans="1:8" ht="20.25">
      <c r="A809" s="341"/>
      <c r="B809" s="348"/>
      <c r="C809" s="348"/>
      <c r="D809" s="348"/>
      <c r="E809" s="354"/>
      <c r="F809" s="349"/>
      <c r="G809" s="350"/>
      <c r="H809" s="894"/>
    </row>
    <row r="810" spans="1:8" ht="20.25">
      <c r="A810" s="341"/>
      <c r="B810" s="348"/>
      <c r="C810" s="348"/>
      <c r="D810" s="348"/>
      <c r="E810" s="354"/>
      <c r="F810" s="349"/>
      <c r="G810" s="350"/>
      <c r="H810" s="894"/>
    </row>
    <row r="811" spans="1:8" ht="20.25">
      <c r="A811" s="341"/>
      <c r="B811" s="348"/>
      <c r="C811" s="348"/>
      <c r="D811" s="348"/>
      <c r="E811" s="354"/>
      <c r="F811" s="349"/>
      <c r="G811" s="350"/>
      <c r="H811" s="894"/>
    </row>
    <row r="812" spans="1:8" ht="20.25">
      <c r="A812" s="341"/>
      <c r="B812" s="348"/>
      <c r="C812" s="348"/>
      <c r="D812" s="348"/>
      <c r="E812" s="354"/>
      <c r="F812" s="349"/>
      <c r="G812" s="350"/>
      <c r="H812" s="894"/>
    </row>
    <row r="813" spans="1:8" ht="20.25">
      <c r="A813" s="341"/>
      <c r="B813" s="348"/>
      <c r="C813" s="348"/>
      <c r="D813" s="348"/>
      <c r="E813" s="354"/>
      <c r="F813" s="349"/>
      <c r="G813" s="350"/>
      <c r="H813" s="894"/>
    </row>
    <row r="814" spans="1:8" ht="20.25">
      <c r="A814" s="341"/>
      <c r="B814" s="348"/>
      <c r="C814" s="348"/>
      <c r="D814" s="348"/>
      <c r="E814" s="354"/>
      <c r="F814" s="349"/>
      <c r="G814" s="350"/>
      <c r="H814" s="894"/>
    </row>
    <row r="815" spans="1:8" ht="20.25">
      <c r="A815" s="341"/>
      <c r="B815" s="348"/>
      <c r="C815" s="348"/>
      <c r="D815" s="348"/>
      <c r="E815" s="354"/>
      <c r="F815" s="349"/>
      <c r="G815" s="350"/>
      <c r="H815" s="894"/>
    </row>
    <row r="816" spans="1:8" ht="20.25">
      <c r="A816" s="341"/>
      <c r="B816" s="348"/>
      <c r="C816" s="348"/>
      <c r="D816" s="348"/>
      <c r="E816" s="354"/>
      <c r="F816" s="349"/>
      <c r="G816" s="350"/>
      <c r="H816" s="894"/>
    </row>
    <row r="817" spans="1:8" ht="20.25">
      <c r="A817" s="341"/>
      <c r="B817" s="348"/>
      <c r="C817" s="348"/>
      <c r="D817" s="348"/>
      <c r="E817" s="354"/>
      <c r="F817" s="349"/>
      <c r="G817" s="350"/>
      <c r="H817" s="894"/>
    </row>
    <row r="818" spans="1:8" ht="20.25">
      <c r="A818" s="341"/>
      <c r="B818" s="348"/>
      <c r="C818" s="348"/>
      <c r="D818" s="348"/>
      <c r="E818" s="354"/>
      <c r="F818" s="349"/>
      <c r="G818" s="350"/>
      <c r="H818" s="894"/>
    </row>
    <row r="819" spans="1:8" ht="20.25">
      <c r="A819" s="341"/>
      <c r="B819" s="348"/>
      <c r="C819" s="348"/>
      <c r="D819" s="348"/>
      <c r="E819" s="354"/>
      <c r="F819" s="349"/>
      <c r="G819" s="350"/>
      <c r="H819" s="894"/>
    </row>
    <row r="820" spans="1:8" ht="20.25">
      <c r="A820" s="341"/>
      <c r="B820" s="348"/>
      <c r="C820" s="348"/>
      <c r="D820" s="348"/>
      <c r="E820" s="354"/>
      <c r="F820" s="349"/>
      <c r="G820" s="350"/>
      <c r="H820" s="894"/>
    </row>
    <row r="821" spans="1:8" ht="20.25">
      <c r="A821" s="341"/>
      <c r="B821" s="348"/>
      <c r="C821" s="348"/>
      <c r="D821" s="348"/>
      <c r="E821" s="354"/>
      <c r="F821" s="349"/>
      <c r="G821" s="350"/>
      <c r="H821" s="894"/>
    </row>
    <row r="822" spans="1:8" ht="20.25">
      <c r="A822" s="341"/>
      <c r="B822" s="348"/>
      <c r="C822" s="348"/>
      <c r="D822" s="348"/>
      <c r="E822" s="354"/>
      <c r="F822" s="349"/>
      <c r="G822" s="350"/>
      <c r="H822" s="894"/>
    </row>
    <row r="823" spans="1:8" ht="20.25">
      <c r="A823" s="341"/>
      <c r="B823" s="348"/>
      <c r="C823" s="348"/>
      <c r="D823" s="348"/>
      <c r="E823" s="354"/>
      <c r="F823" s="349"/>
      <c r="G823" s="350"/>
      <c r="H823" s="894"/>
    </row>
    <row r="824" spans="1:8" ht="20.25">
      <c r="A824" s="341"/>
      <c r="B824" s="348"/>
      <c r="C824" s="348"/>
      <c r="D824" s="348"/>
      <c r="E824" s="354"/>
      <c r="F824" s="349"/>
      <c r="G824" s="350"/>
      <c r="H824" s="894"/>
    </row>
    <row r="825" spans="1:8" ht="20.25">
      <c r="A825" s="341"/>
      <c r="B825" s="348"/>
      <c r="C825" s="348"/>
      <c r="D825" s="348"/>
      <c r="E825" s="354"/>
      <c r="F825" s="349"/>
      <c r="G825" s="350"/>
      <c r="H825" s="894"/>
    </row>
    <row r="826" spans="1:8" ht="20.25">
      <c r="A826" s="341"/>
      <c r="B826" s="348"/>
      <c r="C826" s="348"/>
      <c r="D826" s="348"/>
      <c r="E826" s="354"/>
      <c r="F826" s="349"/>
      <c r="G826" s="350"/>
      <c r="H826" s="894"/>
    </row>
    <row r="827" spans="1:8" ht="20.25">
      <c r="A827" s="341"/>
      <c r="B827" s="348"/>
      <c r="C827" s="348"/>
      <c r="D827" s="348"/>
      <c r="E827" s="354"/>
      <c r="F827" s="349"/>
      <c r="G827" s="350"/>
      <c r="H827" s="894"/>
    </row>
    <row r="828" spans="1:8" ht="20.25">
      <c r="A828" s="341"/>
      <c r="B828" s="348"/>
      <c r="C828" s="348"/>
      <c r="D828" s="348"/>
      <c r="E828" s="354"/>
      <c r="F828" s="349"/>
      <c r="G828" s="350"/>
      <c r="H828" s="894"/>
    </row>
    <row r="829" spans="1:8" ht="20.25">
      <c r="A829" s="341"/>
      <c r="B829" s="348"/>
      <c r="C829" s="348"/>
      <c r="D829" s="348"/>
      <c r="E829" s="354"/>
      <c r="F829" s="349"/>
      <c r="G829" s="350"/>
      <c r="H829" s="894"/>
    </row>
    <row r="830" spans="1:8" ht="20.25">
      <c r="A830" s="341"/>
      <c r="B830" s="348"/>
      <c r="C830" s="348"/>
      <c r="D830" s="348"/>
      <c r="E830" s="354"/>
      <c r="F830" s="349"/>
      <c r="G830" s="350"/>
      <c r="H830" s="894"/>
    </row>
    <row r="831" spans="1:8" ht="20.25">
      <c r="A831" s="341"/>
      <c r="B831" s="348"/>
      <c r="C831" s="348"/>
      <c r="D831" s="348"/>
      <c r="E831" s="354"/>
      <c r="F831" s="349"/>
      <c r="G831" s="350"/>
      <c r="H831" s="894"/>
    </row>
    <row r="832" spans="1:8" ht="20.25">
      <c r="A832" s="341"/>
      <c r="B832" s="348"/>
      <c r="C832" s="348"/>
      <c r="D832" s="348"/>
      <c r="E832" s="354"/>
      <c r="F832" s="349"/>
      <c r="G832" s="350"/>
      <c r="H832" s="894"/>
    </row>
    <row r="833" spans="1:8" ht="20.25">
      <c r="A833" s="341"/>
      <c r="B833" s="348"/>
      <c r="C833" s="348"/>
      <c r="D833" s="348"/>
      <c r="E833" s="354"/>
      <c r="F833" s="349"/>
      <c r="G833" s="350"/>
      <c r="H833" s="894"/>
    </row>
    <row r="834" spans="1:8" ht="20.25">
      <c r="A834" s="341"/>
      <c r="B834" s="348"/>
      <c r="C834" s="348"/>
      <c r="D834" s="348"/>
      <c r="E834" s="354"/>
      <c r="F834" s="349"/>
      <c r="G834" s="350"/>
      <c r="H834" s="894"/>
    </row>
    <row r="835" spans="1:8" ht="20.25">
      <c r="A835" s="341"/>
      <c r="B835" s="348"/>
      <c r="C835" s="348"/>
      <c r="D835" s="348"/>
      <c r="E835" s="354"/>
      <c r="F835" s="349"/>
      <c r="G835" s="350"/>
      <c r="H835" s="894"/>
    </row>
    <row r="836" spans="1:8" ht="20.25">
      <c r="A836" s="341"/>
      <c r="B836" s="348"/>
      <c r="C836" s="348"/>
      <c r="D836" s="348"/>
      <c r="E836" s="354"/>
      <c r="F836" s="349"/>
      <c r="G836" s="350"/>
      <c r="H836" s="894"/>
    </row>
    <row r="837" spans="1:8" ht="20.25">
      <c r="A837" s="341"/>
      <c r="B837" s="348"/>
      <c r="C837" s="348"/>
      <c r="D837" s="348"/>
      <c r="E837" s="354"/>
      <c r="F837" s="349"/>
      <c r="G837" s="350"/>
      <c r="H837" s="894"/>
    </row>
    <row r="838" spans="1:8" ht="20.25">
      <c r="A838" s="341"/>
      <c r="B838" s="348"/>
      <c r="C838" s="348"/>
      <c r="D838" s="348"/>
      <c r="E838" s="354"/>
      <c r="F838" s="349"/>
      <c r="G838" s="350"/>
      <c r="H838" s="894"/>
    </row>
    <row r="839" spans="1:8" ht="20.25">
      <c r="A839" s="341"/>
      <c r="B839" s="348"/>
      <c r="C839" s="348"/>
      <c r="D839" s="348"/>
      <c r="E839" s="354"/>
      <c r="F839" s="349"/>
      <c r="G839" s="350"/>
      <c r="H839" s="894"/>
    </row>
    <row r="840" spans="1:8" ht="20.25">
      <c r="A840" s="341"/>
      <c r="B840" s="348"/>
      <c r="C840" s="348"/>
      <c r="D840" s="348"/>
      <c r="E840" s="354"/>
      <c r="F840" s="349"/>
      <c r="G840" s="350"/>
      <c r="H840" s="894"/>
    </row>
    <row r="841" spans="1:8" ht="20.25">
      <c r="A841" s="341"/>
      <c r="B841" s="348"/>
      <c r="C841" s="348"/>
      <c r="D841" s="348"/>
      <c r="E841" s="354"/>
      <c r="F841" s="349"/>
      <c r="G841" s="350"/>
      <c r="H841" s="894"/>
    </row>
    <row r="842" spans="1:8" ht="20.25">
      <c r="A842" s="341"/>
      <c r="B842" s="348"/>
      <c r="C842" s="348"/>
      <c r="D842" s="348"/>
      <c r="E842" s="354"/>
      <c r="F842" s="349"/>
      <c r="G842" s="350"/>
      <c r="H842" s="894"/>
    </row>
    <row r="843" spans="1:8" ht="20.25">
      <c r="A843" s="341"/>
      <c r="B843" s="348"/>
      <c r="C843" s="348"/>
      <c r="D843" s="348"/>
      <c r="E843" s="354"/>
      <c r="F843" s="349"/>
      <c r="G843" s="350"/>
      <c r="H843" s="894"/>
    </row>
    <row r="844" spans="1:8" ht="20.25">
      <c r="A844" s="341"/>
      <c r="B844" s="348"/>
      <c r="C844" s="348"/>
      <c r="D844" s="348"/>
      <c r="E844" s="354"/>
      <c r="F844" s="349"/>
      <c r="G844" s="350"/>
      <c r="H844" s="894"/>
    </row>
    <row r="845" spans="1:8" ht="20.25">
      <c r="A845" s="341"/>
      <c r="B845" s="348"/>
      <c r="C845" s="348"/>
      <c r="D845" s="348"/>
      <c r="E845" s="354"/>
      <c r="F845" s="349"/>
      <c r="G845" s="350"/>
      <c r="H845" s="894"/>
    </row>
    <row r="846" spans="1:8" ht="20.25">
      <c r="A846" s="341"/>
      <c r="B846" s="348"/>
      <c r="C846" s="348"/>
      <c r="D846" s="348"/>
      <c r="E846" s="354"/>
      <c r="F846" s="349"/>
      <c r="G846" s="350"/>
      <c r="H846" s="894"/>
    </row>
    <row r="847" spans="1:8" ht="20.25">
      <c r="A847" s="341"/>
      <c r="B847" s="348"/>
      <c r="C847" s="348"/>
      <c r="D847" s="348"/>
      <c r="E847" s="354"/>
      <c r="F847" s="349"/>
      <c r="G847" s="350"/>
      <c r="H847" s="894"/>
    </row>
    <row r="848" spans="1:8" ht="20.25">
      <c r="A848" s="341"/>
      <c r="B848" s="348"/>
      <c r="C848" s="348"/>
      <c r="D848" s="348"/>
      <c r="E848" s="354"/>
      <c r="F848" s="349"/>
      <c r="G848" s="350"/>
      <c r="H848" s="894"/>
    </row>
    <row r="849" spans="1:8" ht="20.25">
      <c r="A849" s="341"/>
      <c r="B849" s="348"/>
      <c r="C849" s="348"/>
      <c r="D849" s="348"/>
      <c r="E849" s="354"/>
      <c r="F849" s="349"/>
      <c r="G849" s="350"/>
      <c r="H849" s="894"/>
    </row>
    <row r="850" spans="1:8" ht="20.25">
      <c r="A850" s="341"/>
      <c r="B850" s="348"/>
      <c r="C850" s="348"/>
      <c r="D850" s="348"/>
      <c r="E850" s="354"/>
      <c r="F850" s="349"/>
      <c r="G850" s="350"/>
      <c r="H850" s="894"/>
    </row>
    <row r="851" spans="1:8" ht="20.25">
      <c r="A851" s="341"/>
      <c r="B851" s="348"/>
      <c r="C851" s="348"/>
      <c r="D851" s="348"/>
      <c r="E851" s="354"/>
      <c r="F851" s="349"/>
      <c r="G851" s="350"/>
      <c r="H851" s="894"/>
    </row>
    <row r="852" spans="1:8" ht="20.25">
      <c r="A852" s="341"/>
      <c r="B852" s="348"/>
      <c r="C852" s="348"/>
      <c r="D852" s="348"/>
      <c r="E852" s="354"/>
      <c r="F852" s="349"/>
      <c r="G852" s="350"/>
      <c r="H852" s="894"/>
    </row>
    <row r="853" spans="1:8" ht="20.25">
      <c r="A853" s="341"/>
      <c r="B853" s="348"/>
      <c r="C853" s="348"/>
      <c r="D853" s="348"/>
      <c r="E853" s="354"/>
      <c r="F853" s="349"/>
      <c r="G853" s="350"/>
      <c r="H853" s="894"/>
    </row>
    <row r="854" spans="1:8" ht="20.25">
      <c r="A854" s="341"/>
      <c r="B854" s="348"/>
      <c r="C854" s="348"/>
      <c r="D854" s="348"/>
      <c r="E854" s="354"/>
      <c r="F854" s="349"/>
      <c r="G854" s="350"/>
      <c r="H854" s="894"/>
    </row>
    <row r="855" spans="1:8" ht="20.25">
      <c r="A855" s="341"/>
      <c r="B855" s="348"/>
      <c r="C855" s="348"/>
      <c r="D855" s="348"/>
      <c r="E855" s="354"/>
      <c r="F855" s="349"/>
      <c r="G855" s="350"/>
      <c r="H855" s="894"/>
    </row>
    <row r="856" spans="1:8" ht="20.25">
      <c r="A856" s="341"/>
      <c r="B856" s="338"/>
      <c r="C856" s="338"/>
      <c r="D856" s="338"/>
      <c r="E856" s="342"/>
      <c r="F856" s="340"/>
    </row>
    <row r="857" spans="1:8" ht="20.25">
      <c r="A857" s="341"/>
      <c r="B857" s="338"/>
      <c r="C857" s="338"/>
      <c r="D857" s="338"/>
      <c r="E857" s="342"/>
      <c r="F857" s="340"/>
    </row>
    <row r="858" spans="1:8" ht="20.25">
      <c r="A858" s="341"/>
      <c r="B858" s="338"/>
      <c r="C858" s="338"/>
      <c r="D858" s="338"/>
      <c r="E858" s="342"/>
      <c r="F858" s="340"/>
    </row>
    <row r="859" spans="1:8" ht="20.25">
      <c r="A859" s="341"/>
      <c r="B859" s="338"/>
      <c r="C859" s="338"/>
      <c r="D859" s="338"/>
      <c r="E859" s="342"/>
      <c r="F859" s="340"/>
    </row>
    <row r="860" spans="1:8" ht="20.25">
      <c r="A860" s="341"/>
      <c r="B860" s="338"/>
      <c r="C860" s="338"/>
      <c r="D860" s="338"/>
      <c r="E860" s="342"/>
      <c r="F860" s="340"/>
    </row>
    <row r="861" spans="1:8" ht="20.25">
      <c r="A861" s="341"/>
      <c r="B861" s="338"/>
      <c r="C861" s="338"/>
      <c r="D861" s="338"/>
      <c r="E861" s="342"/>
      <c r="F861" s="340"/>
    </row>
    <row r="862" spans="1:8" ht="20.25">
      <c r="A862" s="341"/>
      <c r="B862" s="338"/>
      <c r="C862" s="338"/>
      <c r="D862" s="338"/>
      <c r="E862" s="342"/>
      <c r="F862" s="340"/>
    </row>
    <row r="863" spans="1:8" ht="20.25">
      <c r="A863" s="341"/>
      <c r="B863" s="338"/>
      <c r="C863" s="338"/>
      <c r="D863" s="338"/>
      <c r="E863" s="342"/>
      <c r="F863" s="340"/>
    </row>
    <row r="864" spans="1:8" ht="20.25">
      <c r="A864" s="341"/>
      <c r="B864" s="338"/>
      <c r="C864" s="338"/>
      <c r="D864" s="338"/>
      <c r="E864" s="342"/>
      <c r="F864" s="340"/>
    </row>
    <row r="865" spans="1:6" ht="20.25">
      <c r="A865" s="341"/>
      <c r="B865" s="338"/>
      <c r="C865" s="338"/>
      <c r="D865" s="338"/>
      <c r="E865" s="342"/>
      <c r="F865" s="340"/>
    </row>
    <row r="866" spans="1:6" ht="20.25">
      <c r="A866" s="341"/>
      <c r="B866" s="338"/>
      <c r="C866" s="338"/>
      <c r="D866" s="338"/>
      <c r="E866" s="342"/>
      <c r="F866" s="340"/>
    </row>
    <row r="867" spans="1:6" ht="20.25">
      <c r="A867" s="341"/>
      <c r="B867" s="338"/>
      <c r="C867" s="338"/>
      <c r="D867" s="338"/>
      <c r="E867" s="342"/>
      <c r="F867" s="340"/>
    </row>
    <row r="868" spans="1:6" ht="20.25">
      <c r="A868" s="341"/>
      <c r="B868" s="338"/>
      <c r="C868" s="338"/>
      <c r="D868" s="338"/>
      <c r="E868" s="342"/>
      <c r="F868" s="340"/>
    </row>
    <row r="869" spans="1:6" ht="20.25">
      <c r="A869" s="341"/>
      <c r="B869" s="338"/>
      <c r="C869" s="338"/>
      <c r="D869" s="338"/>
      <c r="E869" s="342"/>
      <c r="F869" s="340"/>
    </row>
    <row r="870" spans="1:6" ht="20.25">
      <c r="A870" s="341"/>
      <c r="B870" s="338"/>
      <c r="C870" s="338"/>
      <c r="D870" s="338"/>
      <c r="E870" s="342"/>
      <c r="F870" s="340"/>
    </row>
    <row r="871" spans="1:6" ht="20.25">
      <c r="A871" s="341"/>
      <c r="B871" s="338"/>
      <c r="C871" s="338"/>
      <c r="D871" s="338"/>
      <c r="E871" s="342"/>
      <c r="F871" s="340"/>
    </row>
    <row r="872" spans="1:6" ht="20.25">
      <c r="A872" s="341"/>
      <c r="B872" s="338"/>
      <c r="C872" s="338"/>
      <c r="D872" s="338"/>
      <c r="E872" s="342"/>
      <c r="F872" s="340"/>
    </row>
    <row r="873" spans="1:6" ht="20.25">
      <c r="A873" s="341"/>
      <c r="B873" s="338"/>
      <c r="C873" s="338"/>
      <c r="D873" s="338"/>
      <c r="E873" s="342"/>
      <c r="F873" s="340"/>
    </row>
    <row r="874" spans="1:6" ht="20.25">
      <c r="A874" s="341"/>
      <c r="B874" s="338"/>
      <c r="C874" s="338"/>
      <c r="D874" s="338"/>
      <c r="E874" s="342"/>
      <c r="F874" s="340"/>
    </row>
    <row r="875" spans="1:6" ht="20.25">
      <c r="A875" s="341"/>
      <c r="B875" s="338"/>
      <c r="C875" s="338"/>
      <c r="D875" s="338"/>
      <c r="E875" s="342"/>
      <c r="F875" s="340"/>
    </row>
    <row r="876" spans="1:6" ht="20.25">
      <c r="A876" s="341"/>
      <c r="B876" s="338"/>
      <c r="C876" s="338"/>
      <c r="D876" s="338"/>
      <c r="E876" s="342"/>
      <c r="F876" s="340"/>
    </row>
    <row r="877" spans="1:6" ht="20.25">
      <c r="A877" s="341"/>
      <c r="B877" s="338"/>
      <c r="C877" s="338"/>
      <c r="D877" s="338"/>
      <c r="E877" s="342"/>
      <c r="F877" s="340"/>
    </row>
    <row r="878" spans="1:6" ht="20.25">
      <c r="A878" s="341"/>
      <c r="B878" s="338"/>
      <c r="C878" s="338"/>
      <c r="D878" s="338"/>
      <c r="E878" s="342"/>
      <c r="F878" s="340"/>
    </row>
    <row r="879" spans="1:6" ht="20.25">
      <c r="A879" s="341"/>
      <c r="B879" s="338"/>
      <c r="C879" s="338"/>
      <c r="D879" s="338"/>
      <c r="E879" s="342"/>
      <c r="F879" s="340"/>
    </row>
    <row r="880" spans="1:6" ht="20.25">
      <c r="A880" s="341"/>
      <c r="B880" s="338"/>
      <c r="C880" s="338"/>
      <c r="D880" s="338"/>
      <c r="E880" s="342"/>
      <c r="F880" s="340"/>
    </row>
    <row r="881" spans="1:6" ht="20.25">
      <c r="A881" s="341"/>
      <c r="B881" s="338"/>
      <c r="C881" s="338"/>
      <c r="D881" s="338"/>
      <c r="E881" s="342"/>
      <c r="F881" s="340"/>
    </row>
    <row r="882" spans="1:6" ht="20.25">
      <c r="A882" s="341"/>
      <c r="B882" s="338"/>
      <c r="C882" s="338"/>
      <c r="D882" s="338"/>
      <c r="E882" s="342"/>
      <c r="F882" s="340"/>
    </row>
    <row r="883" spans="1:6" ht="20.25">
      <c r="A883" s="341"/>
      <c r="B883" s="338"/>
      <c r="C883" s="338"/>
      <c r="D883" s="338"/>
      <c r="E883" s="342"/>
      <c r="F883" s="340"/>
    </row>
    <row r="884" spans="1:6" ht="20.25">
      <c r="A884" s="341"/>
      <c r="B884" s="338"/>
      <c r="C884" s="338"/>
      <c r="D884" s="338"/>
      <c r="E884" s="342"/>
      <c r="F884" s="340"/>
    </row>
    <row r="885" spans="1:6" ht="20.25">
      <c r="A885" s="341"/>
      <c r="B885" s="338"/>
      <c r="C885" s="338"/>
      <c r="D885" s="338"/>
      <c r="E885" s="342"/>
      <c r="F885" s="340"/>
    </row>
    <row r="886" spans="1:6" ht="20.25">
      <c r="A886" s="341"/>
      <c r="B886" s="338"/>
      <c r="C886" s="338"/>
      <c r="D886" s="338"/>
      <c r="E886" s="342"/>
      <c r="F886" s="340"/>
    </row>
    <row r="887" spans="1:6" ht="20.25">
      <c r="A887" s="341"/>
      <c r="B887" s="338"/>
      <c r="C887" s="338"/>
      <c r="D887" s="338"/>
      <c r="E887" s="342"/>
      <c r="F887" s="340"/>
    </row>
    <row r="888" spans="1:6" ht="20.25">
      <c r="A888" s="341"/>
      <c r="B888" s="338"/>
      <c r="C888" s="338"/>
      <c r="D888" s="338"/>
      <c r="E888" s="342"/>
      <c r="F888" s="340"/>
    </row>
    <row r="889" spans="1:6" ht="20.25">
      <c r="A889" s="341"/>
      <c r="B889" s="338"/>
      <c r="C889" s="338"/>
      <c r="D889" s="338"/>
      <c r="E889" s="342"/>
      <c r="F889" s="340"/>
    </row>
    <row r="890" spans="1:6" ht="20.25">
      <c r="A890" s="341"/>
      <c r="B890" s="338"/>
      <c r="C890" s="338"/>
      <c r="D890" s="338"/>
      <c r="E890" s="342"/>
      <c r="F890" s="340"/>
    </row>
    <row r="891" spans="1:6" ht="20.25">
      <c r="A891" s="341"/>
      <c r="B891" s="338"/>
      <c r="C891" s="338"/>
      <c r="D891" s="338"/>
      <c r="E891" s="342"/>
      <c r="F891" s="340"/>
    </row>
    <row r="892" spans="1:6" ht="20.25">
      <c r="A892" s="341"/>
      <c r="B892" s="338"/>
      <c r="C892" s="338"/>
      <c r="D892" s="338"/>
      <c r="E892" s="342"/>
      <c r="F892" s="340"/>
    </row>
    <row r="893" spans="1:6" ht="20.25">
      <c r="A893" s="341"/>
      <c r="B893" s="338"/>
      <c r="C893" s="338"/>
      <c r="D893" s="338"/>
      <c r="E893" s="342"/>
      <c r="F893" s="340"/>
    </row>
    <row r="894" spans="1:6" ht="20.25">
      <c r="A894" s="341"/>
      <c r="B894" s="338"/>
      <c r="C894" s="338"/>
      <c r="D894" s="338"/>
      <c r="E894" s="342"/>
      <c r="F894" s="340"/>
    </row>
    <row r="895" spans="1:6" ht="20.25">
      <c r="A895" s="341"/>
      <c r="B895" s="338"/>
      <c r="C895" s="338"/>
      <c r="D895" s="338"/>
      <c r="E895" s="342"/>
      <c r="F895" s="340"/>
    </row>
    <row r="896" spans="1:6" ht="20.25">
      <c r="A896" s="341"/>
      <c r="B896" s="338"/>
      <c r="C896" s="338"/>
      <c r="D896" s="338"/>
      <c r="E896" s="342"/>
      <c r="F896" s="340"/>
    </row>
    <row r="897" spans="1:6" ht="20.25">
      <c r="A897" s="341"/>
      <c r="B897" s="338"/>
      <c r="C897" s="338"/>
      <c r="D897" s="338"/>
      <c r="E897" s="342"/>
      <c r="F897" s="340"/>
    </row>
    <row r="898" spans="1:6" ht="20.25">
      <c r="A898" s="341"/>
      <c r="B898" s="338"/>
      <c r="C898" s="338"/>
      <c r="D898" s="338"/>
      <c r="E898" s="342"/>
      <c r="F898" s="340"/>
    </row>
    <row r="899" spans="1:6" ht="20.25">
      <c r="A899" s="341"/>
      <c r="B899" s="338"/>
      <c r="C899" s="338"/>
      <c r="D899" s="338"/>
      <c r="E899" s="342"/>
      <c r="F899" s="340"/>
    </row>
    <row r="900" spans="1:6" ht="20.25">
      <c r="A900" s="341"/>
      <c r="B900" s="338"/>
      <c r="C900" s="338"/>
      <c r="D900" s="338"/>
      <c r="E900" s="342"/>
      <c r="F900" s="340"/>
    </row>
    <row r="901" spans="1:6" ht="20.25">
      <c r="A901" s="341"/>
      <c r="B901" s="338"/>
      <c r="C901" s="338"/>
      <c r="D901" s="338"/>
      <c r="E901" s="342"/>
      <c r="F901" s="340"/>
    </row>
    <row r="902" spans="1:6" ht="20.25">
      <c r="A902" s="341"/>
      <c r="B902" s="338"/>
      <c r="C902" s="338"/>
      <c r="D902" s="338"/>
      <c r="E902" s="342"/>
      <c r="F902" s="340"/>
    </row>
    <row r="903" spans="1:6" ht="20.25">
      <c r="A903" s="341"/>
      <c r="B903" s="338"/>
      <c r="C903" s="338"/>
      <c r="D903" s="338"/>
      <c r="E903" s="342"/>
      <c r="F903" s="340"/>
    </row>
    <row r="904" spans="1:6" ht="20.25">
      <c r="A904" s="341"/>
      <c r="B904" s="338"/>
      <c r="C904" s="338"/>
      <c r="D904" s="338"/>
      <c r="E904" s="342"/>
      <c r="F904" s="340"/>
    </row>
    <row r="905" spans="1:6" ht="20.25">
      <c r="A905" s="341"/>
      <c r="B905" s="338"/>
      <c r="C905" s="338"/>
      <c r="D905" s="338"/>
      <c r="E905" s="342"/>
      <c r="F905" s="340"/>
    </row>
    <row r="906" spans="1:6" ht="20.25">
      <c r="A906" s="341"/>
      <c r="B906" s="338"/>
      <c r="C906" s="338"/>
      <c r="D906" s="338"/>
      <c r="E906" s="342"/>
      <c r="F906" s="340"/>
    </row>
    <row r="907" spans="1:6" ht="20.25">
      <c r="A907" s="341"/>
      <c r="B907" s="338"/>
      <c r="C907" s="338"/>
      <c r="D907" s="338"/>
      <c r="E907" s="342"/>
      <c r="F907" s="340"/>
    </row>
    <row r="908" spans="1:6" ht="20.25">
      <c r="A908" s="341"/>
      <c r="B908" s="338"/>
      <c r="C908" s="338"/>
      <c r="D908" s="338"/>
      <c r="E908" s="342"/>
      <c r="F908" s="340"/>
    </row>
    <row r="909" spans="1:6" ht="20.25">
      <c r="A909" s="341"/>
      <c r="B909" s="338"/>
      <c r="C909" s="338"/>
      <c r="D909" s="338"/>
      <c r="E909" s="342"/>
      <c r="F909" s="340"/>
    </row>
    <row r="910" spans="1:6" ht="20.25">
      <c r="A910" s="341"/>
      <c r="B910" s="338"/>
      <c r="C910" s="338"/>
      <c r="D910" s="338"/>
      <c r="E910" s="342"/>
      <c r="F910" s="340"/>
    </row>
    <row r="911" spans="1:6" ht="20.25">
      <c r="A911" s="341"/>
      <c r="B911" s="338"/>
      <c r="C911" s="338"/>
      <c r="D911" s="338"/>
      <c r="E911" s="342"/>
      <c r="F911" s="340"/>
    </row>
    <row r="912" spans="1:6" ht="20.25">
      <c r="A912" s="341"/>
      <c r="B912" s="338"/>
      <c r="C912" s="338"/>
      <c r="D912" s="338"/>
      <c r="E912" s="342"/>
      <c r="F912" s="340"/>
    </row>
    <row r="913" spans="1:6" ht="20.25">
      <c r="A913" s="341"/>
      <c r="B913" s="338"/>
      <c r="C913" s="338"/>
      <c r="D913" s="338"/>
      <c r="E913" s="342"/>
      <c r="F913" s="340"/>
    </row>
    <row r="914" spans="1:6" ht="20.25">
      <c r="A914" s="341"/>
      <c r="B914" s="338"/>
      <c r="C914" s="338"/>
      <c r="D914" s="338"/>
      <c r="E914" s="342"/>
      <c r="F914" s="340"/>
    </row>
    <row r="915" spans="1:6" ht="20.25">
      <c r="A915" s="341"/>
      <c r="B915" s="338"/>
      <c r="C915" s="338"/>
      <c r="D915" s="338"/>
      <c r="E915" s="342"/>
      <c r="F915" s="340"/>
    </row>
    <row r="916" spans="1:6" ht="20.25">
      <c r="A916" s="341"/>
      <c r="B916" s="338"/>
      <c r="C916" s="338"/>
      <c r="D916" s="338"/>
      <c r="E916" s="342"/>
      <c r="F916" s="340"/>
    </row>
    <row r="917" spans="1:6" ht="20.25">
      <c r="A917" s="341"/>
      <c r="B917" s="338"/>
      <c r="C917" s="338"/>
      <c r="D917" s="338"/>
      <c r="E917" s="342"/>
      <c r="F917" s="340"/>
    </row>
    <row r="918" spans="1:6" ht="20.25">
      <c r="A918" s="341"/>
      <c r="B918" s="338"/>
      <c r="C918" s="338"/>
      <c r="D918" s="338"/>
      <c r="E918" s="342"/>
      <c r="F918" s="340"/>
    </row>
    <row r="919" spans="1:6" ht="20.25">
      <c r="A919" s="341"/>
      <c r="B919" s="338"/>
      <c r="C919" s="338"/>
      <c r="D919" s="338"/>
      <c r="E919" s="342"/>
      <c r="F919" s="340"/>
    </row>
    <row r="920" spans="1:6" ht="20.25">
      <c r="A920" s="341"/>
      <c r="B920" s="338"/>
      <c r="C920" s="338"/>
      <c r="D920" s="338"/>
      <c r="E920" s="342"/>
      <c r="F920" s="340"/>
    </row>
    <row r="921" spans="1:6" ht="20.25">
      <c r="A921" s="341"/>
      <c r="B921" s="338"/>
      <c r="C921" s="338"/>
      <c r="D921" s="338"/>
      <c r="E921" s="342"/>
      <c r="F921" s="340"/>
    </row>
    <row r="922" spans="1:6" ht="20.25">
      <c r="A922" s="341"/>
      <c r="B922" s="338"/>
      <c r="C922" s="338"/>
      <c r="D922" s="338"/>
      <c r="E922" s="342"/>
      <c r="F922" s="340"/>
    </row>
    <row r="923" spans="1:6" ht="20.25">
      <c r="A923" s="341"/>
      <c r="B923" s="338"/>
      <c r="C923" s="338"/>
      <c r="D923" s="338"/>
      <c r="E923" s="342"/>
      <c r="F923" s="340"/>
    </row>
    <row r="924" spans="1:6" ht="20.25">
      <c r="A924" s="341"/>
      <c r="B924" s="338"/>
      <c r="C924" s="338"/>
      <c r="D924" s="338"/>
      <c r="E924" s="342"/>
      <c r="F924" s="340"/>
    </row>
    <row r="925" spans="1:6" ht="20.25">
      <c r="A925" s="341"/>
      <c r="B925" s="338"/>
      <c r="C925" s="338"/>
      <c r="D925" s="338"/>
      <c r="E925" s="342"/>
      <c r="F925" s="340"/>
    </row>
    <row r="926" spans="1:6" ht="20.25">
      <c r="A926" s="341"/>
      <c r="B926" s="338"/>
      <c r="C926" s="338"/>
      <c r="D926" s="338"/>
      <c r="E926" s="342"/>
      <c r="F926" s="340"/>
    </row>
    <row r="927" spans="1:6" ht="20.25">
      <c r="A927" s="341"/>
      <c r="B927" s="338"/>
      <c r="C927" s="338"/>
      <c r="D927" s="338"/>
      <c r="E927" s="342"/>
      <c r="F927" s="340"/>
    </row>
    <row r="928" spans="1:6" ht="20.25">
      <c r="A928" s="341"/>
      <c r="B928" s="338"/>
      <c r="C928" s="338"/>
      <c r="D928" s="338"/>
      <c r="E928" s="342"/>
      <c r="F928" s="340"/>
    </row>
    <row r="929" spans="1:6" ht="20.25">
      <c r="A929" s="341"/>
      <c r="B929" s="338"/>
      <c r="C929" s="338"/>
      <c r="D929" s="338"/>
      <c r="E929" s="342"/>
      <c r="F929" s="340"/>
    </row>
    <row r="930" spans="1:6" ht="20.25">
      <c r="A930" s="341"/>
      <c r="B930" s="338"/>
      <c r="C930" s="338"/>
      <c r="D930" s="338"/>
      <c r="E930" s="342"/>
      <c r="F930" s="340"/>
    </row>
    <row r="931" spans="1:6" ht="20.25">
      <c r="A931" s="341"/>
      <c r="B931" s="338"/>
      <c r="C931" s="338"/>
      <c r="D931" s="338"/>
      <c r="E931" s="342"/>
      <c r="F931" s="340"/>
    </row>
    <row r="932" spans="1:6" ht="20.25">
      <c r="A932" s="341"/>
      <c r="B932" s="338"/>
      <c r="C932" s="338"/>
      <c r="D932" s="338"/>
      <c r="E932" s="342"/>
      <c r="F932" s="340"/>
    </row>
    <row r="933" spans="1:6" ht="20.25">
      <c r="A933" s="341"/>
      <c r="B933" s="338"/>
      <c r="C933" s="338"/>
      <c r="D933" s="338"/>
      <c r="E933" s="342"/>
      <c r="F933" s="340"/>
    </row>
    <row r="934" spans="1:6" ht="20.25">
      <c r="A934" s="341"/>
      <c r="B934" s="338"/>
      <c r="C934" s="338"/>
      <c r="D934" s="338"/>
      <c r="E934" s="342"/>
      <c r="F934" s="340"/>
    </row>
    <row r="935" spans="1:6" ht="20.25">
      <c r="A935" s="341"/>
      <c r="B935" s="338"/>
      <c r="C935" s="338"/>
      <c r="D935" s="338"/>
      <c r="E935" s="342"/>
      <c r="F935" s="340"/>
    </row>
    <row r="936" spans="1:6" ht="20.25">
      <c r="A936" s="341"/>
      <c r="B936" s="338"/>
      <c r="C936" s="338"/>
      <c r="D936" s="338"/>
      <c r="E936" s="342"/>
      <c r="F936" s="340"/>
    </row>
    <row r="937" spans="1:6" ht="20.25">
      <c r="A937" s="341"/>
      <c r="B937" s="338"/>
      <c r="C937" s="338"/>
      <c r="D937" s="338"/>
      <c r="E937" s="342"/>
      <c r="F937" s="340"/>
    </row>
    <row r="938" spans="1:6" ht="20.25">
      <c r="A938" s="341"/>
      <c r="B938" s="338"/>
      <c r="C938" s="338"/>
      <c r="D938" s="338"/>
      <c r="E938" s="342"/>
      <c r="F938" s="340"/>
    </row>
    <row r="939" spans="1:6" ht="20.25">
      <c r="A939" s="341"/>
      <c r="B939" s="338"/>
      <c r="C939" s="338"/>
      <c r="D939" s="338"/>
      <c r="E939" s="342"/>
      <c r="F939" s="340"/>
    </row>
    <row r="940" spans="1:6" ht="20.25">
      <c r="A940" s="341"/>
      <c r="B940" s="338"/>
      <c r="C940" s="338"/>
      <c r="D940" s="338"/>
      <c r="E940" s="342"/>
      <c r="F940" s="340"/>
    </row>
    <row r="941" spans="1:6" ht="20.25">
      <c r="A941" s="341"/>
      <c r="B941" s="338"/>
      <c r="C941" s="338"/>
      <c r="D941" s="338"/>
      <c r="E941" s="342"/>
      <c r="F941" s="340"/>
    </row>
    <row r="942" spans="1:6" ht="20.25">
      <c r="A942" s="341"/>
      <c r="B942" s="338"/>
      <c r="C942" s="338"/>
      <c r="D942" s="338"/>
      <c r="E942" s="342"/>
      <c r="F942" s="340"/>
    </row>
    <row r="943" spans="1:6" ht="20.25">
      <c r="A943" s="341"/>
      <c r="B943" s="338"/>
      <c r="C943" s="338"/>
      <c r="D943" s="338"/>
      <c r="E943" s="342"/>
      <c r="F943" s="340"/>
    </row>
    <row r="944" spans="1:6" ht="20.25">
      <c r="A944" s="341"/>
      <c r="B944" s="338"/>
      <c r="C944" s="338"/>
      <c r="D944" s="338"/>
      <c r="E944" s="342"/>
      <c r="F944" s="340"/>
    </row>
    <row r="945" spans="1:6" ht="20.25">
      <c r="A945" s="341"/>
      <c r="B945" s="338"/>
      <c r="C945" s="338"/>
      <c r="D945" s="338"/>
      <c r="E945" s="342"/>
      <c r="F945" s="340"/>
    </row>
    <row r="946" spans="1:6" ht="20.25">
      <c r="A946" s="341"/>
      <c r="B946" s="338"/>
      <c r="C946" s="338"/>
      <c r="D946" s="338"/>
      <c r="E946" s="342"/>
      <c r="F946" s="340"/>
    </row>
    <row r="947" spans="1:6" ht="20.25">
      <c r="A947" s="341"/>
      <c r="B947" s="338"/>
      <c r="C947" s="338"/>
      <c r="D947" s="338"/>
      <c r="E947" s="342"/>
      <c r="F947" s="340"/>
    </row>
    <row r="948" spans="1:6" ht="20.25">
      <c r="A948" s="341"/>
      <c r="B948" s="338"/>
      <c r="C948" s="338"/>
      <c r="D948" s="338"/>
      <c r="E948" s="342"/>
      <c r="F948" s="340"/>
    </row>
    <row r="949" spans="1:6" ht="20.25">
      <c r="A949" s="341"/>
      <c r="B949" s="338"/>
      <c r="C949" s="338"/>
      <c r="D949" s="338"/>
      <c r="E949" s="342"/>
      <c r="F949" s="340"/>
    </row>
    <row r="950" spans="1:6" ht="20.25">
      <c r="A950" s="341"/>
      <c r="B950" s="338"/>
      <c r="C950" s="338"/>
      <c r="D950" s="338"/>
      <c r="E950" s="342"/>
      <c r="F950" s="340"/>
    </row>
    <row r="951" spans="1:6" ht="20.25">
      <c r="A951" s="341"/>
      <c r="B951" s="338"/>
      <c r="C951" s="338"/>
      <c r="D951" s="338"/>
      <c r="E951" s="342"/>
      <c r="F951" s="340"/>
    </row>
    <row r="952" spans="1:6" ht="20.25">
      <c r="A952" s="341"/>
      <c r="B952" s="338"/>
      <c r="C952" s="338"/>
      <c r="D952" s="338"/>
      <c r="E952" s="342"/>
      <c r="F952" s="340"/>
    </row>
    <row r="953" spans="1:6" ht="20.25">
      <c r="A953" s="341"/>
      <c r="B953" s="338"/>
      <c r="C953" s="338"/>
      <c r="D953" s="338"/>
      <c r="E953" s="342"/>
      <c r="F953" s="340"/>
    </row>
    <row r="954" spans="1:6" ht="20.25">
      <c r="A954" s="341"/>
      <c r="B954" s="338"/>
      <c r="C954" s="338"/>
      <c r="D954" s="338"/>
      <c r="E954" s="342"/>
      <c r="F954" s="340"/>
    </row>
    <row r="955" spans="1:6" ht="20.25">
      <c r="A955" s="341"/>
      <c r="B955" s="338"/>
      <c r="C955" s="338"/>
      <c r="D955" s="338"/>
      <c r="E955" s="342"/>
      <c r="F955" s="340"/>
    </row>
    <row r="956" spans="1:6" ht="20.25">
      <c r="A956" s="341"/>
      <c r="B956" s="338"/>
      <c r="C956" s="338"/>
      <c r="D956" s="338"/>
      <c r="E956" s="342"/>
      <c r="F956" s="340"/>
    </row>
    <row r="957" spans="1:6" ht="20.25">
      <c r="A957" s="341"/>
      <c r="B957" s="338"/>
      <c r="C957" s="338"/>
      <c r="D957" s="338"/>
      <c r="E957" s="342"/>
      <c r="F957" s="340"/>
    </row>
    <row r="958" spans="1:6" ht="20.25">
      <c r="A958" s="341"/>
      <c r="B958" s="338"/>
      <c r="C958" s="338"/>
      <c r="D958" s="338"/>
      <c r="E958" s="342"/>
      <c r="F958" s="340"/>
    </row>
    <row r="959" spans="1:6" ht="20.25">
      <c r="A959" s="341"/>
      <c r="B959" s="338"/>
      <c r="C959" s="338"/>
      <c r="D959" s="338"/>
      <c r="E959" s="342"/>
      <c r="F959" s="340"/>
    </row>
    <row r="960" spans="1:6" ht="20.25">
      <c r="A960" s="341"/>
      <c r="B960" s="338"/>
      <c r="C960" s="338"/>
      <c r="D960" s="338"/>
      <c r="E960" s="342"/>
      <c r="F960" s="340"/>
    </row>
    <row r="961" spans="1:6" ht="20.25">
      <c r="A961" s="341"/>
      <c r="B961" s="338"/>
      <c r="C961" s="338"/>
      <c r="D961" s="338"/>
      <c r="E961" s="342"/>
      <c r="F961" s="340"/>
    </row>
    <row r="962" spans="1:6" ht="20.25">
      <c r="A962" s="341"/>
      <c r="B962" s="338"/>
      <c r="C962" s="338"/>
      <c r="D962" s="338"/>
      <c r="E962" s="342"/>
      <c r="F962" s="340"/>
    </row>
    <row r="963" spans="1:6" ht="20.25">
      <c r="A963" s="341"/>
      <c r="B963" s="338"/>
      <c r="C963" s="338"/>
      <c r="D963" s="338"/>
      <c r="E963" s="342"/>
      <c r="F963" s="340"/>
    </row>
    <row r="964" spans="1:6" ht="20.25">
      <c r="A964" s="341"/>
      <c r="B964" s="338"/>
      <c r="C964" s="338"/>
      <c r="D964" s="338"/>
      <c r="E964" s="342"/>
      <c r="F964" s="340"/>
    </row>
    <row r="965" spans="1:6" ht="20.25">
      <c r="A965" s="341"/>
      <c r="B965" s="338"/>
      <c r="C965" s="338"/>
      <c r="D965" s="338"/>
      <c r="E965" s="342"/>
      <c r="F965" s="340"/>
    </row>
    <row r="966" spans="1:6" ht="20.25">
      <c r="A966" s="341"/>
      <c r="B966" s="338"/>
      <c r="C966" s="338"/>
      <c r="D966" s="338"/>
      <c r="E966" s="342"/>
      <c r="F966" s="340"/>
    </row>
    <row r="967" spans="1:6" ht="20.25">
      <c r="A967" s="341"/>
      <c r="B967" s="338"/>
      <c r="C967" s="338"/>
      <c r="D967" s="338"/>
      <c r="E967" s="342"/>
      <c r="F967" s="340"/>
    </row>
    <row r="968" spans="1:6" ht="20.25">
      <c r="A968" s="341"/>
      <c r="B968" s="338"/>
      <c r="C968" s="338"/>
      <c r="D968" s="338"/>
      <c r="E968" s="342"/>
      <c r="F968" s="340"/>
    </row>
    <row r="969" spans="1:6" ht="20.25">
      <c r="A969" s="341"/>
      <c r="B969" s="338"/>
      <c r="C969" s="338"/>
      <c r="D969" s="338"/>
      <c r="E969" s="342"/>
      <c r="F969" s="340"/>
    </row>
    <row r="970" spans="1:6" ht="20.25">
      <c r="A970" s="341"/>
      <c r="B970" s="338"/>
      <c r="C970" s="338"/>
      <c r="D970" s="338"/>
      <c r="E970" s="342"/>
      <c r="F970" s="340"/>
    </row>
    <row r="971" spans="1:6" ht="20.25">
      <c r="A971" s="341"/>
      <c r="B971" s="338"/>
      <c r="C971" s="338"/>
      <c r="D971" s="338"/>
      <c r="E971" s="342"/>
      <c r="F971" s="340"/>
    </row>
    <row r="972" spans="1:6" ht="20.25">
      <c r="A972" s="341"/>
      <c r="B972" s="338"/>
      <c r="C972" s="338"/>
      <c r="D972" s="338"/>
      <c r="E972" s="342"/>
      <c r="F972" s="340"/>
    </row>
    <row r="973" spans="1:6" ht="20.25">
      <c r="A973" s="341"/>
      <c r="B973" s="338"/>
      <c r="C973" s="338"/>
      <c r="D973" s="338"/>
      <c r="E973" s="342"/>
      <c r="F973" s="340"/>
    </row>
    <row r="974" spans="1:6" ht="20.25">
      <c r="A974" s="341"/>
      <c r="B974" s="338"/>
      <c r="C974" s="338"/>
      <c r="D974" s="338"/>
      <c r="E974" s="342"/>
      <c r="F974" s="340"/>
    </row>
    <row r="975" spans="1:6" ht="20.25">
      <c r="A975" s="341"/>
      <c r="B975" s="338"/>
      <c r="C975" s="338"/>
      <c r="D975" s="338"/>
      <c r="E975" s="342"/>
      <c r="F975" s="340"/>
    </row>
    <row r="976" spans="1:6" ht="20.25">
      <c r="A976" s="341"/>
      <c r="B976" s="338"/>
      <c r="C976" s="338"/>
      <c r="D976" s="338"/>
      <c r="E976" s="342"/>
      <c r="F976" s="340"/>
    </row>
    <row r="977" spans="1:6" ht="20.25">
      <c r="A977" s="341"/>
      <c r="B977" s="338"/>
      <c r="C977" s="338"/>
      <c r="D977" s="338"/>
      <c r="E977" s="342"/>
      <c r="F977" s="340"/>
    </row>
    <row r="978" spans="1:6" ht="20.25">
      <c r="A978" s="341"/>
      <c r="B978" s="338"/>
      <c r="C978" s="338"/>
      <c r="D978" s="338"/>
      <c r="E978" s="342"/>
      <c r="F978" s="340"/>
    </row>
    <row r="979" spans="1:6" ht="20.25">
      <c r="A979" s="341"/>
      <c r="B979" s="338"/>
      <c r="C979" s="338"/>
      <c r="D979" s="338"/>
      <c r="E979" s="342"/>
      <c r="F979" s="340"/>
    </row>
    <row r="980" spans="1:6" ht="20.25">
      <c r="A980" s="341"/>
      <c r="B980" s="338"/>
      <c r="C980" s="338"/>
      <c r="D980" s="338"/>
      <c r="E980" s="342"/>
      <c r="F980" s="340"/>
    </row>
    <row r="981" spans="1:6" ht="20.25">
      <c r="A981" s="341"/>
      <c r="B981" s="338"/>
      <c r="C981" s="338"/>
      <c r="D981" s="338"/>
      <c r="E981" s="342"/>
      <c r="F981" s="340"/>
    </row>
    <row r="982" spans="1:6" ht="20.25">
      <c r="A982" s="341"/>
      <c r="B982" s="338"/>
      <c r="C982" s="338"/>
      <c r="D982" s="338"/>
      <c r="E982" s="342"/>
      <c r="F982" s="340"/>
    </row>
    <row r="983" spans="1:6" ht="20.25">
      <c r="A983" s="341"/>
      <c r="B983" s="338"/>
      <c r="C983" s="338"/>
      <c r="D983" s="338"/>
      <c r="E983" s="342"/>
      <c r="F983" s="340"/>
    </row>
    <row r="984" spans="1:6" ht="20.25">
      <c r="A984" s="341"/>
      <c r="B984" s="338"/>
      <c r="C984" s="338"/>
      <c r="D984" s="338"/>
      <c r="E984" s="342"/>
      <c r="F984" s="340"/>
    </row>
    <row r="985" spans="1:6" ht="20.25">
      <c r="A985" s="341"/>
      <c r="B985" s="338"/>
      <c r="C985" s="338"/>
      <c r="D985" s="338"/>
      <c r="E985" s="342"/>
      <c r="F985" s="340"/>
    </row>
    <row r="986" spans="1:6" ht="20.25">
      <c r="A986" s="341"/>
      <c r="B986" s="338"/>
      <c r="C986" s="338"/>
      <c r="D986" s="338"/>
      <c r="E986" s="342"/>
      <c r="F986" s="340"/>
    </row>
    <row r="987" spans="1:6" ht="20.25">
      <c r="A987" s="341"/>
      <c r="B987" s="338"/>
      <c r="C987" s="338"/>
      <c r="D987" s="338"/>
      <c r="E987" s="342"/>
      <c r="F987" s="340"/>
    </row>
    <row r="988" spans="1:6" ht="20.25">
      <c r="A988" s="341"/>
      <c r="B988" s="338"/>
      <c r="C988" s="338"/>
      <c r="D988" s="338"/>
      <c r="E988" s="342"/>
      <c r="F988" s="340"/>
    </row>
    <row r="989" spans="1:6" ht="20.25">
      <c r="A989" s="341"/>
      <c r="B989" s="338"/>
      <c r="C989" s="338"/>
      <c r="D989" s="338"/>
      <c r="E989" s="342"/>
      <c r="F989" s="340"/>
    </row>
    <row r="990" spans="1:6" ht="20.25">
      <c r="A990" s="341"/>
      <c r="B990" s="338"/>
      <c r="C990" s="338"/>
      <c r="D990" s="338"/>
      <c r="E990" s="342"/>
      <c r="F990" s="340"/>
    </row>
    <row r="991" spans="1:6" ht="20.25">
      <c r="A991" s="341"/>
      <c r="B991" s="338"/>
      <c r="C991" s="338"/>
      <c r="D991" s="338"/>
      <c r="E991" s="342"/>
      <c r="F991" s="340"/>
    </row>
    <row r="992" spans="1:6" ht="20.25">
      <c r="A992" s="341"/>
      <c r="B992" s="338"/>
      <c r="C992" s="338"/>
      <c r="D992" s="338"/>
      <c r="E992" s="342"/>
      <c r="F992" s="340"/>
    </row>
    <row r="993" spans="1:6" ht="20.25">
      <c r="A993" s="341"/>
      <c r="B993" s="338"/>
      <c r="C993" s="338"/>
      <c r="D993" s="338"/>
      <c r="E993" s="342"/>
      <c r="F993" s="340"/>
    </row>
    <row r="994" spans="1:6" ht="20.25">
      <c r="A994" s="341"/>
      <c r="B994" s="338"/>
      <c r="C994" s="338"/>
      <c r="D994" s="338"/>
      <c r="E994" s="342"/>
      <c r="F994" s="340"/>
    </row>
    <row r="995" spans="1:6" ht="20.25">
      <c r="A995" s="341"/>
      <c r="B995" s="338"/>
      <c r="C995" s="338"/>
      <c r="D995" s="338"/>
      <c r="E995" s="342"/>
      <c r="F995" s="340"/>
    </row>
    <row r="996" spans="1:6" ht="20.25">
      <c r="A996" s="341"/>
      <c r="B996" s="338"/>
      <c r="C996" s="338"/>
      <c r="D996" s="338"/>
      <c r="E996" s="342"/>
      <c r="F996" s="340"/>
    </row>
    <row r="997" spans="1:6" ht="20.25">
      <c r="A997" s="341"/>
      <c r="B997" s="338"/>
      <c r="C997" s="338"/>
      <c r="D997" s="338"/>
      <c r="E997" s="342"/>
      <c r="F997" s="340"/>
    </row>
    <row r="998" spans="1:6" ht="20.25">
      <c r="A998" s="341"/>
      <c r="B998" s="338"/>
      <c r="C998" s="338"/>
      <c r="D998" s="338"/>
      <c r="E998" s="342"/>
      <c r="F998" s="340"/>
    </row>
    <row r="999" spans="1:6" ht="20.25">
      <c r="A999" s="341"/>
      <c r="B999" s="338"/>
      <c r="C999" s="338"/>
      <c r="D999" s="338"/>
      <c r="E999" s="342"/>
      <c r="F999" s="340"/>
    </row>
    <row r="1000" spans="1:6" ht="20.25">
      <c r="A1000" s="341"/>
      <c r="B1000" s="338"/>
      <c r="C1000" s="338"/>
      <c r="D1000" s="338"/>
      <c r="E1000" s="342"/>
      <c r="F1000" s="340"/>
    </row>
    <row r="1001" spans="1:6" ht="20.25">
      <c r="A1001" s="341"/>
      <c r="B1001" s="338"/>
      <c r="C1001" s="338"/>
      <c r="D1001" s="338"/>
      <c r="E1001" s="342"/>
      <c r="F1001" s="340"/>
    </row>
    <row r="1002" spans="1:6" ht="20.25">
      <c r="A1002" s="341"/>
      <c r="B1002" s="338"/>
      <c r="C1002" s="338"/>
      <c r="D1002" s="338"/>
      <c r="E1002" s="342"/>
      <c r="F1002" s="340"/>
    </row>
    <row r="1003" spans="1:6" ht="20.25">
      <c r="A1003" s="341"/>
      <c r="B1003" s="338"/>
      <c r="C1003" s="338"/>
      <c r="D1003" s="338"/>
      <c r="E1003" s="342"/>
      <c r="F1003" s="340"/>
    </row>
    <row r="1004" spans="1:6" ht="20.25">
      <c r="A1004" s="341"/>
      <c r="B1004" s="338"/>
      <c r="C1004" s="338"/>
      <c r="D1004" s="338"/>
      <c r="E1004" s="342"/>
      <c r="F1004" s="340"/>
    </row>
    <row r="1005" spans="1:6" ht="20.25">
      <c r="A1005" s="341"/>
      <c r="B1005" s="338"/>
      <c r="C1005" s="338"/>
      <c r="D1005" s="338"/>
      <c r="E1005" s="342"/>
      <c r="F1005" s="340"/>
    </row>
    <row r="1006" spans="1:6" ht="20.25">
      <c r="A1006" s="341"/>
      <c r="B1006" s="338"/>
      <c r="C1006" s="338"/>
      <c r="D1006" s="338"/>
      <c r="E1006" s="342"/>
      <c r="F1006" s="340"/>
    </row>
    <row r="1007" spans="1:6" ht="20.25">
      <c r="A1007" s="341"/>
      <c r="B1007" s="338"/>
      <c r="C1007" s="338"/>
      <c r="D1007" s="338"/>
      <c r="E1007" s="342"/>
      <c r="F1007" s="340"/>
    </row>
    <row r="1008" spans="1:6" ht="20.25">
      <c r="A1008" s="341"/>
      <c r="B1008" s="338"/>
      <c r="C1008" s="338"/>
      <c r="D1008" s="338"/>
      <c r="E1008" s="342"/>
      <c r="F1008" s="340"/>
    </row>
    <row r="1009" spans="1:6" ht="20.25">
      <c r="A1009" s="341"/>
      <c r="B1009" s="338"/>
      <c r="C1009" s="338"/>
      <c r="D1009" s="338"/>
      <c r="E1009" s="342"/>
      <c r="F1009" s="340"/>
    </row>
    <row r="1010" spans="1:6" ht="20.25">
      <c r="A1010" s="341"/>
      <c r="B1010" s="338"/>
      <c r="C1010" s="338"/>
      <c r="D1010" s="338"/>
      <c r="E1010" s="342"/>
      <c r="F1010" s="340"/>
    </row>
    <row r="1011" spans="1:6" ht="20.25">
      <c r="A1011" s="341"/>
      <c r="B1011" s="338"/>
      <c r="C1011" s="338"/>
      <c r="D1011" s="338"/>
      <c r="E1011" s="342"/>
      <c r="F1011" s="340"/>
    </row>
    <row r="1012" spans="1:6" ht="20.25">
      <c r="A1012" s="341"/>
      <c r="B1012" s="338"/>
      <c r="C1012" s="338"/>
      <c r="D1012" s="338"/>
      <c r="E1012" s="342"/>
      <c r="F1012" s="340"/>
    </row>
    <row r="1013" spans="1:6" ht="20.25">
      <c r="A1013" s="341"/>
      <c r="B1013" s="338"/>
      <c r="C1013" s="338"/>
      <c r="D1013" s="338"/>
      <c r="E1013" s="342"/>
      <c r="F1013" s="340"/>
    </row>
    <row r="1014" spans="1:6" ht="20.25">
      <c r="A1014" s="341"/>
      <c r="B1014" s="338"/>
      <c r="C1014" s="338"/>
      <c r="D1014" s="338"/>
      <c r="E1014" s="342"/>
      <c r="F1014" s="340"/>
    </row>
    <row r="1015" spans="1:6" ht="20.25">
      <c r="A1015" s="341"/>
      <c r="B1015" s="338"/>
      <c r="C1015" s="338"/>
      <c r="D1015" s="338"/>
      <c r="E1015" s="342"/>
      <c r="F1015" s="340"/>
    </row>
    <row r="1016" spans="1:6" ht="20.25">
      <c r="A1016" s="341"/>
      <c r="B1016" s="338"/>
      <c r="C1016" s="338"/>
      <c r="D1016" s="338"/>
      <c r="E1016" s="342"/>
      <c r="F1016" s="340"/>
    </row>
    <row r="1017" spans="1:6" ht="20.25">
      <c r="A1017" s="341"/>
      <c r="B1017" s="338"/>
      <c r="C1017" s="338"/>
      <c r="D1017" s="338"/>
      <c r="E1017" s="342"/>
      <c r="F1017" s="340"/>
    </row>
    <row r="1018" spans="1:6" ht="20.25">
      <c r="A1018" s="341"/>
      <c r="B1018" s="338"/>
      <c r="C1018" s="338"/>
      <c r="D1018" s="338"/>
      <c r="E1018" s="342"/>
      <c r="F1018" s="340"/>
    </row>
    <row r="1019" spans="1:6" ht="20.25">
      <c r="A1019" s="341"/>
      <c r="B1019" s="338"/>
      <c r="C1019" s="338"/>
      <c r="D1019" s="338"/>
      <c r="E1019" s="342"/>
      <c r="F1019" s="340"/>
    </row>
    <row r="1020" spans="1:6" ht="20.25">
      <c r="A1020" s="341"/>
      <c r="B1020" s="338"/>
      <c r="C1020" s="338"/>
      <c r="D1020" s="338"/>
      <c r="E1020" s="342"/>
      <c r="F1020" s="340"/>
    </row>
    <row r="1021" spans="1:6" ht="20.25">
      <c r="A1021" s="341"/>
      <c r="B1021" s="338"/>
      <c r="C1021" s="338"/>
      <c r="D1021" s="338"/>
      <c r="E1021" s="342"/>
      <c r="F1021" s="340"/>
    </row>
    <row r="1022" spans="1:6" ht="20.25">
      <c r="A1022" s="341"/>
      <c r="B1022" s="338"/>
      <c r="C1022" s="338"/>
      <c r="D1022" s="338"/>
      <c r="E1022" s="342"/>
      <c r="F1022" s="340"/>
    </row>
    <row r="1023" spans="1:6" ht="20.25">
      <c r="A1023" s="341"/>
      <c r="B1023" s="338"/>
      <c r="C1023" s="338"/>
      <c r="D1023" s="338"/>
      <c r="E1023" s="342"/>
      <c r="F1023" s="340"/>
    </row>
    <row r="1024" spans="1:6" ht="20.25">
      <c r="A1024" s="341"/>
      <c r="B1024" s="338"/>
      <c r="C1024" s="338"/>
      <c r="D1024" s="338"/>
      <c r="E1024" s="342"/>
      <c r="F1024" s="340"/>
    </row>
    <row r="1025" spans="1:6" ht="20.25">
      <c r="A1025" s="341"/>
      <c r="B1025" s="338"/>
      <c r="C1025" s="338"/>
      <c r="D1025" s="338"/>
      <c r="E1025" s="342"/>
      <c r="F1025" s="340"/>
    </row>
    <row r="1026" spans="1:6" ht="20.25">
      <c r="A1026" s="341"/>
      <c r="B1026" s="338"/>
      <c r="C1026" s="338"/>
      <c r="D1026" s="338"/>
      <c r="E1026" s="342"/>
      <c r="F1026" s="340"/>
    </row>
    <row r="1027" spans="1:6" ht="20.25">
      <c r="A1027" s="341"/>
      <c r="B1027" s="338"/>
      <c r="C1027" s="338"/>
      <c r="D1027" s="338"/>
      <c r="E1027" s="342"/>
      <c r="F1027" s="340"/>
    </row>
    <row r="1028" spans="1:6" ht="20.25">
      <c r="A1028" s="341"/>
      <c r="B1028" s="338"/>
      <c r="C1028" s="338"/>
      <c r="D1028" s="338"/>
      <c r="E1028" s="342"/>
      <c r="F1028" s="340"/>
    </row>
    <row r="1029" spans="1:6" ht="20.25">
      <c r="A1029" s="341"/>
      <c r="B1029" s="338"/>
      <c r="C1029" s="338"/>
      <c r="D1029" s="338"/>
      <c r="E1029" s="342"/>
      <c r="F1029" s="340"/>
    </row>
    <row r="1030" spans="1:6" ht="20.25">
      <c r="A1030" s="341"/>
      <c r="B1030" s="338"/>
      <c r="C1030" s="338"/>
      <c r="D1030" s="338"/>
      <c r="E1030" s="342"/>
      <c r="F1030" s="340"/>
    </row>
    <row r="1031" spans="1:6" ht="20.25">
      <c r="A1031" s="341"/>
      <c r="B1031" s="338"/>
      <c r="C1031" s="338"/>
      <c r="D1031" s="338"/>
      <c r="E1031" s="342"/>
      <c r="F1031" s="340"/>
    </row>
    <row r="1032" spans="1:6" ht="20.25">
      <c r="A1032" s="341"/>
      <c r="B1032" s="338"/>
      <c r="C1032" s="338"/>
      <c r="D1032" s="338"/>
      <c r="E1032" s="342"/>
      <c r="F1032" s="340"/>
    </row>
    <row r="1033" spans="1:6" ht="20.25">
      <c r="A1033" s="341"/>
      <c r="B1033" s="338"/>
      <c r="C1033" s="338"/>
      <c r="D1033" s="338"/>
      <c r="E1033" s="342"/>
      <c r="F1033" s="340"/>
    </row>
    <row r="1034" spans="1:6" ht="20.25">
      <c r="A1034" s="341"/>
      <c r="B1034" s="338"/>
      <c r="C1034" s="338"/>
      <c r="D1034" s="338"/>
      <c r="E1034" s="342"/>
      <c r="F1034" s="340"/>
    </row>
    <row r="1035" spans="1:6" ht="20.25">
      <c r="A1035" s="341"/>
      <c r="B1035" s="338"/>
      <c r="C1035" s="338"/>
      <c r="D1035" s="338"/>
      <c r="E1035" s="342"/>
      <c r="F1035" s="340"/>
    </row>
    <row r="1036" spans="1:6" ht="20.25">
      <c r="A1036" s="341"/>
      <c r="B1036" s="338"/>
      <c r="C1036" s="338"/>
      <c r="D1036" s="338"/>
      <c r="E1036" s="342"/>
      <c r="F1036" s="340"/>
    </row>
    <row r="1037" spans="1:6" ht="20.25">
      <c r="A1037" s="341"/>
      <c r="B1037" s="338"/>
      <c r="C1037" s="338"/>
      <c r="D1037" s="338"/>
      <c r="E1037" s="342"/>
      <c r="F1037" s="340"/>
    </row>
    <row r="1038" spans="1:6" ht="20.25">
      <c r="A1038" s="341"/>
      <c r="B1038" s="338"/>
      <c r="C1038" s="338"/>
      <c r="D1038" s="338"/>
      <c r="E1038" s="342"/>
      <c r="F1038" s="340"/>
    </row>
    <row r="1039" spans="1:6" ht="20.25">
      <c r="A1039" s="341"/>
      <c r="B1039" s="338"/>
      <c r="C1039" s="338"/>
      <c r="D1039" s="338"/>
      <c r="E1039" s="342"/>
      <c r="F1039" s="340"/>
    </row>
    <row r="1040" spans="1:6" ht="20.25">
      <c r="A1040" s="341"/>
      <c r="B1040" s="338"/>
      <c r="C1040" s="338"/>
      <c r="D1040" s="338"/>
      <c r="E1040" s="342"/>
      <c r="F1040" s="340"/>
    </row>
    <row r="1041" spans="1:6" ht="20.25">
      <c r="A1041" s="341"/>
      <c r="B1041" s="338"/>
      <c r="C1041" s="338"/>
      <c r="D1041" s="338"/>
      <c r="E1041" s="342"/>
      <c r="F1041" s="340"/>
    </row>
    <row r="1042" spans="1:6" ht="20.25">
      <c r="A1042" s="341"/>
      <c r="B1042" s="338"/>
      <c r="C1042" s="338"/>
      <c r="D1042" s="338"/>
      <c r="E1042" s="342"/>
      <c r="F1042" s="340"/>
    </row>
    <row r="1043" spans="1:6" ht="20.25">
      <c r="A1043" s="341"/>
      <c r="B1043" s="338"/>
      <c r="C1043" s="338"/>
      <c r="D1043" s="338"/>
      <c r="E1043" s="342"/>
      <c r="F1043" s="340"/>
    </row>
    <row r="1044" spans="1:6" ht="20.25">
      <c r="A1044" s="341"/>
      <c r="B1044" s="338"/>
      <c r="C1044" s="338"/>
      <c r="D1044" s="338"/>
      <c r="E1044" s="342"/>
      <c r="F1044" s="340"/>
    </row>
    <row r="1045" spans="1:6" ht="20.25">
      <c r="A1045" s="341"/>
      <c r="B1045" s="338"/>
      <c r="C1045" s="338"/>
      <c r="D1045" s="338"/>
      <c r="E1045" s="342"/>
      <c r="F1045" s="340"/>
    </row>
    <row r="1046" spans="1:6" ht="20.25">
      <c r="A1046" s="341"/>
      <c r="B1046" s="338"/>
      <c r="C1046" s="338"/>
      <c r="D1046" s="338"/>
      <c r="E1046" s="342"/>
      <c r="F1046" s="340"/>
    </row>
    <row r="1047" spans="1:6" ht="20.25">
      <c r="A1047" s="341"/>
      <c r="B1047" s="338"/>
      <c r="C1047" s="338"/>
      <c r="D1047" s="338"/>
      <c r="E1047" s="342"/>
      <c r="F1047" s="340"/>
    </row>
    <row r="1048" spans="1:6" ht="20.25">
      <c r="A1048" s="341"/>
      <c r="B1048" s="338"/>
      <c r="C1048" s="338"/>
      <c r="D1048" s="338"/>
      <c r="E1048" s="342"/>
      <c r="F1048" s="340"/>
    </row>
    <row r="1049" spans="1:6" ht="20.25">
      <c r="A1049" s="341"/>
      <c r="B1049" s="338"/>
      <c r="C1049" s="338"/>
      <c r="D1049" s="338"/>
      <c r="E1049" s="342"/>
      <c r="F1049" s="340"/>
    </row>
    <row r="1050" spans="1:6" ht="20.25">
      <c r="A1050" s="341"/>
      <c r="B1050" s="338"/>
      <c r="C1050" s="338"/>
      <c r="D1050" s="338"/>
      <c r="E1050" s="342"/>
      <c r="F1050" s="340"/>
    </row>
    <row r="1051" spans="1:6" ht="20.25">
      <c r="A1051" s="341"/>
      <c r="B1051" s="338"/>
      <c r="C1051" s="338"/>
      <c r="D1051" s="338"/>
      <c r="E1051" s="342"/>
      <c r="F1051" s="340"/>
    </row>
    <row r="1052" spans="1:6" ht="20.25">
      <c r="A1052" s="341"/>
      <c r="B1052" s="338"/>
      <c r="C1052" s="338"/>
      <c r="D1052" s="338"/>
      <c r="E1052" s="342"/>
      <c r="F1052" s="340"/>
    </row>
    <row r="1053" spans="1:6" ht="20.25">
      <c r="A1053" s="341"/>
      <c r="B1053" s="338"/>
      <c r="C1053" s="338"/>
      <c r="D1053" s="338"/>
      <c r="E1053" s="342"/>
      <c r="F1053" s="340"/>
    </row>
    <row r="1054" spans="1:6" ht="20.25">
      <c r="A1054" s="341"/>
      <c r="B1054" s="338"/>
      <c r="C1054" s="338"/>
      <c r="D1054" s="338"/>
      <c r="E1054" s="342"/>
      <c r="F1054" s="340"/>
    </row>
    <row r="1055" spans="1:6" ht="20.25">
      <c r="A1055" s="341"/>
      <c r="B1055" s="338"/>
      <c r="C1055" s="338"/>
      <c r="D1055" s="338"/>
      <c r="E1055" s="342"/>
      <c r="F1055" s="340"/>
    </row>
    <row r="1056" spans="1:6" ht="20.25">
      <c r="A1056" s="341"/>
      <c r="B1056" s="338"/>
      <c r="C1056" s="338"/>
      <c r="D1056" s="338"/>
      <c r="E1056" s="342"/>
      <c r="F1056" s="340"/>
    </row>
    <row r="1057" spans="1:6" ht="20.25">
      <c r="A1057" s="341"/>
      <c r="B1057" s="338"/>
      <c r="C1057" s="338"/>
      <c r="D1057" s="338"/>
      <c r="E1057" s="342"/>
      <c r="F1057" s="340"/>
    </row>
    <row r="1058" spans="1:6" ht="20.25">
      <c r="A1058" s="341"/>
      <c r="B1058" s="338"/>
      <c r="C1058" s="338"/>
      <c r="D1058" s="338"/>
      <c r="E1058" s="342"/>
      <c r="F1058" s="340"/>
    </row>
    <row r="1059" spans="1:6" ht="20.25">
      <c r="A1059" s="341"/>
      <c r="B1059" s="338"/>
      <c r="C1059" s="338"/>
      <c r="D1059" s="338"/>
      <c r="E1059" s="342"/>
      <c r="F1059" s="340"/>
    </row>
    <row r="1060" spans="1:6" ht="20.25">
      <c r="A1060" s="341"/>
      <c r="B1060" s="338"/>
      <c r="C1060" s="338"/>
      <c r="D1060" s="338"/>
      <c r="E1060" s="342"/>
      <c r="F1060" s="340"/>
    </row>
    <row r="1061" spans="1:6" ht="20.25">
      <c r="A1061" s="341"/>
      <c r="B1061" s="338"/>
      <c r="C1061" s="338"/>
      <c r="D1061" s="338"/>
      <c r="E1061" s="342"/>
      <c r="F1061" s="340"/>
    </row>
    <row r="1062" spans="1:6" ht="20.25">
      <c r="A1062" s="341"/>
      <c r="B1062" s="338"/>
      <c r="C1062" s="338"/>
      <c r="D1062" s="338"/>
      <c r="E1062" s="342"/>
      <c r="F1062" s="340"/>
    </row>
    <row r="1063" spans="1:6" ht="20.25">
      <c r="A1063" s="341"/>
      <c r="B1063" s="338"/>
      <c r="C1063" s="338"/>
      <c r="D1063" s="338"/>
      <c r="E1063" s="342"/>
      <c r="F1063" s="340"/>
    </row>
    <row r="1064" spans="1:6" ht="20.25">
      <c r="A1064" s="341"/>
      <c r="B1064" s="338"/>
      <c r="C1064" s="338"/>
      <c r="D1064" s="338"/>
      <c r="E1064" s="342"/>
      <c r="F1064" s="340"/>
    </row>
    <row r="1065" spans="1:6" ht="20.25">
      <c r="A1065" s="341"/>
      <c r="B1065" s="338"/>
      <c r="C1065" s="338"/>
      <c r="D1065" s="338"/>
      <c r="E1065" s="342"/>
      <c r="F1065" s="340"/>
    </row>
    <row r="1066" spans="1:6" ht="20.25">
      <c r="A1066" s="341"/>
      <c r="B1066" s="338"/>
      <c r="C1066" s="338"/>
      <c r="D1066" s="338"/>
      <c r="E1066" s="342"/>
      <c r="F1066" s="340"/>
    </row>
    <row r="1067" spans="1:6" ht="20.25">
      <c r="A1067" s="341"/>
      <c r="B1067" s="338"/>
      <c r="C1067" s="338"/>
      <c r="D1067" s="338"/>
      <c r="E1067" s="342"/>
      <c r="F1067" s="340"/>
    </row>
    <row r="1068" spans="1:6" ht="20.25">
      <c r="A1068" s="341"/>
      <c r="B1068" s="338"/>
      <c r="C1068" s="338"/>
      <c r="D1068" s="338"/>
      <c r="E1068" s="342"/>
      <c r="F1068" s="340"/>
    </row>
    <row r="1069" spans="1:6" ht="20.25">
      <c r="A1069" s="341"/>
      <c r="B1069" s="338"/>
      <c r="C1069" s="338"/>
      <c r="D1069" s="338"/>
      <c r="E1069" s="342"/>
      <c r="F1069" s="340"/>
    </row>
    <row r="1070" spans="1:6" ht="20.25">
      <c r="A1070" s="341"/>
      <c r="B1070" s="338"/>
      <c r="C1070" s="338"/>
      <c r="D1070" s="338"/>
      <c r="E1070" s="342"/>
      <c r="F1070" s="340"/>
    </row>
    <row r="1071" spans="1:6" ht="20.25">
      <c r="A1071" s="341"/>
      <c r="B1071" s="338"/>
      <c r="C1071" s="338"/>
      <c r="D1071" s="338"/>
      <c r="E1071" s="342"/>
      <c r="F1071" s="340"/>
    </row>
    <row r="1072" spans="1:6" ht="20.25">
      <c r="A1072" s="341"/>
      <c r="B1072" s="338"/>
      <c r="C1072" s="338"/>
      <c r="D1072" s="338"/>
      <c r="E1072" s="342"/>
      <c r="F1072" s="340"/>
    </row>
    <row r="1073" spans="1:6" ht="20.25">
      <c r="A1073" s="341"/>
      <c r="B1073" s="338"/>
      <c r="C1073" s="338"/>
      <c r="D1073" s="338"/>
      <c r="E1073" s="342"/>
      <c r="F1073" s="340"/>
    </row>
    <row r="1074" spans="1:6" ht="20.25">
      <c r="A1074" s="341"/>
      <c r="B1074" s="338"/>
      <c r="C1074" s="338"/>
      <c r="D1074" s="338"/>
      <c r="E1074" s="342"/>
      <c r="F1074" s="340"/>
    </row>
    <row r="1075" spans="1:6" ht="20.25">
      <c r="A1075" s="341"/>
      <c r="B1075" s="338"/>
      <c r="C1075" s="338"/>
      <c r="D1075" s="338"/>
      <c r="E1075" s="342"/>
      <c r="F1075" s="340"/>
    </row>
    <row r="1076" spans="1:6" ht="20.25">
      <c r="A1076" s="341"/>
      <c r="B1076" s="338"/>
      <c r="C1076" s="338"/>
      <c r="D1076" s="338"/>
      <c r="E1076" s="342"/>
      <c r="F1076" s="340"/>
    </row>
    <row r="1077" spans="1:6" ht="20.25">
      <c r="A1077" s="341"/>
      <c r="B1077" s="338"/>
      <c r="C1077" s="338"/>
      <c r="D1077" s="338"/>
      <c r="E1077" s="342"/>
      <c r="F1077" s="340"/>
    </row>
    <row r="1078" spans="1:6" ht="20.25">
      <c r="A1078" s="341"/>
      <c r="B1078" s="338"/>
      <c r="C1078" s="338"/>
      <c r="D1078" s="338"/>
      <c r="E1078" s="342"/>
      <c r="F1078" s="340"/>
    </row>
    <row r="1079" spans="1:6" ht="20.25">
      <c r="A1079" s="341"/>
      <c r="B1079" s="338"/>
      <c r="C1079" s="338"/>
      <c r="D1079" s="338"/>
      <c r="E1079" s="342"/>
      <c r="F1079" s="340"/>
    </row>
    <row r="1080" spans="1:6" ht="20.25">
      <c r="A1080" s="341"/>
      <c r="B1080" s="338"/>
      <c r="C1080" s="338"/>
      <c r="D1080" s="338"/>
      <c r="E1080" s="342"/>
      <c r="F1080" s="340"/>
    </row>
    <row r="1081" spans="1:6" ht="20.25">
      <c r="A1081" s="341"/>
      <c r="B1081" s="338"/>
      <c r="C1081" s="338"/>
      <c r="D1081" s="338"/>
      <c r="E1081" s="342"/>
      <c r="F1081" s="340"/>
    </row>
    <row r="1082" spans="1:6" ht="20.25">
      <c r="A1082" s="341"/>
      <c r="B1082" s="338"/>
      <c r="C1082" s="338"/>
      <c r="D1082" s="338"/>
      <c r="E1082" s="342"/>
      <c r="F1082" s="340"/>
    </row>
    <row r="1083" spans="1:6" ht="20.25">
      <c r="A1083" s="341"/>
      <c r="B1083" s="338"/>
      <c r="C1083" s="338"/>
      <c r="D1083" s="338"/>
      <c r="E1083" s="342"/>
      <c r="F1083" s="340"/>
    </row>
    <row r="1084" spans="1:6" ht="20.25">
      <c r="A1084" s="341"/>
      <c r="B1084" s="338"/>
      <c r="C1084" s="338"/>
      <c r="D1084" s="338"/>
      <c r="E1084" s="342"/>
      <c r="F1084" s="340"/>
    </row>
    <row r="1085" spans="1:6" ht="20.25">
      <c r="A1085" s="341"/>
      <c r="B1085" s="338"/>
      <c r="C1085" s="338"/>
      <c r="D1085" s="338"/>
      <c r="E1085" s="342"/>
      <c r="F1085" s="340"/>
    </row>
    <row r="1086" spans="1:6" ht="20.25">
      <c r="A1086" s="341"/>
      <c r="B1086" s="338"/>
      <c r="C1086" s="338"/>
      <c r="D1086" s="338"/>
      <c r="E1086" s="342"/>
      <c r="F1086" s="340"/>
    </row>
    <row r="1087" spans="1:6" ht="20.25">
      <c r="A1087" s="341"/>
      <c r="B1087" s="338"/>
      <c r="C1087" s="338"/>
      <c r="D1087" s="338"/>
      <c r="E1087" s="342"/>
      <c r="F1087" s="340"/>
    </row>
    <row r="1088" spans="1:6" ht="20.25">
      <c r="A1088" s="341"/>
      <c r="B1088" s="338"/>
      <c r="C1088" s="338"/>
      <c r="D1088" s="338"/>
      <c r="E1088" s="342"/>
      <c r="F1088" s="340"/>
    </row>
    <row r="1089" spans="1:6" ht="20.25">
      <c r="A1089" s="341"/>
      <c r="B1089" s="338"/>
      <c r="C1089" s="338"/>
      <c r="D1089" s="338"/>
      <c r="E1089" s="342"/>
      <c r="F1089" s="340"/>
    </row>
    <row r="1090" spans="1:6" ht="20.25">
      <c r="A1090" s="341"/>
      <c r="B1090" s="338"/>
      <c r="C1090" s="338"/>
      <c r="D1090" s="338"/>
      <c r="E1090" s="342"/>
      <c r="F1090" s="340"/>
    </row>
    <row r="1091" spans="1:6" ht="20.25">
      <c r="A1091" s="341"/>
      <c r="B1091" s="338"/>
      <c r="C1091" s="338"/>
      <c r="D1091" s="338"/>
      <c r="E1091" s="342"/>
      <c r="F1091" s="340"/>
    </row>
    <row r="1092" spans="1:6" ht="20.25">
      <c r="A1092" s="341"/>
      <c r="B1092" s="338"/>
      <c r="C1092" s="338"/>
      <c r="D1092" s="338"/>
      <c r="E1092" s="342"/>
      <c r="F1092" s="340"/>
    </row>
    <row r="1093" spans="1:6" ht="20.25">
      <c r="A1093" s="341"/>
      <c r="B1093" s="338"/>
      <c r="C1093" s="338"/>
      <c r="D1093" s="338"/>
      <c r="E1093" s="342"/>
      <c r="F1093" s="340"/>
    </row>
    <row r="1094" spans="1:6" ht="20.25">
      <c r="A1094" s="341"/>
      <c r="B1094" s="338"/>
      <c r="C1094" s="338"/>
      <c r="D1094" s="338"/>
      <c r="E1094" s="342"/>
      <c r="F1094" s="340"/>
    </row>
    <row r="1095" spans="1:6" ht="20.25">
      <c r="A1095" s="341"/>
      <c r="B1095" s="338"/>
      <c r="C1095" s="338"/>
      <c r="D1095" s="338"/>
      <c r="E1095" s="342"/>
      <c r="F1095" s="340"/>
    </row>
    <row r="1096" spans="1:6" ht="20.25">
      <c r="A1096" s="341"/>
      <c r="B1096" s="338"/>
      <c r="C1096" s="338"/>
      <c r="D1096" s="338"/>
      <c r="E1096" s="342"/>
      <c r="F1096" s="340"/>
    </row>
    <row r="1097" spans="1:6" ht="20.25">
      <c r="A1097" s="341"/>
      <c r="B1097" s="338"/>
      <c r="C1097" s="338"/>
      <c r="D1097" s="338"/>
      <c r="E1097" s="342"/>
      <c r="F1097" s="340"/>
    </row>
    <row r="1098" spans="1:6" ht="20.25">
      <c r="A1098" s="341"/>
      <c r="B1098" s="338"/>
      <c r="C1098" s="338"/>
      <c r="D1098" s="338"/>
      <c r="E1098" s="342"/>
      <c r="F1098" s="340"/>
    </row>
    <row r="1099" spans="1:6" ht="20.25">
      <c r="A1099" s="341"/>
      <c r="B1099" s="338"/>
      <c r="C1099" s="338"/>
      <c r="D1099" s="338"/>
      <c r="E1099" s="342"/>
      <c r="F1099" s="340"/>
    </row>
    <row r="1100" spans="1:6" ht="20.25">
      <c r="A1100" s="341"/>
      <c r="B1100" s="338"/>
      <c r="C1100" s="338"/>
      <c r="D1100" s="338"/>
      <c r="E1100" s="342"/>
      <c r="F1100" s="340"/>
    </row>
    <row r="1101" spans="1:6" ht="20.25">
      <c r="A1101" s="341"/>
      <c r="B1101" s="338"/>
      <c r="C1101" s="338"/>
      <c r="D1101" s="338"/>
      <c r="E1101" s="342"/>
      <c r="F1101" s="340"/>
    </row>
    <row r="1102" spans="1:6" ht="20.25">
      <c r="A1102" s="341"/>
      <c r="B1102" s="338"/>
      <c r="C1102" s="338"/>
      <c r="D1102" s="338"/>
      <c r="E1102" s="342"/>
      <c r="F1102" s="340"/>
    </row>
    <row r="1103" spans="1:6" ht="20.25">
      <c r="A1103" s="341"/>
      <c r="B1103" s="338"/>
      <c r="C1103" s="338"/>
      <c r="D1103" s="338"/>
      <c r="E1103" s="342"/>
      <c r="F1103" s="340"/>
    </row>
    <row r="1104" spans="1:6" ht="20.25">
      <c r="A1104" s="341"/>
      <c r="B1104" s="338"/>
      <c r="C1104" s="338"/>
      <c r="D1104" s="338"/>
      <c r="E1104" s="342"/>
      <c r="F1104" s="340"/>
    </row>
    <row r="1105" spans="1:6" ht="20.25">
      <c r="A1105" s="341"/>
      <c r="B1105" s="338"/>
      <c r="C1105" s="338"/>
      <c r="D1105" s="338"/>
      <c r="E1105" s="342"/>
      <c r="F1105" s="340"/>
    </row>
    <row r="1106" spans="1:6" ht="20.25">
      <c r="A1106" s="341"/>
      <c r="B1106" s="338"/>
      <c r="C1106" s="338"/>
      <c r="D1106" s="338"/>
      <c r="E1106" s="342"/>
      <c r="F1106" s="340"/>
    </row>
    <row r="1107" spans="1:6" ht="20.25">
      <c r="A1107" s="341"/>
      <c r="B1107" s="338"/>
      <c r="C1107" s="338"/>
      <c r="D1107" s="338"/>
      <c r="E1107" s="342"/>
      <c r="F1107" s="340"/>
    </row>
    <row r="1108" spans="1:6" ht="20.25">
      <c r="A1108" s="341"/>
      <c r="B1108" s="338"/>
      <c r="C1108" s="338"/>
      <c r="D1108" s="338"/>
      <c r="E1108" s="342"/>
      <c r="F1108" s="340"/>
    </row>
    <row r="1109" spans="1:6" ht="20.25">
      <c r="A1109" s="341"/>
      <c r="B1109" s="338"/>
      <c r="C1109" s="338"/>
      <c r="D1109" s="338"/>
      <c r="E1109" s="342"/>
      <c r="F1109" s="340"/>
    </row>
    <row r="1110" spans="1:6" ht="20.25">
      <c r="A1110" s="341"/>
      <c r="B1110" s="338"/>
      <c r="C1110" s="338"/>
      <c r="D1110" s="338"/>
      <c r="E1110" s="342"/>
      <c r="F1110" s="340"/>
    </row>
    <row r="1111" spans="1:6" ht="20.25">
      <c r="A1111" s="341"/>
      <c r="B1111" s="338"/>
      <c r="C1111" s="338"/>
      <c r="D1111" s="338"/>
      <c r="E1111" s="342"/>
      <c r="F1111" s="340"/>
    </row>
    <row r="1112" spans="1:6" ht="20.25">
      <c r="A1112" s="341"/>
      <c r="B1112" s="338"/>
      <c r="C1112" s="338"/>
      <c r="D1112" s="338"/>
      <c r="E1112" s="342"/>
      <c r="F1112" s="340"/>
    </row>
    <row r="1113" spans="1:6" ht="20.25">
      <c r="A1113" s="341"/>
      <c r="B1113" s="338"/>
      <c r="C1113" s="338"/>
      <c r="D1113" s="338"/>
      <c r="E1113" s="342"/>
      <c r="F1113" s="340"/>
    </row>
    <row r="1114" spans="1:6" ht="20.25">
      <c r="A1114" s="341"/>
      <c r="B1114" s="338"/>
      <c r="C1114" s="338"/>
      <c r="D1114" s="338"/>
      <c r="E1114" s="342"/>
      <c r="F1114" s="340"/>
    </row>
    <row r="1115" spans="1:6" ht="20.25">
      <c r="A1115" s="341"/>
      <c r="B1115" s="338"/>
      <c r="C1115" s="338"/>
      <c r="D1115" s="338"/>
      <c r="E1115" s="342"/>
      <c r="F1115" s="340"/>
    </row>
    <row r="1116" spans="1:6" ht="20.25">
      <c r="A1116" s="341"/>
      <c r="B1116" s="338"/>
      <c r="C1116" s="338"/>
      <c r="D1116" s="338"/>
      <c r="E1116" s="342"/>
      <c r="F1116" s="340"/>
    </row>
    <row r="1117" spans="1:6" ht="20.25">
      <c r="A1117" s="341"/>
      <c r="B1117" s="338"/>
      <c r="C1117" s="338"/>
      <c r="D1117" s="338"/>
      <c r="E1117" s="342"/>
      <c r="F1117" s="340"/>
    </row>
    <row r="1118" spans="1:6" ht="20.25">
      <c r="A1118" s="341"/>
      <c r="B1118" s="338"/>
      <c r="C1118" s="338"/>
      <c r="D1118" s="338"/>
      <c r="E1118" s="342"/>
      <c r="F1118" s="340"/>
    </row>
    <row r="1119" spans="1:6" ht="20.25">
      <c r="A1119" s="341"/>
      <c r="B1119" s="338"/>
      <c r="C1119" s="338"/>
      <c r="D1119" s="338"/>
      <c r="E1119" s="342"/>
      <c r="F1119" s="340"/>
    </row>
    <row r="1120" spans="1:6" ht="20.25">
      <c r="A1120" s="341"/>
      <c r="B1120" s="338"/>
      <c r="C1120" s="338"/>
      <c r="D1120" s="338"/>
      <c r="E1120" s="342"/>
      <c r="F1120" s="340"/>
    </row>
    <row r="1121" spans="1:6" ht="20.25">
      <c r="A1121" s="341"/>
      <c r="B1121" s="338"/>
      <c r="C1121" s="338"/>
      <c r="D1121" s="338"/>
      <c r="E1121" s="342"/>
      <c r="F1121" s="340"/>
    </row>
    <row r="1122" spans="1:6" ht="20.25">
      <c r="A1122" s="341"/>
      <c r="B1122" s="338"/>
      <c r="C1122" s="338"/>
      <c r="D1122" s="338"/>
      <c r="E1122" s="342"/>
      <c r="F1122" s="340"/>
    </row>
    <row r="1123" spans="1:6" ht="20.25">
      <c r="A1123" s="341"/>
      <c r="B1123" s="338"/>
      <c r="C1123" s="338"/>
      <c r="D1123" s="338"/>
      <c r="E1123" s="342"/>
      <c r="F1123" s="340"/>
    </row>
    <row r="1124" spans="1:6" ht="20.25">
      <c r="A1124" s="341"/>
      <c r="B1124" s="338"/>
      <c r="C1124" s="338"/>
      <c r="D1124" s="338"/>
      <c r="E1124" s="342"/>
      <c r="F1124" s="340"/>
    </row>
    <row r="1125" spans="1:6" ht="20.25">
      <c r="A1125" s="341"/>
      <c r="B1125" s="338"/>
      <c r="C1125" s="338"/>
      <c r="D1125" s="338"/>
      <c r="E1125" s="342"/>
      <c r="F1125" s="340"/>
    </row>
    <row r="1126" spans="1:6" ht="20.25">
      <c r="A1126" s="341"/>
      <c r="B1126" s="338"/>
      <c r="C1126" s="338"/>
      <c r="D1126" s="338"/>
      <c r="E1126" s="342"/>
      <c r="F1126" s="340"/>
    </row>
    <row r="1127" spans="1:6" ht="20.25">
      <c r="A1127" s="341"/>
      <c r="B1127" s="338"/>
      <c r="C1127" s="338"/>
      <c r="D1127" s="338"/>
      <c r="E1127" s="342"/>
      <c r="F1127" s="340"/>
    </row>
    <row r="1128" spans="1:6" ht="20.25">
      <c r="A1128" s="341"/>
      <c r="B1128" s="338"/>
      <c r="C1128" s="338"/>
      <c r="D1128" s="338"/>
      <c r="E1128" s="342"/>
      <c r="F1128" s="340"/>
    </row>
    <row r="1129" spans="1:6" ht="20.25">
      <c r="A1129" s="341"/>
      <c r="B1129" s="338"/>
      <c r="C1129" s="338"/>
      <c r="D1129" s="338"/>
      <c r="E1129" s="342"/>
      <c r="F1129" s="340"/>
    </row>
    <row r="1130" spans="1:6" ht="20.25">
      <c r="A1130" s="341"/>
      <c r="B1130" s="338"/>
      <c r="C1130" s="338"/>
      <c r="D1130" s="338"/>
      <c r="E1130" s="342"/>
      <c r="F1130" s="340"/>
    </row>
    <row r="1131" spans="1:6" ht="20.25">
      <c r="A1131" s="341"/>
      <c r="B1131" s="338"/>
      <c r="C1131" s="338"/>
      <c r="D1131" s="338"/>
      <c r="E1131" s="342"/>
      <c r="F1131" s="340"/>
    </row>
    <row r="1132" spans="1:6" ht="20.25">
      <c r="A1132" s="341"/>
      <c r="B1132" s="338"/>
      <c r="C1132" s="338"/>
      <c r="D1132" s="338"/>
      <c r="E1132" s="342"/>
      <c r="F1132" s="340"/>
    </row>
    <row r="1133" spans="1:6" ht="20.25">
      <c r="A1133" s="341"/>
      <c r="B1133" s="338"/>
      <c r="C1133" s="338"/>
      <c r="D1133" s="338"/>
      <c r="E1133" s="342"/>
      <c r="F1133" s="340"/>
    </row>
    <row r="1134" spans="1:6" ht="20.25">
      <c r="A1134" s="341"/>
      <c r="B1134" s="338"/>
      <c r="C1134" s="338"/>
      <c r="D1134" s="338"/>
      <c r="E1134" s="342"/>
      <c r="F1134" s="340"/>
    </row>
    <row r="1135" spans="1:6" ht="20.25">
      <c r="A1135" s="341"/>
      <c r="B1135" s="338"/>
      <c r="C1135" s="338"/>
      <c r="D1135" s="338"/>
      <c r="E1135" s="342"/>
      <c r="F1135" s="340"/>
    </row>
    <row r="1136" spans="1:6" ht="20.25">
      <c r="A1136" s="341"/>
      <c r="B1136" s="338"/>
      <c r="C1136" s="338"/>
      <c r="D1136" s="338"/>
      <c r="E1136" s="342"/>
      <c r="F1136" s="340"/>
    </row>
    <row r="1137" spans="1:6" ht="20.25">
      <c r="A1137" s="341"/>
      <c r="B1137" s="338"/>
      <c r="C1137" s="338"/>
      <c r="D1137" s="338"/>
      <c r="E1137" s="342"/>
      <c r="F1137" s="340"/>
    </row>
    <row r="1138" spans="1:6" ht="20.25">
      <c r="A1138" s="341"/>
      <c r="B1138" s="338"/>
      <c r="C1138" s="338"/>
      <c r="D1138" s="338"/>
      <c r="E1138" s="342"/>
      <c r="F1138" s="340"/>
    </row>
    <row r="1139" spans="1:6" ht="20.25">
      <c r="A1139" s="341"/>
      <c r="B1139" s="338"/>
      <c r="C1139" s="338"/>
      <c r="D1139" s="338"/>
      <c r="E1139" s="342"/>
      <c r="F1139" s="340"/>
    </row>
    <row r="1140" spans="1:6" ht="20.25">
      <c r="A1140" s="341"/>
      <c r="B1140" s="338"/>
      <c r="C1140" s="338"/>
      <c r="D1140" s="338"/>
      <c r="E1140" s="342"/>
      <c r="F1140" s="340"/>
    </row>
    <row r="1141" spans="1:6" ht="20.25">
      <c r="A1141" s="341"/>
      <c r="B1141" s="338"/>
      <c r="C1141" s="338"/>
      <c r="D1141" s="338"/>
      <c r="E1141" s="342"/>
      <c r="F1141" s="340"/>
    </row>
    <row r="1142" spans="1:6" ht="20.25">
      <c r="A1142" s="341"/>
      <c r="B1142" s="338"/>
      <c r="C1142" s="338"/>
      <c r="D1142" s="338"/>
      <c r="E1142" s="342"/>
      <c r="F1142" s="340"/>
    </row>
    <row r="1143" spans="1:6" ht="20.25">
      <c r="A1143" s="341"/>
      <c r="B1143" s="338"/>
      <c r="C1143" s="338"/>
      <c r="D1143" s="338"/>
      <c r="E1143" s="342"/>
      <c r="F1143" s="340"/>
    </row>
    <row r="1144" spans="1:6" ht="20.25">
      <c r="A1144" s="341"/>
      <c r="B1144" s="338"/>
      <c r="C1144" s="338"/>
      <c r="D1144" s="338"/>
      <c r="E1144" s="342"/>
      <c r="F1144" s="340"/>
    </row>
    <row r="1145" spans="1:6" ht="20.25">
      <c r="A1145" s="341"/>
      <c r="B1145" s="338"/>
      <c r="C1145" s="338"/>
      <c r="D1145" s="338"/>
      <c r="E1145" s="342"/>
      <c r="F1145" s="340"/>
    </row>
    <row r="1146" spans="1:6" ht="20.25">
      <c r="A1146" s="341"/>
      <c r="B1146" s="338"/>
      <c r="C1146" s="338"/>
      <c r="D1146" s="338"/>
      <c r="E1146" s="342"/>
      <c r="F1146" s="340"/>
    </row>
    <row r="1147" spans="1:6" ht="20.25">
      <c r="A1147" s="341"/>
      <c r="B1147" s="338"/>
      <c r="C1147" s="338"/>
      <c r="D1147" s="338"/>
      <c r="E1147" s="342"/>
      <c r="F1147" s="340"/>
    </row>
    <row r="1148" spans="1:6" ht="20.25">
      <c r="A1148" s="341"/>
      <c r="B1148" s="338"/>
      <c r="C1148" s="338"/>
      <c r="D1148" s="338"/>
      <c r="E1148" s="342"/>
      <c r="F1148" s="340"/>
    </row>
    <row r="1149" spans="1:6" ht="20.25">
      <c r="A1149" s="341"/>
      <c r="B1149" s="338"/>
      <c r="C1149" s="338"/>
      <c r="D1149" s="338"/>
      <c r="E1149" s="342"/>
      <c r="F1149" s="340"/>
    </row>
    <row r="1150" spans="1:6" ht="20.25">
      <c r="A1150" s="341"/>
      <c r="B1150" s="338"/>
      <c r="C1150" s="338"/>
      <c r="D1150" s="338"/>
      <c r="E1150" s="342"/>
      <c r="F1150" s="340"/>
    </row>
    <row r="1151" spans="1:6" ht="20.25">
      <c r="A1151" s="341"/>
      <c r="B1151" s="338"/>
      <c r="C1151" s="338"/>
      <c r="D1151" s="338"/>
      <c r="E1151" s="342"/>
      <c r="F1151" s="340"/>
    </row>
    <row r="1152" spans="1:6" ht="20.25">
      <c r="A1152" s="341"/>
      <c r="B1152" s="338"/>
      <c r="C1152" s="338"/>
      <c r="D1152" s="338"/>
      <c r="E1152" s="342"/>
      <c r="F1152" s="340"/>
    </row>
    <row r="1153" spans="1:6" ht="20.25">
      <c r="A1153" s="341"/>
      <c r="B1153" s="338"/>
      <c r="C1153" s="338"/>
      <c r="D1153" s="338"/>
      <c r="E1153" s="342"/>
      <c r="F1153" s="340"/>
    </row>
    <row r="1154" spans="1:6" ht="20.25">
      <c r="A1154" s="341"/>
      <c r="B1154" s="338"/>
      <c r="C1154" s="338"/>
      <c r="D1154" s="338"/>
      <c r="E1154" s="342"/>
      <c r="F1154" s="340"/>
    </row>
    <row r="1155" spans="1:6" ht="20.25">
      <c r="A1155" s="341"/>
      <c r="B1155" s="338"/>
      <c r="C1155" s="338"/>
      <c r="D1155" s="338"/>
      <c r="E1155" s="342"/>
      <c r="F1155" s="340"/>
    </row>
    <row r="1156" spans="1:6" ht="20.25">
      <c r="A1156" s="341"/>
      <c r="B1156" s="338"/>
      <c r="C1156" s="338"/>
      <c r="D1156" s="338"/>
      <c r="E1156" s="342"/>
      <c r="F1156" s="340"/>
    </row>
    <row r="1157" spans="1:6" ht="20.25">
      <c r="A1157" s="341"/>
      <c r="B1157" s="338"/>
      <c r="C1157" s="338"/>
      <c r="D1157" s="338"/>
      <c r="E1157" s="342"/>
      <c r="F1157" s="340"/>
    </row>
    <row r="1158" spans="1:6" ht="20.25">
      <c r="A1158" s="341"/>
      <c r="B1158" s="338"/>
      <c r="C1158" s="338"/>
      <c r="D1158" s="338"/>
      <c r="E1158" s="342"/>
      <c r="F1158" s="340"/>
    </row>
    <row r="1159" spans="1:6" ht="20.25">
      <c r="A1159" s="341"/>
      <c r="B1159" s="338"/>
      <c r="C1159" s="338"/>
      <c r="D1159" s="338"/>
      <c r="E1159" s="342"/>
      <c r="F1159" s="340"/>
    </row>
    <row r="1160" spans="1:6" ht="20.25">
      <c r="A1160" s="341"/>
      <c r="B1160" s="338"/>
      <c r="C1160" s="338"/>
      <c r="D1160" s="338"/>
      <c r="E1160" s="342"/>
      <c r="F1160" s="340"/>
    </row>
    <row r="1161" spans="1:6" ht="20.25">
      <c r="A1161" s="341"/>
      <c r="B1161" s="338"/>
      <c r="C1161" s="338"/>
      <c r="D1161" s="338"/>
      <c r="E1161" s="342"/>
      <c r="F1161" s="340"/>
    </row>
    <row r="1162" spans="1:6" ht="20.25">
      <c r="A1162" s="341"/>
      <c r="B1162" s="338"/>
      <c r="C1162" s="338"/>
      <c r="D1162" s="338"/>
      <c r="E1162" s="342"/>
      <c r="F1162" s="340"/>
    </row>
    <row r="1163" spans="1:6" ht="20.25">
      <c r="A1163" s="341"/>
      <c r="B1163" s="338"/>
      <c r="C1163" s="338"/>
      <c r="D1163" s="338"/>
      <c r="E1163" s="342"/>
      <c r="F1163" s="340"/>
    </row>
    <row r="1164" spans="1:6" ht="20.25">
      <c r="A1164" s="341"/>
      <c r="B1164" s="338"/>
      <c r="C1164" s="338"/>
      <c r="D1164" s="338"/>
      <c r="E1164" s="342"/>
      <c r="F1164" s="340"/>
    </row>
    <row r="1165" spans="1:6" ht="20.25">
      <c r="A1165" s="341"/>
      <c r="B1165" s="338"/>
      <c r="C1165" s="338"/>
      <c r="D1165" s="338"/>
      <c r="E1165" s="342"/>
      <c r="F1165" s="340"/>
    </row>
    <row r="1166" spans="1:6" ht="20.25">
      <c r="A1166" s="341"/>
      <c r="B1166" s="338"/>
      <c r="C1166" s="338"/>
      <c r="D1166" s="338"/>
      <c r="E1166" s="342"/>
      <c r="F1166" s="340"/>
    </row>
    <row r="1167" spans="1:6" ht="20.25">
      <c r="A1167" s="341"/>
      <c r="B1167" s="338"/>
      <c r="C1167" s="338"/>
      <c r="D1167" s="338"/>
      <c r="E1167" s="342"/>
      <c r="F1167" s="340"/>
    </row>
    <row r="1168" spans="1:6" ht="20.25">
      <c r="A1168" s="341"/>
      <c r="B1168" s="338"/>
      <c r="C1168" s="338"/>
      <c r="D1168" s="338"/>
      <c r="E1168" s="342"/>
      <c r="F1168" s="340"/>
    </row>
    <row r="1169" spans="1:6" ht="20.25">
      <c r="A1169" s="341"/>
      <c r="B1169" s="338"/>
      <c r="C1169" s="338"/>
      <c r="D1169" s="338"/>
      <c r="E1169" s="342"/>
      <c r="F1169" s="340"/>
    </row>
    <row r="1170" spans="1:6" ht="20.25">
      <c r="A1170" s="341"/>
      <c r="B1170" s="338"/>
      <c r="C1170" s="338"/>
      <c r="D1170" s="338"/>
      <c r="E1170" s="342"/>
      <c r="F1170" s="340"/>
    </row>
    <row r="1171" spans="1:6" ht="20.25">
      <c r="A1171" s="341"/>
      <c r="B1171" s="338"/>
      <c r="C1171" s="338"/>
      <c r="D1171" s="338"/>
      <c r="E1171" s="342"/>
      <c r="F1171" s="340"/>
    </row>
    <row r="1172" spans="1:6" ht="20.25">
      <c r="A1172" s="341"/>
      <c r="B1172" s="338"/>
      <c r="C1172" s="338"/>
      <c r="D1172" s="338"/>
      <c r="E1172" s="342"/>
      <c r="F1172" s="340"/>
    </row>
    <row r="1173" spans="1:6" ht="20.25">
      <c r="A1173" s="341"/>
      <c r="B1173" s="338"/>
      <c r="C1173" s="338"/>
      <c r="D1173" s="338"/>
      <c r="E1173" s="342"/>
      <c r="F1173" s="340"/>
    </row>
    <row r="1174" spans="1:6" ht="20.25">
      <c r="A1174" s="341"/>
      <c r="B1174" s="338"/>
      <c r="C1174" s="338"/>
      <c r="D1174" s="338"/>
      <c r="E1174" s="342"/>
      <c r="F1174" s="340"/>
    </row>
    <row r="1175" spans="1:6" ht="20.25">
      <c r="A1175" s="341"/>
      <c r="B1175" s="338"/>
      <c r="C1175" s="338"/>
      <c r="D1175" s="338"/>
      <c r="E1175" s="342"/>
      <c r="F1175" s="340"/>
    </row>
    <row r="1176" spans="1:6" ht="20.25">
      <c r="A1176" s="341"/>
      <c r="B1176" s="338"/>
      <c r="C1176" s="338"/>
      <c r="D1176" s="338"/>
      <c r="E1176" s="342"/>
      <c r="F1176" s="340"/>
    </row>
    <row r="1177" spans="1:6" ht="20.25">
      <c r="A1177" s="341"/>
      <c r="B1177" s="338"/>
      <c r="C1177" s="338"/>
      <c r="D1177" s="338"/>
      <c r="E1177" s="342"/>
      <c r="F1177" s="340"/>
    </row>
    <row r="1178" spans="1:6" ht="20.25">
      <c r="A1178" s="341"/>
      <c r="B1178" s="338"/>
      <c r="C1178" s="338"/>
      <c r="D1178" s="338"/>
      <c r="E1178" s="342"/>
      <c r="F1178" s="340"/>
    </row>
    <row r="1179" spans="1:6" ht="20.25">
      <c r="A1179" s="341"/>
      <c r="B1179" s="338"/>
      <c r="C1179" s="338"/>
      <c r="D1179" s="338"/>
      <c r="E1179" s="342"/>
      <c r="F1179" s="340"/>
    </row>
    <row r="1180" spans="1:6" ht="20.25">
      <c r="A1180" s="341"/>
      <c r="B1180" s="338"/>
      <c r="C1180" s="338"/>
      <c r="D1180" s="338"/>
      <c r="E1180" s="342"/>
      <c r="F1180" s="340"/>
    </row>
    <row r="1181" spans="1:6" ht="20.25">
      <c r="A1181" s="341"/>
      <c r="B1181" s="338"/>
      <c r="C1181" s="338"/>
      <c r="D1181" s="338"/>
      <c r="E1181" s="342"/>
      <c r="F1181" s="340"/>
    </row>
    <row r="1182" spans="1:6" ht="20.25">
      <c r="A1182" s="341"/>
      <c r="B1182" s="338"/>
      <c r="C1182" s="338"/>
      <c r="D1182" s="338"/>
      <c r="E1182" s="342"/>
      <c r="F1182" s="340"/>
    </row>
    <row r="1183" spans="1:6" ht="20.25">
      <c r="A1183" s="341"/>
      <c r="B1183" s="338"/>
      <c r="C1183" s="338"/>
      <c r="D1183" s="338"/>
      <c r="E1183" s="342"/>
      <c r="F1183" s="340"/>
    </row>
    <row r="1184" spans="1:6" ht="20.25">
      <c r="A1184" s="341"/>
      <c r="B1184" s="338"/>
      <c r="C1184" s="338"/>
      <c r="D1184" s="338"/>
      <c r="E1184" s="342"/>
      <c r="F1184" s="340"/>
    </row>
    <row r="1185" spans="1:6" ht="20.25">
      <c r="A1185" s="341"/>
      <c r="B1185" s="338"/>
      <c r="C1185" s="338"/>
      <c r="D1185" s="338"/>
      <c r="E1185" s="342"/>
      <c r="F1185" s="340"/>
    </row>
    <row r="1186" spans="1:6" ht="20.25">
      <c r="A1186" s="341"/>
      <c r="B1186" s="338"/>
      <c r="C1186" s="338"/>
      <c r="D1186" s="338"/>
      <c r="E1186" s="342"/>
      <c r="F1186" s="340"/>
    </row>
    <row r="1187" spans="1:6" ht="20.25">
      <c r="A1187" s="341"/>
      <c r="B1187" s="338"/>
      <c r="C1187" s="338"/>
      <c r="D1187" s="338"/>
      <c r="E1187" s="342"/>
      <c r="F1187" s="340"/>
    </row>
    <row r="1188" spans="1:6" ht="20.25">
      <c r="A1188" s="341"/>
      <c r="B1188" s="338"/>
      <c r="C1188" s="338"/>
      <c r="D1188" s="338"/>
      <c r="E1188" s="342"/>
      <c r="F1188" s="340"/>
    </row>
    <row r="1189" spans="1:6" ht="20.25">
      <c r="A1189" s="341"/>
      <c r="B1189" s="338"/>
      <c r="C1189" s="338"/>
      <c r="D1189" s="338"/>
      <c r="E1189" s="342"/>
      <c r="F1189" s="340"/>
    </row>
    <row r="1190" spans="1:6" ht="20.25">
      <c r="A1190" s="341"/>
      <c r="B1190" s="338"/>
      <c r="C1190" s="338"/>
      <c r="D1190" s="338"/>
      <c r="E1190" s="342"/>
      <c r="F1190" s="340"/>
    </row>
    <row r="1191" spans="1:6" ht="20.25">
      <c r="A1191" s="341"/>
      <c r="B1191" s="338"/>
      <c r="C1191" s="338"/>
      <c r="D1191" s="338"/>
      <c r="E1191" s="342"/>
      <c r="F1191" s="340"/>
    </row>
    <row r="1192" spans="1:6" ht="20.25">
      <c r="A1192" s="341"/>
      <c r="B1192" s="338"/>
      <c r="C1192" s="338"/>
      <c r="D1192" s="338"/>
      <c r="E1192" s="342"/>
      <c r="F1192" s="340"/>
    </row>
    <row r="1193" spans="1:6" ht="20.25">
      <c r="A1193" s="341"/>
      <c r="B1193" s="338"/>
      <c r="C1193" s="338"/>
      <c r="D1193" s="338"/>
      <c r="E1193" s="342"/>
      <c r="F1193" s="340"/>
    </row>
    <row r="1194" spans="1:6" ht="20.25">
      <c r="A1194" s="341"/>
      <c r="B1194" s="338"/>
      <c r="C1194" s="338"/>
      <c r="D1194" s="338"/>
      <c r="E1194" s="342"/>
      <c r="F1194" s="340"/>
    </row>
    <row r="1195" spans="1:6" ht="20.25">
      <c r="A1195" s="341"/>
      <c r="B1195" s="338"/>
      <c r="C1195" s="338"/>
      <c r="D1195" s="338"/>
      <c r="E1195" s="342"/>
      <c r="F1195" s="340"/>
    </row>
    <row r="1196" spans="1:6" ht="20.25">
      <c r="A1196" s="341"/>
      <c r="B1196" s="338"/>
      <c r="C1196" s="338"/>
      <c r="D1196" s="338"/>
      <c r="E1196" s="342"/>
      <c r="F1196" s="340"/>
    </row>
    <row r="1197" spans="1:6" ht="20.25">
      <c r="A1197" s="341"/>
      <c r="B1197" s="338"/>
      <c r="C1197" s="338"/>
      <c r="D1197" s="338"/>
      <c r="E1197" s="342"/>
      <c r="F1197" s="340"/>
    </row>
    <row r="1198" spans="1:6" ht="20.25">
      <c r="A1198" s="341"/>
      <c r="B1198" s="338"/>
      <c r="C1198" s="338"/>
      <c r="D1198" s="338"/>
      <c r="E1198" s="342"/>
      <c r="F1198" s="340"/>
    </row>
    <row r="1199" spans="1:6" ht="20.25">
      <c r="A1199" s="341"/>
      <c r="B1199" s="338"/>
      <c r="C1199" s="338"/>
      <c r="D1199" s="338"/>
      <c r="E1199" s="342"/>
      <c r="F1199" s="340"/>
    </row>
    <row r="1200" spans="1:6" ht="20.25">
      <c r="A1200" s="341"/>
      <c r="B1200" s="338"/>
      <c r="C1200" s="338"/>
      <c r="D1200" s="338"/>
      <c r="E1200" s="342"/>
      <c r="F1200" s="340"/>
    </row>
    <row r="1201" spans="1:6" ht="20.25">
      <c r="A1201" s="341"/>
      <c r="B1201" s="338"/>
      <c r="C1201" s="338"/>
      <c r="D1201" s="338"/>
      <c r="E1201" s="342"/>
      <c r="F1201" s="340"/>
    </row>
    <row r="1202" spans="1:6" ht="20.25">
      <c r="A1202" s="341"/>
      <c r="B1202" s="338"/>
      <c r="C1202" s="338"/>
      <c r="D1202" s="338"/>
      <c r="E1202" s="342"/>
      <c r="F1202" s="340"/>
    </row>
    <row r="1203" spans="1:6" ht="20.25">
      <c r="A1203" s="341"/>
      <c r="B1203" s="338"/>
      <c r="C1203" s="338"/>
      <c r="D1203" s="338"/>
      <c r="E1203" s="342"/>
      <c r="F1203" s="340"/>
    </row>
    <row r="1204" spans="1:6" ht="20.25">
      <c r="A1204" s="341"/>
      <c r="B1204" s="338"/>
      <c r="C1204" s="338"/>
      <c r="D1204" s="338"/>
      <c r="E1204" s="342"/>
      <c r="F1204" s="340"/>
    </row>
    <row r="1205" spans="1:6" ht="20.25">
      <c r="A1205" s="341"/>
      <c r="B1205" s="338"/>
      <c r="C1205" s="338"/>
      <c r="D1205" s="338"/>
      <c r="E1205" s="342"/>
      <c r="F1205" s="340"/>
    </row>
    <row r="1206" spans="1:6" ht="20.25">
      <c r="A1206" s="341"/>
      <c r="B1206" s="338"/>
      <c r="C1206" s="338"/>
      <c r="D1206" s="338"/>
      <c r="E1206" s="342"/>
      <c r="F1206" s="340"/>
    </row>
    <row r="1207" spans="1:6" ht="20.25">
      <c r="A1207" s="341"/>
      <c r="B1207" s="338"/>
      <c r="C1207" s="338"/>
      <c r="D1207" s="338"/>
      <c r="E1207" s="342"/>
      <c r="F1207" s="340"/>
    </row>
    <row r="1208" spans="1:6" ht="20.25">
      <c r="A1208" s="341"/>
      <c r="B1208" s="338"/>
      <c r="C1208" s="338"/>
      <c r="D1208" s="338"/>
      <c r="E1208" s="342"/>
      <c r="F1208" s="340"/>
    </row>
    <row r="1209" spans="1:6" ht="20.25">
      <c r="A1209" s="341"/>
      <c r="B1209" s="338"/>
      <c r="C1209" s="338"/>
      <c r="D1209" s="338"/>
      <c r="E1209" s="342"/>
      <c r="F1209" s="340"/>
    </row>
    <row r="1210" spans="1:6" ht="20.25">
      <c r="A1210" s="341"/>
      <c r="B1210" s="338"/>
      <c r="C1210" s="338"/>
      <c r="D1210" s="338"/>
      <c r="E1210" s="342"/>
      <c r="F1210" s="340"/>
    </row>
    <row r="1211" spans="1:6" ht="20.25">
      <c r="A1211" s="341"/>
      <c r="B1211" s="338"/>
      <c r="C1211" s="338"/>
      <c r="D1211" s="338"/>
      <c r="E1211" s="342"/>
      <c r="F1211" s="340"/>
    </row>
    <row r="1212" spans="1:6" ht="20.25">
      <c r="A1212" s="341"/>
      <c r="B1212" s="338"/>
      <c r="C1212" s="338"/>
      <c r="D1212" s="338"/>
      <c r="E1212" s="342"/>
      <c r="F1212" s="340"/>
    </row>
    <row r="1213" spans="1:6" ht="20.25">
      <c r="A1213" s="341"/>
      <c r="B1213" s="338"/>
      <c r="C1213" s="338"/>
      <c r="D1213" s="338"/>
      <c r="E1213" s="342"/>
      <c r="F1213" s="340"/>
    </row>
    <row r="1214" spans="1:6" ht="20.25">
      <c r="A1214" s="341"/>
      <c r="B1214" s="338"/>
      <c r="C1214" s="338"/>
      <c r="D1214" s="338"/>
      <c r="E1214" s="342"/>
      <c r="F1214" s="340"/>
    </row>
    <row r="1215" spans="1:6" ht="20.25">
      <c r="A1215" s="341"/>
      <c r="B1215" s="338"/>
      <c r="C1215" s="338"/>
      <c r="D1215" s="338"/>
      <c r="E1215" s="342"/>
      <c r="F1215" s="340"/>
    </row>
    <row r="1216" spans="1:6" ht="20.25">
      <c r="A1216" s="341"/>
      <c r="B1216" s="338"/>
      <c r="C1216" s="338"/>
      <c r="D1216" s="338"/>
      <c r="E1216" s="342"/>
      <c r="F1216" s="340"/>
    </row>
    <row r="1217" spans="1:6" ht="20.25">
      <c r="A1217" s="341"/>
      <c r="B1217" s="338"/>
      <c r="C1217" s="338"/>
      <c r="D1217" s="338"/>
      <c r="E1217" s="342"/>
      <c r="F1217" s="340"/>
    </row>
    <row r="1218" spans="1:6" ht="20.25">
      <c r="A1218" s="341"/>
      <c r="B1218" s="338"/>
      <c r="C1218" s="338"/>
      <c r="D1218" s="338"/>
      <c r="E1218" s="342"/>
      <c r="F1218" s="340"/>
    </row>
    <row r="1219" spans="1:6" ht="20.25">
      <c r="A1219" s="341"/>
      <c r="B1219" s="338"/>
      <c r="C1219" s="338"/>
      <c r="D1219" s="338"/>
      <c r="E1219" s="342"/>
      <c r="F1219" s="340"/>
    </row>
    <row r="1220" spans="1:6" ht="20.25">
      <c r="A1220" s="341"/>
      <c r="B1220" s="338"/>
      <c r="C1220" s="338"/>
      <c r="D1220" s="338"/>
      <c r="E1220" s="342"/>
      <c r="F1220" s="340"/>
    </row>
    <row r="1221" spans="1:6" ht="20.25">
      <c r="A1221" s="341"/>
      <c r="B1221" s="338"/>
      <c r="C1221" s="338"/>
      <c r="D1221" s="338"/>
      <c r="E1221" s="342"/>
      <c r="F1221" s="340"/>
    </row>
    <row r="1222" spans="1:6" ht="20.25">
      <c r="A1222" s="341"/>
      <c r="B1222" s="338"/>
      <c r="C1222" s="338"/>
      <c r="D1222" s="338"/>
      <c r="E1222" s="342"/>
      <c r="F1222" s="340"/>
    </row>
    <row r="1223" spans="1:6" ht="20.25">
      <c r="A1223" s="341"/>
      <c r="B1223" s="338"/>
      <c r="C1223" s="338"/>
      <c r="D1223" s="338"/>
      <c r="E1223" s="342"/>
      <c r="F1223" s="340"/>
    </row>
    <row r="1224" spans="1:6" ht="20.25">
      <c r="A1224" s="341"/>
      <c r="B1224" s="338"/>
      <c r="C1224" s="338"/>
      <c r="D1224" s="338"/>
      <c r="E1224" s="342"/>
      <c r="F1224" s="340"/>
    </row>
    <row r="1225" spans="1:6" ht="20.25">
      <c r="A1225" s="341"/>
      <c r="B1225" s="338"/>
      <c r="C1225" s="338"/>
      <c r="D1225" s="338"/>
      <c r="E1225" s="342"/>
      <c r="F1225" s="340"/>
    </row>
    <row r="1226" spans="1:6" ht="20.25">
      <c r="A1226" s="341"/>
      <c r="B1226" s="338"/>
      <c r="C1226" s="338"/>
      <c r="D1226" s="338"/>
      <c r="E1226" s="342"/>
      <c r="F1226" s="340"/>
    </row>
    <row r="1227" spans="1:6" ht="20.25">
      <c r="A1227" s="341"/>
      <c r="B1227" s="338"/>
      <c r="C1227" s="338"/>
      <c r="D1227" s="338"/>
      <c r="E1227" s="342"/>
      <c r="F1227" s="340"/>
    </row>
    <row r="1228" spans="1:6" ht="20.25">
      <c r="A1228" s="341"/>
      <c r="B1228" s="338"/>
      <c r="C1228" s="338"/>
      <c r="D1228" s="338"/>
      <c r="E1228" s="342"/>
      <c r="F1228" s="340"/>
    </row>
    <row r="1229" spans="1:6" ht="20.25">
      <c r="A1229" s="341"/>
      <c r="B1229" s="338"/>
      <c r="C1229" s="338"/>
      <c r="D1229" s="338"/>
      <c r="E1229" s="342"/>
      <c r="F1229" s="340"/>
    </row>
    <row r="1230" spans="1:6" ht="20.25">
      <c r="A1230" s="341"/>
      <c r="B1230" s="338"/>
      <c r="C1230" s="338"/>
      <c r="D1230" s="338"/>
      <c r="E1230" s="342"/>
      <c r="F1230" s="340"/>
    </row>
    <row r="1231" spans="1:6" ht="20.25">
      <c r="A1231" s="341"/>
      <c r="B1231" s="338"/>
      <c r="C1231" s="338"/>
      <c r="D1231" s="338"/>
      <c r="E1231" s="342"/>
      <c r="F1231" s="340"/>
    </row>
    <row r="1232" spans="1:6" ht="20.25">
      <c r="A1232" s="341"/>
      <c r="B1232" s="338"/>
      <c r="C1232" s="338"/>
      <c r="D1232" s="338"/>
      <c r="E1232" s="342"/>
      <c r="F1232" s="340"/>
    </row>
    <row r="1233" spans="1:6" ht="20.25">
      <c r="A1233" s="341"/>
      <c r="B1233" s="338"/>
      <c r="C1233" s="338"/>
      <c r="D1233" s="338"/>
      <c r="E1233" s="342"/>
      <c r="F1233" s="340"/>
    </row>
    <row r="1234" spans="1:6" ht="20.25">
      <c r="A1234" s="341"/>
      <c r="B1234" s="338"/>
      <c r="C1234" s="338"/>
      <c r="D1234" s="338"/>
      <c r="E1234" s="342"/>
      <c r="F1234" s="340"/>
    </row>
    <row r="1235" spans="1:6" ht="20.25">
      <c r="A1235" s="341"/>
      <c r="B1235" s="338"/>
      <c r="C1235" s="338"/>
      <c r="D1235" s="338"/>
      <c r="E1235" s="342"/>
      <c r="F1235" s="340"/>
    </row>
    <row r="1236" spans="1:6" ht="20.25">
      <c r="A1236" s="341"/>
      <c r="B1236" s="338"/>
      <c r="C1236" s="338"/>
      <c r="D1236" s="338"/>
      <c r="E1236" s="342"/>
      <c r="F1236" s="340"/>
    </row>
    <row r="1237" spans="1:6" ht="20.25">
      <c r="A1237" s="341"/>
      <c r="B1237" s="338"/>
      <c r="C1237" s="338"/>
      <c r="D1237" s="338"/>
      <c r="E1237" s="342"/>
      <c r="F1237" s="340"/>
    </row>
    <row r="1238" spans="1:6" ht="20.25">
      <c r="A1238" s="341"/>
      <c r="B1238" s="338"/>
      <c r="C1238" s="338"/>
      <c r="D1238" s="338"/>
      <c r="E1238" s="342"/>
      <c r="F1238" s="340"/>
    </row>
    <row r="1239" spans="1:6" ht="20.25">
      <c r="A1239" s="341"/>
      <c r="B1239" s="338"/>
      <c r="C1239" s="338"/>
      <c r="D1239" s="338"/>
      <c r="E1239" s="342"/>
      <c r="F1239" s="340"/>
    </row>
    <row r="1240" spans="1:6" ht="20.25">
      <c r="A1240" s="341"/>
      <c r="B1240" s="338"/>
      <c r="C1240" s="338"/>
      <c r="D1240" s="338"/>
      <c r="E1240" s="342"/>
      <c r="F1240" s="340"/>
    </row>
    <row r="1241" spans="1:6" ht="20.25">
      <c r="A1241" s="341"/>
      <c r="B1241" s="338"/>
      <c r="C1241" s="338"/>
      <c r="D1241" s="338"/>
      <c r="E1241" s="342"/>
      <c r="F1241" s="340"/>
    </row>
    <row r="1242" spans="1:6" ht="20.25">
      <c r="A1242" s="341"/>
      <c r="B1242" s="338"/>
      <c r="C1242" s="338"/>
      <c r="D1242" s="338"/>
      <c r="E1242" s="342"/>
      <c r="F1242" s="340"/>
    </row>
    <row r="1243" spans="1:6" ht="20.25">
      <c r="A1243" s="341"/>
      <c r="B1243" s="338"/>
      <c r="C1243" s="338"/>
      <c r="D1243" s="338"/>
      <c r="E1243" s="342"/>
      <c r="F1243" s="340"/>
    </row>
    <row r="1244" spans="1:6" ht="20.25">
      <c r="A1244" s="341"/>
      <c r="B1244" s="338"/>
      <c r="C1244" s="338"/>
      <c r="D1244" s="338"/>
      <c r="E1244" s="342"/>
      <c r="F1244" s="340"/>
    </row>
    <row r="1245" spans="1:6" ht="20.25">
      <c r="A1245" s="341"/>
      <c r="B1245" s="338"/>
      <c r="C1245" s="338"/>
      <c r="D1245" s="338"/>
      <c r="E1245" s="342"/>
      <c r="F1245" s="340"/>
    </row>
    <row r="1246" spans="1:6" ht="20.25">
      <c r="A1246" s="341"/>
      <c r="B1246" s="338"/>
      <c r="C1246" s="338"/>
      <c r="D1246" s="338"/>
      <c r="E1246" s="342"/>
      <c r="F1246" s="340"/>
    </row>
    <row r="1247" spans="1:6" ht="20.25">
      <c r="A1247" s="341"/>
      <c r="B1247" s="338"/>
      <c r="C1247" s="338"/>
      <c r="D1247" s="338"/>
      <c r="E1247" s="342"/>
      <c r="F1247" s="340"/>
    </row>
    <row r="1248" spans="1:6" ht="20.25">
      <c r="A1248" s="341"/>
      <c r="B1248" s="338"/>
      <c r="C1248" s="338"/>
      <c r="D1248" s="338"/>
      <c r="E1248" s="342"/>
      <c r="F1248" s="340"/>
    </row>
    <row r="1249" spans="1:6" ht="20.25">
      <c r="A1249" s="341"/>
      <c r="B1249" s="338"/>
      <c r="C1249" s="338"/>
      <c r="D1249" s="338"/>
      <c r="E1249" s="342"/>
      <c r="F1249" s="340"/>
    </row>
    <row r="1250" spans="1:6" ht="20.25">
      <c r="A1250" s="341"/>
      <c r="B1250" s="338"/>
      <c r="C1250" s="338"/>
      <c r="D1250" s="338"/>
      <c r="E1250" s="342"/>
      <c r="F1250" s="340"/>
    </row>
    <row r="1251" spans="1:6" ht="20.25">
      <c r="A1251" s="341"/>
      <c r="B1251" s="338"/>
      <c r="C1251" s="338"/>
      <c r="D1251" s="338"/>
      <c r="E1251" s="342"/>
      <c r="F1251" s="340"/>
    </row>
    <row r="1252" spans="1:6" ht="20.25">
      <c r="A1252" s="341"/>
      <c r="B1252" s="338"/>
      <c r="C1252" s="338"/>
      <c r="D1252" s="338"/>
      <c r="E1252" s="342"/>
      <c r="F1252" s="340"/>
    </row>
    <row r="1253" spans="1:6" ht="20.25">
      <c r="A1253" s="341"/>
      <c r="B1253" s="338"/>
      <c r="C1253" s="338"/>
      <c r="D1253" s="338"/>
      <c r="E1253" s="342"/>
      <c r="F1253" s="340"/>
    </row>
    <row r="1254" spans="1:6" ht="20.25">
      <c r="A1254" s="341"/>
      <c r="B1254" s="338"/>
      <c r="C1254" s="338"/>
      <c r="D1254" s="338"/>
      <c r="E1254" s="342"/>
      <c r="F1254" s="340"/>
    </row>
    <row r="1255" spans="1:6" ht="20.25">
      <c r="A1255" s="341"/>
      <c r="B1255" s="338"/>
      <c r="C1255" s="338"/>
      <c r="D1255" s="338"/>
      <c r="E1255" s="342"/>
      <c r="F1255" s="340"/>
    </row>
    <row r="1256" spans="1:6" ht="20.25">
      <c r="A1256" s="341"/>
      <c r="B1256" s="338"/>
      <c r="C1256" s="338"/>
      <c r="D1256" s="338"/>
      <c r="E1256" s="342"/>
      <c r="F1256" s="340"/>
    </row>
    <row r="1257" spans="1:6" ht="20.25">
      <c r="A1257" s="341"/>
      <c r="B1257" s="338"/>
      <c r="C1257" s="338"/>
      <c r="D1257" s="338"/>
      <c r="E1257" s="342"/>
      <c r="F1257" s="340"/>
    </row>
    <row r="1258" spans="1:6" ht="20.25">
      <c r="A1258" s="341"/>
      <c r="B1258" s="338"/>
      <c r="C1258" s="338"/>
      <c r="D1258" s="338"/>
      <c r="E1258" s="342"/>
      <c r="F1258" s="340"/>
    </row>
    <row r="1259" spans="1:6" ht="20.25">
      <c r="A1259" s="341"/>
      <c r="B1259" s="338"/>
      <c r="C1259" s="338"/>
      <c r="D1259" s="338"/>
      <c r="E1259" s="342"/>
      <c r="F1259" s="340"/>
    </row>
    <row r="1260" spans="1:6" ht="20.25">
      <c r="A1260" s="341"/>
      <c r="B1260" s="338"/>
      <c r="C1260" s="338"/>
      <c r="D1260" s="338"/>
      <c r="E1260" s="342"/>
      <c r="F1260" s="340"/>
    </row>
    <row r="1261" spans="1:6" ht="20.25">
      <c r="A1261" s="341"/>
      <c r="B1261" s="338"/>
      <c r="C1261" s="338"/>
      <c r="D1261" s="338"/>
      <c r="E1261" s="342"/>
      <c r="F1261" s="340"/>
    </row>
    <row r="1262" spans="1:6" ht="20.25">
      <c r="A1262" s="341"/>
      <c r="B1262" s="338"/>
      <c r="C1262" s="338"/>
      <c r="D1262" s="338"/>
      <c r="E1262" s="342"/>
      <c r="F1262" s="340"/>
    </row>
    <row r="1263" spans="1:6" ht="20.25">
      <c r="A1263" s="341"/>
      <c r="B1263" s="338"/>
      <c r="C1263" s="338"/>
      <c r="D1263" s="338"/>
      <c r="E1263" s="342"/>
      <c r="F1263" s="340"/>
    </row>
    <row r="1264" spans="1:6" ht="20.25">
      <c r="A1264" s="341"/>
      <c r="B1264" s="338"/>
      <c r="C1264" s="338"/>
      <c r="D1264" s="338"/>
      <c r="E1264" s="342"/>
      <c r="F1264" s="340"/>
    </row>
    <row r="1265" spans="1:6" ht="20.25">
      <c r="A1265" s="341"/>
      <c r="B1265" s="338"/>
      <c r="C1265" s="338"/>
      <c r="D1265" s="338"/>
      <c r="E1265" s="342"/>
      <c r="F1265" s="340"/>
    </row>
    <row r="1266" spans="1:6" ht="20.25">
      <c r="A1266" s="341"/>
      <c r="B1266" s="338"/>
      <c r="C1266" s="338"/>
      <c r="D1266" s="338"/>
      <c r="E1266" s="342"/>
      <c r="F1266" s="340"/>
    </row>
    <row r="1267" spans="1:6" ht="20.25">
      <c r="A1267" s="341"/>
      <c r="B1267" s="338"/>
      <c r="C1267" s="338"/>
      <c r="D1267" s="338"/>
      <c r="E1267" s="342"/>
      <c r="F1267" s="340"/>
    </row>
    <row r="1268" spans="1:6" ht="20.25">
      <c r="A1268" s="341"/>
      <c r="B1268" s="338"/>
      <c r="C1268" s="338"/>
      <c r="D1268" s="338"/>
      <c r="E1268" s="342"/>
      <c r="F1268" s="340"/>
    </row>
    <row r="1269" spans="1:6" ht="20.25">
      <c r="A1269" s="341"/>
      <c r="B1269" s="338"/>
      <c r="C1269" s="338"/>
      <c r="D1269" s="338"/>
      <c r="E1269" s="342"/>
      <c r="F1269" s="340"/>
    </row>
    <row r="1270" spans="1:6" ht="20.25">
      <c r="A1270" s="341"/>
      <c r="B1270" s="338"/>
      <c r="C1270" s="338"/>
      <c r="D1270" s="338"/>
      <c r="E1270" s="342"/>
      <c r="F1270" s="340"/>
    </row>
    <row r="1271" spans="1:6" ht="20.25">
      <c r="A1271" s="341"/>
      <c r="B1271" s="338"/>
      <c r="C1271" s="338"/>
      <c r="D1271" s="338"/>
      <c r="E1271" s="342"/>
      <c r="F1271" s="340"/>
    </row>
    <row r="1272" spans="1:6" ht="20.25">
      <c r="A1272" s="341"/>
      <c r="B1272" s="338"/>
      <c r="C1272" s="338"/>
      <c r="D1272" s="338"/>
      <c r="E1272" s="342"/>
      <c r="F1272" s="340"/>
    </row>
    <row r="1273" spans="1:6" ht="20.25">
      <c r="A1273" s="341"/>
      <c r="B1273" s="338"/>
      <c r="C1273" s="338"/>
      <c r="D1273" s="338"/>
      <c r="E1273" s="342"/>
      <c r="F1273" s="340"/>
    </row>
    <row r="1274" spans="1:6" ht="20.25">
      <c r="A1274" s="341"/>
      <c r="B1274" s="338"/>
      <c r="C1274" s="338"/>
      <c r="D1274" s="338"/>
      <c r="E1274" s="342"/>
      <c r="F1274" s="340"/>
    </row>
    <row r="1275" spans="1:6" ht="20.25">
      <c r="A1275" s="341"/>
      <c r="B1275" s="338"/>
      <c r="C1275" s="338"/>
      <c r="D1275" s="338"/>
      <c r="E1275" s="342"/>
      <c r="F1275" s="340"/>
    </row>
    <row r="1276" spans="1:6" ht="20.25">
      <c r="A1276" s="341"/>
      <c r="B1276" s="338"/>
      <c r="C1276" s="338"/>
      <c r="D1276" s="338"/>
      <c r="E1276" s="342"/>
      <c r="F1276" s="340"/>
    </row>
    <row r="1277" spans="1:6" ht="20.25">
      <c r="A1277" s="341"/>
      <c r="B1277" s="338"/>
      <c r="C1277" s="338"/>
      <c r="D1277" s="338"/>
      <c r="E1277" s="342"/>
      <c r="F1277" s="340"/>
    </row>
    <row r="1278" spans="1:6" ht="20.25">
      <c r="A1278" s="341"/>
      <c r="B1278" s="338"/>
      <c r="C1278" s="338"/>
      <c r="D1278" s="338"/>
      <c r="E1278" s="342"/>
      <c r="F1278" s="340"/>
    </row>
    <row r="1279" spans="1:6" ht="20.25">
      <c r="A1279" s="341"/>
      <c r="B1279" s="338"/>
      <c r="C1279" s="338"/>
      <c r="D1279" s="338"/>
      <c r="E1279" s="342"/>
      <c r="F1279" s="340"/>
    </row>
    <row r="1280" spans="1:6" ht="20.25">
      <c r="A1280" s="341"/>
      <c r="B1280" s="338"/>
      <c r="C1280" s="338"/>
      <c r="D1280" s="338"/>
      <c r="E1280" s="342"/>
      <c r="F1280" s="340"/>
    </row>
    <row r="1281" spans="1:6" ht="20.25">
      <c r="A1281" s="341"/>
      <c r="B1281" s="338"/>
      <c r="C1281" s="338"/>
      <c r="D1281" s="338"/>
      <c r="E1281" s="342"/>
      <c r="F1281" s="340"/>
    </row>
    <row r="1282" spans="1:6" ht="20.25">
      <c r="A1282" s="341"/>
      <c r="B1282" s="338"/>
      <c r="C1282" s="338"/>
      <c r="D1282" s="338"/>
      <c r="E1282" s="342"/>
      <c r="F1282" s="340"/>
    </row>
    <row r="1283" spans="1:6" ht="20.25">
      <c r="A1283" s="341"/>
      <c r="B1283" s="338"/>
      <c r="C1283" s="338"/>
      <c r="D1283" s="338"/>
      <c r="E1283" s="342"/>
      <c r="F1283" s="340"/>
    </row>
    <row r="1284" spans="1:6" ht="20.25">
      <c r="A1284" s="341"/>
      <c r="B1284" s="338"/>
      <c r="C1284" s="338"/>
      <c r="D1284" s="338"/>
      <c r="E1284" s="342"/>
      <c r="F1284" s="340"/>
    </row>
    <row r="1285" spans="1:6" ht="20.25">
      <c r="A1285" s="341"/>
      <c r="B1285" s="338"/>
      <c r="C1285" s="338"/>
      <c r="D1285" s="338"/>
      <c r="E1285" s="342"/>
      <c r="F1285" s="340"/>
    </row>
    <row r="1286" spans="1:6" ht="20.25">
      <c r="A1286" s="341"/>
      <c r="B1286" s="338"/>
      <c r="C1286" s="338"/>
      <c r="D1286" s="338"/>
      <c r="E1286" s="342"/>
      <c r="F1286" s="340"/>
    </row>
    <row r="1287" spans="1:6" ht="20.25">
      <c r="A1287" s="341"/>
      <c r="B1287" s="338"/>
      <c r="C1287" s="338"/>
      <c r="D1287" s="338"/>
      <c r="E1287" s="342"/>
      <c r="F1287" s="340"/>
    </row>
    <row r="1288" spans="1:6" ht="20.25">
      <c r="A1288" s="341"/>
      <c r="B1288" s="338"/>
      <c r="C1288" s="338"/>
      <c r="D1288" s="338"/>
      <c r="E1288" s="342"/>
      <c r="F1288" s="340"/>
    </row>
    <row r="1289" spans="1:6" ht="20.25">
      <c r="A1289" s="341"/>
      <c r="B1289" s="338"/>
      <c r="C1289" s="338"/>
      <c r="D1289" s="338"/>
      <c r="E1289" s="342"/>
      <c r="F1289" s="340"/>
    </row>
    <row r="1290" spans="1:6" ht="20.25">
      <c r="A1290" s="341"/>
      <c r="B1290" s="338"/>
      <c r="C1290" s="338"/>
      <c r="D1290" s="338"/>
      <c r="E1290" s="342"/>
      <c r="F1290" s="340"/>
    </row>
    <row r="1291" spans="1:6" ht="20.25">
      <c r="A1291" s="341"/>
      <c r="B1291" s="338"/>
      <c r="C1291" s="338"/>
      <c r="D1291" s="338"/>
      <c r="E1291" s="342"/>
      <c r="F1291" s="340"/>
    </row>
    <row r="1292" spans="1:6" ht="20.25">
      <c r="A1292" s="341"/>
      <c r="B1292" s="338"/>
      <c r="C1292" s="338"/>
      <c r="D1292" s="338"/>
      <c r="E1292" s="342"/>
      <c r="F1292" s="340"/>
    </row>
    <row r="1293" spans="1:6" ht="20.25">
      <c r="A1293" s="341"/>
      <c r="B1293" s="338"/>
      <c r="C1293" s="338"/>
      <c r="D1293" s="338"/>
      <c r="E1293" s="342"/>
      <c r="F1293" s="340"/>
    </row>
    <row r="1294" spans="1:6" ht="20.25">
      <c r="A1294" s="341"/>
      <c r="B1294" s="338"/>
      <c r="C1294" s="338"/>
      <c r="D1294" s="338"/>
      <c r="E1294" s="342"/>
      <c r="F1294" s="340"/>
    </row>
    <row r="1295" spans="1:6" ht="20.25">
      <c r="A1295" s="341"/>
      <c r="B1295" s="338"/>
      <c r="C1295" s="338"/>
      <c r="D1295" s="338"/>
      <c r="E1295" s="342"/>
      <c r="F1295" s="340"/>
    </row>
    <row r="1296" spans="1:6" ht="20.25">
      <c r="A1296" s="341"/>
      <c r="B1296" s="338"/>
      <c r="C1296" s="338"/>
      <c r="D1296" s="338"/>
      <c r="E1296" s="342"/>
      <c r="F1296" s="340"/>
    </row>
    <row r="1297" spans="1:6" ht="20.25">
      <c r="A1297" s="341"/>
      <c r="B1297" s="338"/>
      <c r="C1297" s="338"/>
      <c r="D1297" s="338"/>
      <c r="E1297" s="342"/>
      <c r="F1297" s="340"/>
    </row>
    <row r="1298" spans="1:6" ht="20.25">
      <c r="A1298" s="341"/>
      <c r="B1298" s="338"/>
      <c r="C1298" s="338"/>
      <c r="D1298" s="338"/>
      <c r="E1298" s="342"/>
      <c r="F1298" s="340"/>
    </row>
    <row r="1299" spans="1:6" ht="20.25">
      <c r="A1299" s="341"/>
      <c r="B1299" s="338"/>
      <c r="C1299" s="338"/>
      <c r="D1299" s="338"/>
      <c r="E1299" s="342"/>
      <c r="F1299" s="340"/>
    </row>
    <row r="1300" spans="1:6" ht="20.25">
      <c r="A1300" s="341"/>
      <c r="B1300" s="338"/>
      <c r="C1300" s="338"/>
      <c r="D1300" s="338"/>
      <c r="E1300" s="342"/>
      <c r="F1300" s="340"/>
    </row>
    <row r="1301" spans="1:6" ht="20.25">
      <c r="A1301" s="341"/>
      <c r="B1301" s="338"/>
      <c r="C1301" s="338"/>
      <c r="D1301" s="338"/>
      <c r="E1301" s="342"/>
      <c r="F1301" s="340"/>
    </row>
    <row r="1302" spans="1:6" ht="20.25">
      <c r="A1302" s="341"/>
      <c r="B1302" s="338"/>
      <c r="C1302" s="338"/>
      <c r="D1302" s="338"/>
      <c r="E1302" s="342"/>
      <c r="F1302" s="340"/>
    </row>
    <row r="1303" spans="1:6" ht="20.25">
      <c r="A1303" s="341"/>
      <c r="B1303" s="338"/>
      <c r="C1303" s="338"/>
      <c r="D1303" s="338"/>
      <c r="E1303" s="342"/>
      <c r="F1303" s="340"/>
    </row>
    <row r="1304" spans="1:6" ht="20.25">
      <c r="A1304" s="341"/>
      <c r="B1304" s="338"/>
      <c r="C1304" s="338"/>
      <c r="D1304" s="338"/>
      <c r="E1304" s="342"/>
      <c r="F1304" s="340"/>
    </row>
    <row r="1305" spans="1:6" ht="20.25">
      <c r="A1305" s="341"/>
      <c r="B1305" s="338"/>
      <c r="C1305" s="338"/>
      <c r="D1305" s="338"/>
      <c r="E1305" s="342"/>
      <c r="F1305" s="340"/>
    </row>
    <row r="1306" spans="1:6" ht="20.25">
      <c r="A1306" s="341"/>
      <c r="B1306" s="338"/>
      <c r="C1306" s="338"/>
      <c r="D1306" s="338"/>
      <c r="E1306" s="342"/>
      <c r="F1306" s="340"/>
    </row>
    <row r="1307" spans="1:6" ht="20.25">
      <c r="A1307" s="341"/>
      <c r="B1307" s="338"/>
      <c r="C1307" s="338"/>
      <c r="D1307" s="338"/>
      <c r="E1307" s="342"/>
      <c r="F1307" s="340"/>
    </row>
    <row r="1308" spans="1:6" ht="20.25">
      <c r="A1308" s="341"/>
      <c r="B1308" s="338"/>
      <c r="C1308" s="338"/>
      <c r="D1308" s="338"/>
      <c r="E1308" s="342"/>
      <c r="F1308" s="340"/>
    </row>
    <row r="1309" spans="1:6" ht="20.25">
      <c r="A1309" s="341"/>
      <c r="B1309" s="338"/>
      <c r="C1309" s="338"/>
      <c r="D1309" s="338"/>
      <c r="E1309" s="342"/>
      <c r="F1309" s="340"/>
    </row>
    <row r="1310" spans="1:6" ht="20.25">
      <c r="A1310" s="341"/>
      <c r="B1310" s="338"/>
      <c r="C1310" s="338"/>
      <c r="D1310" s="338"/>
      <c r="E1310" s="342"/>
      <c r="F1310" s="340"/>
    </row>
    <row r="1311" spans="1:6" ht="20.25">
      <c r="A1311" s="341"/>
      <c r="B1311" s="338"/>
      <c r="C1311" s="338"/>
      <c r="D1311" s="338"/>
      <c r="E1311" s="342"/>
      <c r="F1311" s="340"/>
    </row>
    <row r="1312" spans="1:6" ht="20.25">
      <c r="A1312" s="341"/>
      <c r="B1312" s="338"/>
      <c r="C1312" s="338"/>
      <c r="D1312" s="338"/>
      <c r="E1312" s="342"/>
      <c r="F1312" s="340"/>
    </row>
    <row r="1313" spans="1:6" ht="20.25">
      <c r="A1313" s="341"/>
      <c r="B1313" s="338"/>
      <c r="C1313" s="338"/>
      <c r="D1313" s="338"/>
      <c r="E1313" s="342"/>
      <c r="F1313" s="340"/>
    </row>
    <row r="1314" spans="1:6" ht="20.25">
      <c r="A1314" s="341"/>
      <c r="B1314" s="338"/>
      <c r="C1314" s="338"/>
      <c r="D1314" s="338"/>
      <c r="E1314" s="342"/>
      <c r="F1314" s="340"/>
    </row>
    <row r="1315" spans="1:6" ht="20.25">
      <c r="A1315" s="341"/>
      <c r="B1315" s="338"/>
      <c r="C1315" s="338"/>
      <c r="D1315" s="338"/>
      <c r="E1315" s="342"/>
      <c r="F1315" s="340"/>
    </row>
    <row r="1316" spans="1:6" ht="20.25">
      <c r="A1316" s="341"/>
      <c r="B1316" s="338"/>
      <c r="C1316" s="338"/>
      <c r="D1316" s="338"/>
      <c r="E1316" s="342"/>
      <c r="F1316" s="340"/>
    </row>
    <row r="1317" spans="1:6" ht="20.25">
      <c r="A1317" s="341"/>
      <c r="B1317" s="338"/>
      <c r="C1317" s="338"/>
      <c r="D1317" s="338"/>
      <c r="E1317" s="342"/>
      <c r="F1317" s="340"/>
    </row>
    <row r="1318" spans="1:6" ht="20.25">
      <c r="A1318" s="341"/>
      <c r="B1318" s="338"/>
      <c r="C1318" s="338"/>
      <c r="D1318" s="338"/>
      <c r="E1318" s="342"/>
      <c r="F1318" s="340"/>
    </row>
    <row r="1319" spans="1:6" ht="20.25">
      <c r="A1319" s="341"/>
      <c r="B1319" s="338"/>
      <c r="C1319" s="338"/>
      <c r="D1319" s="338"/>
      <c r="E1319" s="342"/>
      <c r="F1319" s="340"/>
    </row>
    <row r="1320" spans="1:6" ht="20.25">
      <c r="A1320" s="341"/>
      <c r="B1320" s="338"/>
      <c r="C1320" s="338"/>
      <c r="D1320" s="338"/>
      <c r="E1320" s="342"/>
      <c r="F1320" s="340"/>
    </row>
    <row r="1321" spans="1:6" ht="20.25">
      <c r="A1321" s="341"/>
      <c r="B1321" s="338"/>
      <c r="C1321" s="338"/>
      <c r="D1321" s="338"/>
      <c r="E1321" s="342"/>
      <c r="F1321" s="340"/>
    </row>
    <row r="1322" spans="1:6" ht="20.25">
      <c r="A1322" s="341"/>
      <c r="B1322" s="338"/>
      <c r="C1322" s="338"/>
      <c r="D1322" s="338"/>
      <c r="E1322" s="342"/>
      <c r="F1322" s="340"/>
    </row>
    <row r="1323" spans="1:6" ht="20.25">
      <c r="A1323" s="341"/>
      <c r="B1323" s="338"/>
      <c r="C1323" s="338"/>
      <c r="D1323" s="338"/>
      <c r="E1323" s="342"/>
      <c r="F1323" s="340"/>
    </row>
    <row r="1324" spans="1:6" ht="20.25">
      <c r="A1324" s="341"/>
      <c r="B1324" s="338"/>
      <c r="C1324" s="338"/>
      <c r="D1324" s="338"/>
      <c r="E1324" s="342"/>
      <c r="F1324" s="340"/>
    </row>
    <row r="1325" spans="1:6" ht="20.25">
      <c r="A1325" s="341"/>
      <c r="B1325" s="338"/>
      <c r="C1325" s="338"/>
      <c r="D1325" s="338"/>
      <c r="E1325" s="342"/>
      <c r="F1325" s="340"/>
    </row>
    <row r="1326" spans="1:6" ht="20.25">
      <c r="A1326" s="341"/>
      <c r="B1326" s="338"/>
      <c r="C1326" s="338"/>
      <c r="D1326" s="338"/>
      <c r="E1326" s="342"/>
      <c r="F1326" s="340"/>
    </row>
    <row r="1327" spans="1:6" ht="20.25">
      <c r="A1327" s="341"/>
      <c r="B1327" s="338"/>
      <c r="C1327" s="338"/>
      <c r="D1327" s="338"/>
      <c r="E1327" s="342"/>
      <c r="F1327" s="340"/>
    </row>
    <row r="1328" spans="1:6" ht="20.25">
      <c r="A1328" s="341"/>
      <c r="B1328" s="338"/>
      <c r="C1328" s="338"/>
      <c r="D1328" s="338"/>
      <c r="E1328" s="342"/>
      <c r="F1328" s="340"/>
    </row>
    <row r="1329" spans="1:6" ht="20.25">
      <c r="A1329" s="341"/>
      <c r="B1329" s="338"/>
      <c r="C1329" s="338"/>
      <c r="D1329" s="338"/>
      <c r="E1329" s="342"/>
      <c r="F1329" s="340"/>
    </row>
    <row r="1330" spans="1:6" ht="20.25">
      <c r="A1330" s="341"/>
      <c r="B1330" s="338"/>
      <c r="C1330" s="338"/>
      <c r="D1330" s="338"/>
      <c r="E1330" s="342"/>
      <c r="F1330" s="340"/>
    </row>
    <row r="1331" spans="1:6" ht="20.25">
      <c r="A1331" s="341"/>
      <c r="B1331" s="338"/>
      <c r="C1331" s="338"/>
      <c r="D1331" s="338"/>
      <c r="E1331" s="342"/>
      <c r="F1331" s="340"/>
    </row>
    <row r="1332" spans="1:6" ht="20.25">
      <c r="A1332" s="341"/>
      <c r="B1332" s="338"/>
      <c r="C1332" s="338"/>
      <c r="D1332" s="338"/>
      <c r="E1332" s="342"/>
      <c r="F1332" s="340"/>
    </row>
    <row r="1333" spans="1:6" ht="20.25">
      <c r="A1333" s="341"/>
      <c r="B1333" s="338"/>
      <c r="C1333" s="338"/>
      <c r="D1333" s="338"/>
      <c r="E1333" s="342"/>
      <c r="F1333" s="340"/>
    </row>
    <row r="1334" spans="1:6" ht="20.25">
      <c r="A1334" s="341"/>
      <c r="B1334" s="338"/>
      <c r="C1334" s="338"/>
      <c r="D1334" s="338"/>
      <c r="E1334" s="342"/>
      <c r="F1334" s="340"/>
    </row>
    <row r="1335" spans="1:6" ht="20.25">
      <c r="A1335" s="341"/>
      <c r="B1335" s="338"/>
      <c r="C1335" s="338"/>
      <c r="D1335" s="338"/>
      <c r="E1335" s="342"/>
      <c r="F1335" s="340"/>
    </row>
    <row r="1336" spans="1:6" ht="20.25">
      <c r="A1336" s="341"/>
      <c r="B1336" s="338"/>
      <c r="C1336" s="338"/>
      <c r="D1336" s="338"/>
      <c r="E1336" s="342"/>
      <c r="F1336" s="340"/>
    </row>
    <row r="1337" spans="1:6" ht="20.25">
      <c r="A1337" s="341"/>
      <c r="B1337" s="338"/>
      <c r="C1337" s="338"/>
      <c r="D1337" s="338"/>
      <c r="E1337" s="342"/>
      <c r="F1337" s="340"/>
    </row>
    <row r="1338" spans="1:6" ht="20.25">
      <c r="A1338" s="341"/>
      <c r="B1338" s="338"/>
      <c r="C1338" s="338"/>
      <c r="D1338" s="338"/>
      <c r="E1338" s="342"/>
      <c r="F1338" s="340"/>
    </row>
    <row r="1339" spans="1:6" ht="20.25">
      <c r="A1339" s="341"/>
      <c r="B1339" s="338"/>
      <c r="C1339" s="338"/>
      <c r="D1339" s="338"/>
      <c r="E1339" s="342"/>
      <c r="F1339" s="340"/>
    </row>
    <row r="1340" spans="1:6" ht="20.25">
      <c r="A1340" s="341"/>
      <c r="B1340" s="338"/>
      <c r="C1340" s="338"/>
      <c r="D1340" s="338"/>
      <c r="E1340" s="342"/>
      <c r="F1340" s="340"/>
    </row>
    <row r="1341" spans="1:6" ht="20.25">
      <c r="A1341" s="341"/>
      <c r="B1341" s="338"/>
      <c r="C1341" s="338"/>
      <c r="D1341" s="338"/>
      <c r="E1341" s="342"/>
      <c r="F1341" s="340"/>
    </row>
    <row r="1342" spans="1:6" ht="20.25">
      <c r="A1342" s="341"/>
      <c r="B1342" s="338"/>
      <c r="C1342" s="338"/>
      <c r="D1342" s="338"/>
      <c r="E1342" s="342"/>
      <c r="F1342" s="340"/>
    </row>
    <row r="1343" spans="1:6" ht="20.25">
      <c r="A1343" s="341"/>
      <c r="B1343" s="338"/>
      <c r="C1343" s="338"/>
      <c r="D1343" s="338"/>
      <c r="E1343" s="342"/>
      <c r="F1343" s="340"/>
    </row>
    <row r="1344" spans="1:6" ht="20.25">
      <c r="A1344" s="341"/>
      <c r="B1344" s="338"/>
      <c r="C1344" s="338"/>
      <c r="D1344" s="338"/>
      <c r="E1344" s="342"/>
      <c r="F1344" s="340"/>
    </row>
    <row r="1345" spans="1:6" ht="20.25">
      <c r="A1345" s="341"/>
      <c r="B1345" s="338"/>
      <c r="C1345" s="338"/>
      <c r="D1345" s="338"/>
      <c r="E1345" s="342"/>
      <c r="F1345" s="340"/>
    </row>
    <row r="1346" spans="1:6" ht="20.25">
      <c r="A1346" s="341"/>
      <c r="B1346" s="338"/>
      <c r="C1346" s="338"/>
      <c r="D1346" s="338"/>
      <c r="E1346" s="342"/>
      <c r="F1346" s="340"/>
    </row>
    <row r="1347" spans="1:6" ht="20.25">
      <c r="A1347" s="341"/>
      <c r="B1347" s="338"/>
      <c r="C1347" s="338"/>
      <c r="D1347" s="338"/>
      <c r="E1347" s="342"/>
      <c r="F1347" s="340"/>
    </row>
    <row r="1348" spans="1:6" ht="20.25">
      <c r="A1348" s="341"/>
      <c r="B1348" s="338"/>
      <c r="C1348" s="338"/>
      <c r="D1348" s="338"/>
      <c r="E1348" s="342"/>
      <c r="F1348" s="340"/>
    </row>
    <row r="1349" spans="1:6" ht="20.25">
      <c r="A1349" s="341"/>
      <c r="B1349" s="338"/>
      <c r="C1349" s="338"/>
      <c r="D1349" s="338"/>
      <c r="E1349" s="342"/>
      <c r="F1349" s="340"/>
    </row>
    <row r="1350" spans="1:6" ht="20.25">
      <c r="A1350" s="341"/>
      <c r="B1350" s="338"/>
      <c r="C1350" s="338"/>
      <c r="D1350" s="338"/>
      <c r="E1350" s="342"/>
      <c r="F1350" s="340"/>
    </row>
    <row r="1351" spans="1:6" ht="20.25">
      <c r="A1351" s="341"/>
      <c r="B1351" s="338"/>
      <c r="C1351" s="338"/>
      <c r="D1351" s="338"/>
      <c r="E1351" s="342"/>
      <c r="F1351" s="340"/>
    </row>
    <row r="1352" spans="1:6" ht="20.25">
      <c r="A1352" s="341"/>
      <c r="B1352" s="338"/>
      <c r="C1352" s="338"/>
      <c r="D1352" s="338"/>
      <c r="E1352" s="342"/>
      <c r="F1352" s="340"/>
    </row>
    <row r="1353" spans="1:6" ht="20.25">
      <c r="A1353" s="341"/>
      <c r="B1353" s="338"/>
      <c r="C1353" s="338"/>
      <c r="D1353" s="338"/>
      <c r="E1353" s="342"/>
      <c r="F1353" s="340"/>
    </row>
    <row r="1354" spans="1:6" ht="20.25">
      <c r="A1354" s="341"/>
      <c r="B1354" s="338"/>
      <c r="C1354" s="338"/>
      <c r="D1354" s="338"/>
      <c r="E1354" s="342"/>
      <c r="F1354" s="340"/>
    </row>
    <row r="1355" spans="1:6" ht="20.25">
      <c r="A1355" s="341"/>
      <c r="B1355" s="338"/>
      <c r="C1355" s="338"/>
      <c r="D1355" s="338"/>
      <c r="E1355" s="342"/>
      <c r="F1355" s="340"/>
    </row>
    <row r="1356" spans="1:6" ht="20.25">
      <c r="A1356" s="341"/>
      <c r="B1356" s="338"/>
      <c r="C1356" s="338"/>
      <c r="D1356" s="338"/>
      <c r="E1356" s="342"/>
      <c r="F1356" s="340"/>
    </row>
    <row r="1357" spans="1:6" ht="20.25">
      <c r="A1357" s="341"/>
      <c r="B1357" s="338"/>
      <c r="C1357" s="338"/>
      <c r="D1357" s="338"/>
      <c r="E1357" s="342"/>
      <c r="F1357" s="340"/>
    </row>
    <row r="1358" spans="1:6" ht="20.25">
      <c r="A1358" s="341"/>
      <c r="B1358" s="338"/>
      <c r="C1358" s="338"/>
      <c r="D1358" s="338"/>
      <c r="E1358" s="342"/>
      <c r="F1358" s="340"/>
    </row>
    <row r="1359" spans="1:6" ht="20.25">
      <c r="A1359" s="341"/>
      <c r="B1359" s="338"/>
      <c r="C1359" s="338"/>
      <c r="D1359" s="338"/>
      <c r="E1359" s="342"/>
      <c r="F1359" s="340"/>
    </row>
    <row r="1360" spans="1:6" ht="20.25">
      <c r="A1360" s="341"/>
      <c r="B1360" s="338"/>
      <c r="C1360" s="338"/>
      <c r="D1360" s="338"/>
      <c r="E1360" s="342"/>
      <c r="F1360" s="340"/>
    </row>
    <row r="1361" spans="1:6" ht="20.25">
      <c r="A1361" s="341"/>
      <c r="B1361" s="338"/>
      <c r="C1361" s="338"/>
      <c r="D1361" s="338"/>
      <c r="E1361" s="342"/>
      <c r="F1361" s="340"/>
    </row>
    <row r="1362" spans="1:6" ht="20.25">
      <c r="A1362" s="341"/>
      <c r="B1362" s="338"/>
      <c r="C1362" s="338"/>
      <c r="D1362" s="338"/>
      <c r="E1362" s="342"/>
      <c r="F1362" s="340"/>
    </row>
    <row r="1363" spans="1:6" ht="20.25">
      <c r="A1363" s="341"/>
      <c r="B1363" s="338"/>
      <c r="C1363" s="338"/>
      <c r="D1363" s="338"/>
      <c r="E1363" s="342"/>
      <c r="F1363" s="340"/>
    </row>
    <row r="1364" spans="1:6" ht="20.25">
      <c r="A1364" s="341"/>
      <c r="B1364" s="338"/>
      <c r="C1364" s="338"/>
      <c r="D1364" s="338"/>
      <c r="E1364" s="342"/>
      <c r="F1364" s="340"/>
    </row>
    <row r="1365" spans="1:6" ht="20.25">
      <c r="A1365" s="341"/>
      <c r="B1365" s="338"/>
      <c r="C1365" s="338"/>
      <c r="D1365" s="338"/>
      <c r="E1365" s="342"/>
      <c r="F1365" s="340"/>
    </row>
    <row r="1366" spans="1:6" ht="20.25">
      <c r="A1366" s="341"/>
      <c r="B1366" s="338"/>
      <c r="C1366" s="338"/>
      <c r="D1366" s="338"/>
      <c r="E1366" s="342"/>
      <c r="F1366" s="340"/>
    </row>
    <row r="1367" spans="1:6" ht="20.25">
      <c r="A1367" s="341"/>
      <c r="B1367" s="338"/>
      <c r="C1367" s="338"/>
      <c r="D1367" s="338"/>
      <c r="E1367" s="342"/>
      <c r="F1367" s="340"/>
    </row>
    <row r="1368" spans="1:6" ht="20.25">
      <c r="A1368" s="341"/>
      <c r="B1368" s="338"/>
      <c r="C1368" s="338"/>
      <c r="D1368" s="338"/>
      <c r="E1368" s="342"/>
      <c r="F1368" s="340"/>
    </row>
    <row r="1369" spans="1:6" ht="20.25">
      <c r="A1369" s="341"/>
      <c r="B1369" s="338"/>
      <c r="C1369" s="338"/>
      <c r="D1369" s="338"/>
      <c r="E1369" s="342"/>
      <c r="F1369" s="340"/>
    </row>
    <row r="1370" spans="1:6" ht="20.25">
      <c r="A1370" s="341"/>
      <c r="B1370" s="338"/>
      <c r="C1370" s="338"/>
      <c r="D1370" s="338"/>
      <c r="E1370" s="342"/>
      <c r="F1370" s="340"/>
    </row>
    <row r="1371" spans="1:6" ht="20.25">
      <c r="A1371" s="341"/>
      <c r="B1371" s="338"/>
      <c r="C1371" s="338"/>
      <c r="D1371" s="338"/>
      <c r="E1371" s="342"/>
      <c r="F1371" s="340"/>
    </row>
    <row r="1372" spans="1:6" ht="20.25">
      <c r="A1372" s="341"/>
      <c r="B1372" s="338"/>
      <c r="C1372" s="338"/>
      <c r="D1372" s="338"/>
      <c r="E1372" s="342"/>
      <c r="F1372" s="340"/>
    </row>
    <row r="1373" spans="1:6" ht="20.25">
      <c r="A1373" s="341"/>
      <c r="B1373" s="338"/>
      <c r="C1373" s="338"/>
      <c r="D1373" s="338"/>
      <c r="E1373" s="342"/>
      <c r="F1373" s="340"/>
    </row>
    <row r="1374" spans="1:6" ht="20.25">
      <c r="A1374" s="341"/>
      <c r="B1374" s="338"/>
      <c r="C1374" s="338"/>
      <c r="D1374" s="338"/>
      <c r="E1374" s="342"/>
      <c r="F1374" s="340"/>
    </row>
    <row r="1375" spans="1:6" ht="20.25">
      <c r="A1375" s="341"/>
      <c r="B1375" s="338"/>
      <c r="C1375" s="338"/>
      <c r="D1375" s="338"/>
      <c r="E1375" s="342"/>
      <c r="F1375" s="340"/>
    </row>
    <row r="1376" spans="1:6" ht="20.25">
      <c r="A1376" s="341"/>
      <c r="B1376" s="338"/>
      <c r="C1376" s="338"/>
      <c r="D1376" s="338"/>
      <c r="E1376" s="342"/>
      <c r="F1376" s="340"/>
    </row>
    <row r="1377" spans="1:6" ht="20.25">
      <c r="A1377" s="341"/>
      <c r="B1377" s="338"/>
      <c r="C1377" s="338"/>
      <c r="D1377" s="338"/>
      <c r="E1377" s="342"/>
      <c r="F1377" s="340"/>
    </row>
    <row r="1378" spans="1:6" ht="20.25">
      <c r="A1378" s="341"/>
      <c r="B1378" s="338"/>
      <c r="C1378" s="338"/>
      <c r="D1378" s="338"/>
      <c r="E1378" s="342"/>
      <c r="F1378" s="340"/>
    </row>
    <row r="1379" spans="1:6" ht="20.25">
      <c r="A1379" s="341"/>
      <c r="B1379" s="338"/>
      <c r="C1379" s="338"/>
      <c r="D1379" s="338"/>
      <c r="E1379" s="342"/>
      <c r="F1379" s="340"/>
    </row>
    <row r="1380" spans="1:6" ht="20.25">
      <c r="A1380" s="341"/>
      <c r="B1380" s="338"/>
      <c r="C1380" s="338"/>
      <c r="D1380" s="338"/>
      <c r="E1380" s="342"/>
      <c r="F1380" s="340"/>
    </row>
    <row r="1381" spans="1:6" ht="20.25">
      <c r="A1381" s="341"/>
      <c r="B1381" s="338"/>
      <c r="C1381" s="338"/>
      <c r="D1381" s="338"/>
      <c r="E1381" s="342"/>
      <c r="F1381" s="340"/>
    </row>
    <row r="1382" spans="1:6" ht="20.25">
      <c r="A1382" s="341"/>
      <c r="B1382" s="338"/>
      <c r="C1382" s="338"/>
      <c r="D1382" s="338"/>
      <c r="E1382" s="342"/>
      <c r="F1382" s="340"/>
    </row>
    <row r="1383" spans="1:6" ht="20.25">
      <c r="A1383" s="341"/>
      <c r="B1383" s="338"/>
      <c r="C1383" s="338"/>
      <c r="D1383" s="338"/>
      <c r="E1383" s="342"/>
      <c r="F1383" s="340"/>
    </row>
    <row r="1384" spans="1:6" ht="20.25">
      <c r="A1384" s="341"/>
      <c r="B1384" s="338"/>
      <c r="C1384" s="338"/>
      <c r="D1384" s="338"/>
      <c r="E1384" s="342"/>
      <c r="F1384" s="340"/>
    </row>
    <row r="1385" spans="1:6" ht="20.25">
      <c r="A1385" s="341"/>
      <c r="B1385" s="338"/>
      <c r="C1385" s="338"/>
      <c r="D1385" s="338"/>
      <c r="E1385" s="342"/>
      <c r="F1385" s="340"/>
    </row>
    <row r="1386" spans="1:6" ht="20.25">
      <c r="A1386" s="341"/>
      <c r="B1386" s="338"/>
      <c r="C1386" s="338"/>
      <c r="D1386" s="338"/>
      <c r="E1386" s="342"/>
      <c r="F1386" s="340"/>
    </row>
    <row r="1387" spans="1:6" ht="20.25">
      <c r="A1387" s="341"/>
      <c r="B1387" s="338"/>
      <c r="C1387" s="338"/>
      <c r="D1387" s="338"/>
      <c r="E1387" s="342"/>
      <c r="F1387" s="340"/>
    </row>
    <row r="1388" spans="1:6" ht="20.25">
      <c r="A1388" s="341"/>
      <c r="B1388" s="338"/>
      <c r="C1388" s="338"/>
      <c r="D1388" s="338"/>
      <c r="E1388" s="342"/>
      <c r="F1388" s="340"/>
    </row>
    <row r="1389" spans="1:6" ht="20.25">
      <c r="A1389" s="341"/>
      <c r="B1389" s="338"/>
      <c r="C1389" s="338"/>
      <c r="D1389" s="338"/>
      <c r="E1389" s="342"/>
      <c r="F1389" s="340"/>
    </row>
    <row r="1390" spans="1:6" ht="20.25">
      <c r="A1390" s="341"/>
      <c r="B1390" s="338"/>
      <c r="C1390" s="338"/>
      <c r="D1390" s="338"/>
      <c r="E1390" s="342"/>
      <c r="F1390" s="340"/>
    </row>
    <row r="1391" spans="1:6" ht="20.25">
      <c r="A1391" s="341"/>
      <c r="B1391" s="338"/>
      <c r="C1391" s="338"/>
      <c r="D1391" s="338"/>
      <c r="E1391" s="342"/>
      <c r="F1391" s="340"/>
    </row>
    <row r="1392" spans="1:6" ht="20.25">
      <c r="A1392" s="341"/>
      <c r="B1392" s="338"/>
      <c r="C1392" s="338"/>
      <c r="D1392" s="338"/>
      <c r="E1392" s="342"/>
      <c r="F1392" s="340"/>
    </row>
    <row r="1393" spans="1:6" ht="20.25">
      <c r="A1393" s="341"/>
      <c r="B1393" s="338"/>
      <c r="C1393" s="338"/>
      <c r="D1393" s="338"/>
      <c r="E1393" s="342"/>
      <c r="F1393" s="340"/>
    </row>
    <row r="1394" spans="1:6" ht="20.25">
      <c r="A1394" s="341"/>
      <c r="B1394" s="338"/>
      <c r="C1394" s="338"/>
      <c r="D1394" s="338"/>
      <c r="E1394" s="342"/>
      <c r="F1394" s="340"/>
    </row>
    <row r="1395" spans="1:6" ht="20.25">
      <c r="A1395" s="341"/>
      <c r="B1395" s="338"/>
      <c r="C1395" s="338"/>
      <c r="D1395" s="338"/>
      <c r="E1395" s="342"/>
      <c r="F1395" s="340"/>
    </row>
    <row r="1396" spans="1:6" ht="20.25">
      <c r="A1396" s="341"/>
      <c r="B1396" s="338"/>
      <c r="C1396" s="338"/>
      <c r="D1396" s="338"/>
      <c r="E1396" s="342"/>
      <c r="F1396" s="340"/>
    </row>
    <row r="1397" spans="1:6" ht="20.25">
      <c r="A1397" s="341"/>
      <c r="B1397" s="338"/>
      <c r="C1397" s="338"/>
      <c r="D1397" s="338"/>
      <c r="E1397" s="342"/>
      <c r="F1397" s="340"/>
    </row>
    <row r="1398" spans="1:6" ht="20.25">
      <c r="A1398" s="341"/>
      <c r="B1398" s="338"/>
      <c r="C1398" s="338"/>
      <c r="D1398" s="338"/>
      <c r="E1398" s="342"/>
      <c r="F1398" s="340"/>
    </row>
    <row r="1399" spans="1:6" ht="20.25">
      <c r="A1399" s="341"/>
      <c r="B1399" s="338"/>
      <c r="C1399" s="338"/>
      <c r="D1399" s="338"/>
      <c r="E1399" s="342"/>
      <c r="F1399" s="340"/>
    </row>
    <row r="1400" spans="1:6" ht="20.25">
      <c r="A1400" s="341"/>
      <c r="B1400" s="338"/>
      <c r="C1400" s="338"/>
      <c r="D1400" s="338"/>
      <c r="E1400" s="342"/>
      <c r="F1400" s="340"/>
    </row>
    <row r="1401" spans="1:6" ht="20.25">
      <c r="A1401" s="341"/>
      <c r="B1401" s="338"/>
      <c r="C1401" s="338"/>
      <c r="D1401" s="338"/>
      <c r="E1401" s="342"/>
      <c r="F1401" s="340"/>
    </row>
    <row r="1402" spans="1:6" ht="20.25">
      <c r="A1402" s="341"/>
      <c r="B1402" s="338"/>
      <c r="C1402" s="338"/>
      <c r="D1402" s="338"/>
      <c r="E1402" s="342"/>
      <c r="F1402" s="340"/>
    </row>
    <row r="1403" spans="1:6" ht="20.25">
      <c r="A1403" s="341"/>
      <c r="B1403" s="338"/>
      <c r="C1403" s="338"/>
      <c r="D1403" s="338"/>
      <c r="E1403" s="342"/>
      <c r="F1403" s="340"/>
    </row>
    <row r="1404" spans="1:6" ht="20.25">
      <c r="A1404" s="341"/>
      <c r="B1404" s="338"/>
      <c r="C1404" s="338"/>
      <c r="D1404" s="338"/>
      <c r="E1404" s="342"/>
      <c r="F1404" s="340"/>
    </row>
    <row r="1405" spans="1:6" ht="20.25">
      <c r="A1405" s="341"/>
      <c r="B1405" s="338"/>
      <c r="C1405" s="338"/>
      <c r="D1405" s="338"/>
      <c r="E1405" s="342"/>
      <c r="F1405" s="340"/>
    </row>
    <row r="1406" spans="1:6" ht="20.25">
      <c r="A1406" s="341"/>
      <c r="B1406" s="338"/>
      <c r="C1406" s="338"/>
      <c r="D1406" s="338"/>
      <c r="E1406" s="342"/>
      <c r="F1406" s="340"/>
    </row>
    <row r="1407" spans="1:6" ht="20.25">
      <c r="A1407" s="341"/>
      <c r="B1407" s="338"/>
      <c r="C1407" s="338"/>
      <c r="D1407" s="338"/>
      <c r="E1407" s="342"/>
      <c r="F1407" s="340"/>
    </row>
    <row r="1408" spans="1:6" ht="20.25">
      <c r="A1408" s="341"/>
      <c r="B1408" s="338"/>
      <c r="C1408" s="338"/>
      <c r="D1408" s="338"/>
      <c r="E1408" s="342"/>
      <c r="F1408" s="340"/>
    </row>
    <row r="1409" spans="1:6" ht="20.25">
      <c r="A1409" s="341"/>
      <c r="B1409" s="338"/>
      <c r="C1409" s="338"/>
      <c r="D1409" s="338"/>
      <c r="E1409" s="342"/>
      <c r="F1409" s="340"/>
    </row>
    <row r="1410" spans="1:6" ht="20.25">
      <c r="A1410" s="341"/>
      <c r="B1410" s="338"/>
      <c r="C1410" s="338"/>
      <c r="D1410" s="338"/>
      <c r="E1410" s="342"/>
      <c r="F1410" s="340"/>
    </row>
    <row r="1411" spans="1:6" ht="20.25">
      <c r="A1411" s="341"/>
      <c r="B1411" s="338"/>
      <c r="C1411" s="338"/>
      <c r="D1411" s="338"/>
      <c r="E1411" s="342"/>
      <c r="F1411" s="340"/>
    </row>
    <row r="1412" spans="1:6" ht="20.25">
      <c r="A1412" s="341"/>
      <c r="B1412" s="338"/>
      <c r="C1412" s="338"/>
      <c r="D1412" s="338"/>
      <c r="E1412" s="342"/>
      <c r="F1412" s="340"/>
    </row>
    <row r="1413" spans="1:6" ht="20.25">
      <c r="A1413" s="341"/>
      <c r="B1413" s="338"/>
      <c r="C1413" s="338"/>
      <c r="D1413" s="338"/>
      <c r="E1413" s="342"/>
      <c r="F1413" s="340"/>
    </row>
    <row r="1414" spans="1:6" ht="20.25">
      <c r="A1414" s="341"/>
      <c r="B1414" s="338"/>
      <c r="C1414" s="338"/>
      <c r="D1414" s="338"/>
      <c r="E1414" s="342"/>
      <c r="F1414" s="340"/>
    </row>
    <row r="1415" spans="1:6" ht="20.25">
      <c r="A1415" s="341"/>
      <c r="B1415" s="338"/>
      <c r="C1415" s="338"/>
      <c r="D1415" s="338"/>
      <c r="E1415" s="342"/>
      <c r="F1415" s="340"/>
    </row>
    <row r="1416" spans="1:6" ht="20.25">
      <c r="A1416" s="341"/>
      <c r="B1416" s="338"/>
      <c r="C1416" s="338"/>
      <c r="D1416" s="338"/>
      <c r="E1416" s="342"/>
      <c r="F1416" s="340"/>
    </row>
    <row r="1417" spans="1:6" ht="20.25">
      <c r="A1417" s="341"/>
      <c r="B1417" s="338"/>
      <c r="C1417" s="338"/>
      <c r="D1417" s="338"/>
      <c r="E1417" s="342"/>
      <c r="F1417" s="340"/>
    </row>
    <row r="1418" spans="1:6" ht="20.25">
      <c r="A1418" s="341"/>
      <c r="B1418" s="338"/>
      <c r="C1418" s="338"/>
      <c r="D1418" s="338"/>
      <c r="E1418" s="342"/>
      <c r="F1418" s="340"/>
    </row>
    <row r="1419" spans="1:6" ht="20.25">
      <c r="A1419" s="341"/>
      <c r="B1419" s="338"/>
      <c r="C1419" s="338"/>
      <c r="D1419" s="338"/>
      <c r="E1419" s="342"/>
      <c r="F1419" s="340"/>
    </row>
    <row r="1420" spans="1:6" ht="20.25">
      <c r="A1420" s="341"/>
      <c r="B1420" s="338"/>
      <c r="C1420" s="338"/>
      <c r="D1420" s="338"/>
      <c r="E1420" s="342"/>
      <c r="F1420" s="340"/>
    </row>
    <row r="1421" spans="1:6" ht="20.25">
      <c r="A1421" s="341"/>
      <c r="B1421" s="338"/>
      <c r="C1421" s="338"/>
      <c r="D1421" s="338"/>
      <c r="E1421" s="342"/>
      <c r="F1421" s="340"/>
    </row>
    <row r="1422" spans="1:6" ht="20.25">
      <c r="A1422" s="341"/>
      <c r="B1422" s="338"/>
      <c r="C1422" s="338"/>
      <c r="D1422" s="338"/>
      <c r="E1422" s="342"/>
      <c r="F1422" s="340"/>
    </row>
    <row r="1423" spans="1:6" ht="20.25">
      <c r="A1423" s="341"/>
      <c r="B1423" s="338"/>
      <c r="C1423" s="338"/>
      <c r="D1423" s="338"/>
      <c r="E1423" s="342"/>
      <c r="F1423" s="340"/>
    </row>
    <row r="1424" spans="1:6" ht="20.25">
      <c r="A1424" s="341"/>
      <c r="B1424" s="338"/>
      <c r="C1424" s="338"/>
      <c r="D1424" s="338"/>
      <c r="E1424" s="342"/>
      <c r="F1424" s="340"/>
    </row>
    <row r="1425" spans="1:6" ht="20.25">
      <c r="A1425" s="341"/>
      <c r="B1425" s="338"/>
      <c r="C1425" s="338"/>
      <c r="D1425" s="338"/>
      <c r="E1425" s="342"/>
      <c r="F1425" s="340"/>
    </row>
    <row r="1426" spans="1:6" ht="20.25">
      <c r="A1426" s="341"/>
      <c r="B1426" s="338"/>
      <c r="C1426" s="338"/>
      <c r="D1426" s="338"/>
      <c r="E1426" s="342"/>
      <c r="F1426" s="340"/>
    </row>
    <row r="1427" spans="1:6" ht="20.25">
      <c r="A1427" s="341"/>
      <c r="B1427" s="338"/>
      <c r="C1427" s="338"/>
      <c r="D1427" s="338"/>
      <c r="E1427" s="342"/>
      <c r="F1427" s="340"/>
    </row>
    <row r="1428" spans="1:6" ht="20.25">
      <c r="A1428" s="341"/>
      <c r="B1428" s="338"/>
      <c r="C1428" s="338"/>
      <c r="D1428" s="338"/>
      <c r="E1428" s="342"/>
      <c r="F1428" s="340"/>
    </row>
    <row r="1429" spans="1:6" ht="20.25">
      <c r="A1429" s="341"/>
      <c r="B1429" s="338"/>
      <c r="C1429" s="338"/>
      <c r="D1429" s="338"/>
      <c r="E1429" s="342"/>
      <c r="F1429" s="340"/>
    </row>
    <row r="1430" spans="1:6" ht="20.25">
      <c r="A1430" s="341"/>
      <c r="B1430" s="338"/>
      <c r="C1430" s="338"/>
      <c r="D1430" s="338"/>
      <c r="E1430" s="342"/>
      <c r="F1430" s="340"/>
    </row>
    <row r="1431" spans="1:6" ht="20.25">
      <c r="A1431" s="341"/>
      <c r="B1431" s="338"/>
      <c r="C1431" s="338"/>
      <c r="D1431" s="338"/>
      <c r="E1431" s="342"/>
      <c r="F1431" s="340"/>
    </row>
    <row r="1432" spans="1:6" ht="20.25">
      <c r="A1432" s="341"/>
      <c r="B1432" s="338"/>
      <c r="C1432" s="338"/>
      <c r="D1432" s="338"/>
      <c r="E1432" s="342"/>
      <c r="F1432" s="340"/>
    </row>
    <row r="1433" spans="1:6" ht="20.25">
      <c r="A1433" s="341"/>
      <c r="B1433" s="338"/>
      <c r="C1433" s="338"/>
      <c r="D1433" s="338"/>
      <c r="E1433" s="342"/>
      <c r="F1433" s="340"/>
    </row>
    <row r="1434" spans="1:6" ht="20.25">
      <c r="A1434" s="341"/>
      <c r="B1434" s="338"/>
      <c r="C1434" s="338"/>
      <c r="D1434" s="338"/>
      <c r="E1434" s="342"/>
      <c r="F1434" s="340"/>
    </row>
    <row r="1435" spans="1:6" ht="20.25">
      <c r="A1435" s="341"/>
      <c r="B1435" s="338"/>
      <c r="C1435" s="338"/>
      <c r="D1435" s="338"/>
      <c r="E1435" s="342"/>
      <c r="F1435" s="340"/>
    </row>
    <row r="1436" spans="1:6" ht="20.25">
      <c r="A1436" s="341"/>
      <c r="B1436" s="338"/>
      <c r="C1436" s="338"/>
      <c r="D1436" s="338"/>
      <c r="E1436" s="342"/>
      <c r="F1436" s="340"/>
    </row>
    <row r="1437" spans="1:6" ht="20.25">
      <c r="A1437" s="341"/>
      <c r="B1437" s="338"/>
      <c r="C1437" s="338"/>
      <c r="D1437" s="338"/>
      <c r="E1437" s="342"/>
      <c r="F1437" s="340"/>
    </row>
    <row r="1438" spans="1:6" ht="20.25">
      <c r="A1438" s="341"/>
      <c r="B1438" s="338"/>
      <c r="C1438" s="338"/>
      <c r="D1438" s="338"/>
      <c r="E1438" s="342"/>
      <c r="F1438" s="340"/>
    </row>
    <row r="1439" spans="1:6" ht="20.25">
      <c r="A1439" s="341"/>
      <c r="B1439" s="338"/>
      <c r="C1439" s="338"/>
      <c r="D1439" s="338"/>
      <c r="E1439" s="342"/>
      <c r="F1439" s="340"/>
    </row>
    <row r="1440" spans="1:6" ht="20.25">
      <c r="A1440" s="341"/>
      <c r="B1440" s="338"/>
      <c r="C1440" s="338"/>
      <c r="D1440" s="338"/>
      <c r="E1440" s="342"/>
      <c r="F1440" s="340"/>
    </row>
    <row r="1441" spans="1:6" ht="20.25">
      <c r="A1441" s="341"/>
      <c r="B1441" s="338"/>
      <c r="C1441" s="338"/>
      <c r="D1441" s="338"/>
      <c r="E1441" s="342"/>
      <c r="F1441" s="340"/>
    </row>
    <row r="1442" spans="1:6" ht="20.25">
      <c r="A1442" s="341"/>
      <c r="B1442" s="338"/>
      <c r="C1442" s="338"/>
      <c r="D1442" s="338"/>
      <c r="E1442" s="342"/>
      <c r="F1442" s="340"/>
    </row>
    <row r="1443" spans="1:6" ht="20.25">
      <c r="A1443" s="341"/>
      <c r="B1443" s="338"/>
      <c r="C1443" s="338"/>
      <c r="D1443" s="338"/>
      <c r="E1443" s="342"/>
      <c r="F1443" s="340"/>
    </row>
    <row r="1444" spans="1:6" ht="20.25">
      <c r="A1444" s="341"/>
      <c r="B1444" s="338"/>
      <c r="C1444" s="338"/>
      <c r="D1444" s="338"/>
      <c r="E1444" s="342"/>
      <c r="F1444" s="340"/>
    </row>
    <row r="1445" spans="1:6" ht="20.25">
      <c r="A1445" s="341"/>
      <c r="B1445" s="338"/>
      <c r="C1445" s="338"/>
      <c r="D1445" s="338"/>
      <c r="E1445" s="342"/>
      <c r="F1445" s="340"/>
    </row>
    <row r="1446" spans="1:6" ht="20.25">
      <c r="A1446" s="341"/>
      <c r="B1446" s="338"/>
      <c r="C1446" s="338"/>
      <c r="D1446" s="338"/>
      <c r="E1446" s="342"/>
      <c r="F1446" s="340"/>
    </row>
    <row r="1447" spans="1:6" ht="20.25">
      <c r="A1447" s="341"/>
      <c r="B1447" s="338"/>
      <c r="C1447" s="338"/>
      <c r="D1447" s="338"/>
      <c r="E1447" s="342"/>
      <c r="F1447" s="340"/>
    </row>
    <row r="1448" spans="1:6" ht="20.25">
      <c r="A1448" s="341"/>
      <c r="B1448" s="338"/>
      <c r="C1448" s="338"/>
      <c r="D1448" s="338"/>
      <c r="E1448" s="342"/>
      <c r="F1448" s="340"/>
    </row>
    <row r="1449" spans="1:6" ht="20.25">
      <c r="A1449" s="341"/>
      <c r="B1449" s="338"/>
      <c r="C1449" s="338"/>
      <c r="D1449" s="338"/>
      <c r="E1449" s="342"/>
      <c r="F1449" s="340"/>
    </row>
    <row r="1450" spans="1:6" ht="20.25">
      <c r="A1450" s="341"/>
      <c r="B1450" s="338"/>
      <c r="C1450" s="338"/>
      <c r="D1450" s="338"/>
      <c r="E1450" s="342"/>
      <c r="F1450" s="340"/>
    </row>
    <row r="1451" spans="1:6" ht="20.25">
      <c r="A1451" s="341"/>
      <c r="B1451" s="338"/>
      <c r="C1451" s="338"/>
      <c r="D1451" s="338"/>
      <c r="E1451" s="342"/>
      <c r="F1451" s="340"/>
    </row>
    <row r="1452" spans="1:6" ht="20.25">
      <c r="A1452" s="341"/>
      <c r="B1452" s="338"/>
      <c r="C1452" s="338"/>
      <c r="D1452" s="338"/>
      <c r="E1452" s="342"/>
      <c r="F1452" s="340"/>
    </row>
    <row r="1453" spans="1:6" ht="20.25">
      <c r="A1453" s="341"/>
      <c r="B1453" s="338"/>
      <c r="C1453" s="338"/>
      <c r="D1453" s="338"/>
      <c r="E1453" s="342"/>
      <c r="F1453" s="340"/>
    </row>
    <row r="1454" spans="1:6" ht="20.25">
      <c r="A1454" s="341"/>
      <c r="B1454" s="338"/>
      <c r="C1454" s="338"/>
      <c r="D1454" s="338"/>
      <c r="E1454" s="342"/>
      <c r="F1454" s="340"/>
    </row>
    <row r="1455" spans="1:6" ht="20.25">
      <c r="A1455" s="341"/>
      <c r="B1455" s="338"/>
      <c r="C1455" s="338"/>
      <c r="D1455" s="338"/>
      <c r="E1455" s="342"/>
      <c r="F1455" s="340"/>
    </row>
    <row r="1456" spans="1:6" ht="20.25">
      <c r="A1456" s="341"/>
      <c r="B1456" s="338"/>
      <c r="C1456" s="338"/>
      <c r="D1456" s="338"/>
      <c r="E1456" s="342"/>
      <c r="F1456" s="340"/>
    </row>
    <row r="1457" spans="1:6" ht="20.25">
      <c r="A1457" s="341"/>
      <c r="B1457" s="338"/>
      <c r="C1457" s="338"/>
      <c r="D1457" s="338"/>
      <c r="E1457" s="342"/>
      <c r="F1457" s="340"/>
    </row>
    <row r="1458" spans="1:6" ht="20.25">
      <c r="A1458" s="341"/>
      <c r="B1458" s="338"/>
      <c r="C1458" s="338"/>
      <c r="D1458" s="338"/>
      <c r="E1458" s="342"/>
      <c r="F1458" s="340"/>
    </row>
    <row r="1459" spans="1:6" ht="20.25">
      <c r="A1459" s="341"/>
      <c r="B1459" s="338"/>
      <c r="C1459" s="338"/>
      <c r="D1459" s="338"/>
      <c r="E1459" s="342"/>
      <c r="F1459" s="340"/>
    </row>
    <row r="1460" spans="1:6" ht="20.25">
      <c r="A1460" s="341"/>
      <c r="B1460" s="338"/>
      <c r="C1460" s="338"/>
      <c r="D1460" s="338"/>
      <c r="E1460" s="342"/>
      <c r="F1460" s="340"/>
    </row>
    <row r="1461" spans="1:6" ht="20.25">
      <c r="A1461" s="341"/>
      <c r="B1461" s="338"/>
      <c r="C1461" s="338"/>
      <c r="D1461" s="338"/>
      <c r="E1461" s="342"/>
      <c r="F1461" s="340"/>
    </row>
    <row r="1462" spans="1:6" ht="20.25">
      <c r="A1462" s="341"/>
      <c r="B1462" s="338"/>
      <c r="C1462" s="338"/>
      <c r="D1462" s="338"/>
      <c r="E1462" s="342"/>
      <c r="F1462" s="340"/>
    </row>
    <row r="1463" spans="1:6" ht="20.25">
      <c r="A1463" s="341"/>
      <c r="B1463" s="338"/>
      <c r="C1463" s="338"/>
      <c r="D1463" s="338"/>
      <c r="E1463" s="342"/>
      <c r="F1463" s="340"/>
    </row>
    <row r="1464" spans="1:6" ht="20.25">
      <c r="A1464" s="341"/>
      <c r="B1464" s="338"/>
      <c r="C1464" s="338"/>
      <c r="D1464" s="338"/>
      <c r="E1464" s="342"/>
      <c r="F1464" s="340"/>
    </row>
    <row r="1465" spans="1:6" ht="20.25">
      <c r="A1465" s="341"/>
      <c r="B1465" s="338"/>
      <c r="C1465" s="338"/>
      <c r="D1465" s="338"/>
      <c r="E1465" s="342"/>
      <c r="F1465" s="340"/>
    </row>
    <row r="1466" spans="1:6" ht="20.25">
      <c r="A1466" s="341"/>
      <c r="B1466" s="338"/>
      <c r="C1466" s="338"/>
      <c r="D1466" s="338"/>
      <c r="E1466" s="342"/>
      <c r="F1466" s="340"/>
    </row>
    <row r="1467" spans="1:6" ht="20.25">
      <c r="A1467" s="341"/>
      <c r="B1467" s="338"/>
      <c r="C1467" s="338"/>
      <c r="D1467" s="338"/>
      <c r="E1467" s="342"/>
      <c r="F1467" s="340"/>
    </row>
    <row r="1468" spans="1:6" ht="20.25">
      <c r="A1468" s="341"/>
      <c r="B1468" s="338"/>
      <c r="C1468" s="338"/>
      <c r="D1468" s="338"/>
      <c r="E1468" s="342"/>
      <c r="F1468" s="340"/>
    </row>
    <row r="1469" spans="1:6" ht="20.25">
      <c r="A1469" s="341"/>
      <c r="B1469" s="338"/>
      <c r="C1469" s="338"/>
      <c r="D1469" s="338"/>
      <c r="E1469" s="342"/>
      <c r="F1469" s="340"/>
    </row>
    <row r="1470" spans="1:6" ht="20.25">
      <c r="A1470" s="341"/>
      <c r="B1470" s="338"/>
      <c r="C1470" s="338"/>
      <c r="D1470" s="338"/>
      <c r="E1470" s="342"/>
      <c r="F1470" s="340"/>
    </row>
    <row r="1471" spans="1:6" ht="20.25">
      <c r="A1471" s="341"/>
      <c r="B1471" s="338"/>
      <c r="C1471" s="338"/>
      <c r="D1471" s="338"/>
      <c r="E1471" s="342"/>
      <c r="F1471" s="340"/>
    </row>
    <row r="1472" spans="1:6" ht="20.25">
      <c r="A1472" s="341"/>
      <c r="B1472" s="338"/>
      <c r="C1472" s="338"/>
      <c r="D1472" s="338"/>
      <c r="E1472" s="342"/>
      <c r="F1472" s="340"/>
    </row>
    <row r="1473" spans="1:6" ht="20.25">
      <c r="A1473" s="341"/>
      <c r="B1473" s="338"/>
      <c r="C1473" s="338"/>
      <c r="D1473" s="338"/>
      <c r="E1473" s="342"/>
      <c r="F1473" s="340"/>
    </row>
    <row r="1474" spans="1:6" ht="20.25">
      <c r="A1474" s="341"/>
      <c r="B1474" s="338"/>
      <c r="C1474" s="338"/>
      <c r="D1474" s="338"/>
      <c r="E1474" s="342"/>
      <c r="F1474" s="340"/>
    </row>
    <row r="1475" spans="1:6" ht="20.25">
      <c r="A1475" s="341"/>
      <c r="B1475" s="338"/>
      <c r="C1475" s="338"/>
      <c r="D1475" s="338"/>
      <c r="E1475" s="342"/>
      <c r="F1475" s="340"/>
    </row>
    <row r="1476" spans="1:6" ht="20.25">
      <c r="A1476" s="341"/>
      <c r="B1476" s="338"/>
      <c r="C1476" s="338"/>
      <c r="D1476" s="338"/>
      <c r="E1476" s="342"/>
      <c r="F1476" s="340"/>
    </row>
    <row r="1477" spans="1:6" ht="20.25">
      <c r="A1477" s="341"/>
      <c r="B1477" s="338"/>
      <c r="C1477" s="338"/>
      <c r="D1477" s="338"/>
      <c r="E1477" s="342"/>
      <c r="F1477" s="340"/>
    </row>
    <row r="1478" spans="1:6" ht="20.25">
      <c r="A1478" s="341"/>
      <c r="B1478" s="338"/>
      <c r="C1478" s="338"/>
      <c r="D1478" s="338"/>
      <c r="E1478" s="342"/>
      <c r="F1478" s="340"/>
    </row>
    <row r="1479" spans="1:6" ht="20.25">
      <c r="A1479" s="341"/>
      <c r="B1479" s="338"/>
      <c r="C1479" s="338"/>
      <c r="D1479" s="338"/>
      <c r="E1479" s="342"/>
      <c r="F1479" s="340"/>
    </row>
    <row r="1480" spans="1:6" ht="20.25">
      <c r="A1480" s="341"/>
      <c r="B1480" s="338"/>
      <c r="C1480" s="338"/>
      <c r="D1480" s="338"/>
      <c r="E1480" s="342"/>
      <c r="F1480" s="340"/>
    </row>
    <row r="1481" spans="1:6" ht="20.25">
      <c r="A1481" s="341"/>
      <c r="B1481" s="338"/>
      <c r="C1481" s="338"/>
      <c r="D1481" s="338"/>
      <c r="E1481" s="342"/>
      <c r="F1481" s="340"/>
    </row>
    <row r="1482" spans="1:6" ht="20.25">
      <c r="A1482" s="341"/>
      <c r="B1482" s="338"/>
      <c r="C1482" s="338"/>
      <c r="D1482" s="338"/>
      <c r="E1482" s="342"/>
      <c r="F1482" s="340"/>
    </row>
    <row r="1483" spans="1:6" ht="20.25">
      <c r="A1483" s="341"/>
      <c r="B1483" s="338"/>
      <c r="C1483" s="338"/>
      <c r="D1483" s="338"/>
      <c r="E1483" s="342"/>
      <c r="F1483" s="340"/>
    </row>
    <row r="1484" spans="1:6" ht="20.25">
      <c r="A1484" s="341"/>
      <c r="B1484" s="338"/>
      <c r="C1484" s="338"/>
      <c r="D1484" s="338"/>
      <c r="E1484" s="342"/>
      <c r="F1484" s="340"/>
    </row>
    <row r="1485" spans="1:6" ht="20.25">
      <c r="A1485" s="341"/>
      <c r="B1485" s="338"/>
      <c r="C1485" s="338"/>
      <c r="D1485" s="338"/>
      <c r="E1485" s="342"/>
      <c r="F1485" s="340"/>
    </row>
    <row r="1486" spans="1:6" ht="20.25">
      <c r="A1486" s="341"/>
      <c r="B1486" s="338"/>
      <c r="C1486" s="338"/>
      <c r="D1486" s="338"/>
      <c r="E1486" s="342"/>
      <c r="F1486" s="340"/>
    </row>
    <row r="1487" spans="1:6" ht="20.25">
      <c r="A1487" s="341"/>
      <c r="B1487" s="338"/>
      <c r="C1487" s="338"/>
      <c r="D1487" s="338"/>
      <c r="E1487" s="342"/>
      <c r="F1487" s="340"/>
    </row>
    <row r="1488" spans="1:6" ht="20.25">
      <c r="A1488" s="341"/>
      <c r="B1488" s="338"/>
      <c r="C1488" s="338"/>
      <c r="D1488" s="338"/>
      <c r="E1488" s="342"/>
      <c r="F1488" s="340"/>
    </row>
    <row r="1489" spans="1:6" ht="20.25">
      <c r="A1489" s="341"/>
      <c r="B1489" s="338"/>
      <c r="C1489" s="338"/>
      <c r="D1489" s="338"/>
      <c r="E1489" s="342"/>
      <c r="F1489" s="340"/>
    </row>
    <row r="1490" spans="1:6" ht="20.25">
      <c r="A1490" s="341"/>
      <c r="B1490" s="338"/>
      <c r="C1490" s="338"/>
      <c r="D1490" s="338"/>
      <c r="E1490" s="342"/>
      <c r="F1490" s="340"/>
    </row>
    <row r="1491" spans="1:6" ht="20.25">
      <c r="A1491" s="341"/>
      <c r="B1491" s="338"/>
      <c r="C1491" s="338"/>
      <c r="D1491" s="338"/>
      <c r="E1491" s="342"/>
      <c r="F1491" s="340"/>
    </row>
    <row r="1492" spans="1:6" ht="20.25">
      <c r="A1492" s="341"/>
      <c r="B1492" s="338"/>
      <c r="C1492" s="338"/>
      <c r="D1492" s="338"/>
      <c r="E1492" s="342"/>
      <c r="F1492" s="340"/>
    </row>
    <row r="1493" spans="1:6" ht="20.25">
      <c r="A1493" s="341"/>
      <c r="B1493" s="338"/>
      <c r="C1493" s="338"/>
      <c r="D1493" s="338"/>
      <c r="E1493" s="342"/>
      <c r="F1493" s="340"/>
    </row>
    <row r="1494" spans="1:6" ht="20.25">
      <c r="A1494" s="341"/>
      <c r="B1494" s="338"/>
      <c r="C1494" s="338"/>
      <c r="D1494" s="338"/>
      <c r="E1494" s="342"/>
      <c r="F1494" s="340"/>
    </row>
    <row r="1495" spans="1:6" ht="20.25">
      <c r="A1495" s="341"/>
      <c r="B1495" s="338"/>
      <c r="C1495" s="338"/>
      <c r="D1495" s="338"/>
      <c r="E1495" s="342"/>
      <c r="F1495" s="340"/>
    </row>
    <row r="1496" spans="1:6" ht="20.25">
      <c r="A1496" s="341"/>
      <c r="B1496" s="338"/>
      <c r="C1496" s="338"/>
      <c r="D1496" s="338"/>
      <c r="E1496" s="342"/>
      <c r="F1496" s="340"/>
    </row>
    <row r="1497" spans="1:6" ht="20.25">
      <c r="A1497" s="341"/>
      <c r="B1497" s="338"/>
      <c r="C1497" s="338"/>
      <c r="D1497" s="338"/>
      <c r="E1497" s="342"/>
      <c r="F1497" s="340"/>
    </row>
    <row r="1498" spans="1:6" ht="20.25">
      <c r="A1498" s="341"/>
      <c r="B1498" s="338"/>
      <c r="C1498" s="338"/>
      <c r="D1498" s="338"/>
      <c r="E1498" s="342"/>
      <c r="F1498" s="340"/>
    </row>
    <row r="1499" spans="1:6" ht="20.25">
      <c r="A1499" s="341"/>
      <c r="B1499" s="338"/>
      <c r="C1499" s="338"/>
      <c r="D1499" s="338"/>
      <c r="E1499" s="342"/>
      <c r="F1499" s="340"/>
    </row>
    <row r="1500" spans="1:6" ht="20.25">
      <c r="A1500" s="341"/>
      <c r="B1500" s="338"/>
      <c r="C1500" s="338"/>
      <c r="D1500" s="338"/>
      <c r="E1500" s="342"/>
      <c r="F1500" s="340"/>
    </row>
    <row r="1501" spans="1:6" ht="20.25">
      <c r="A1501" s="341"/>
      <c r="B1501" s="338"/>
      <c r="C1501" s="338"/>
      <c r="D1501" s="338"/>
      <c r="E1501" s="342"/>
      <c r="F1501" s="340"/>
    </row>
    <row r="1502" spans="1:6" ht="20.25">
      <c r="A1502" s="341"/>
      <c r="B1502" s="338"/>
      <c r="C1502" s="338"/>
      <c r="D1502" s="338"/>
      <c r="E1502" s="342"/>
      <c r="F1502" s="340"/>
    </row>
    <row r="1503" spans="1:6" ht="20.25">
      <c r="A1503" s="341"/>
      <c r="B1503" s="338"/>
      <c r="C1503" s="338"/>
      <c r="D1503" s="338"/>
      <c r="E1503" s="342"/>
      <c r="F1503" s="340"/>
    </row>
    <row r="1504" spans="1:6" ht="20.25">
      <c r="A1504" s="341"/>
      <c r="B1504" s="338"/>
      <c r="C1504" s="338"/>
      <c r="D1504" s="338"/>
      <c r="E1504" s="342"/>
      <c r="F1504" s="340"/>
    </row>
    <row r="1505" spans="1:6" ht="20.25">
      <c r="A1505" s="341"/>
      <c r="B1505" s="338"/>
      <c r="C1505" s="338"/>
      <c r="D1505" s="338"/>
      <c r="E1505" s="342"/>
      <c r="F1505" s="340"/>
    </row>
    <row r="1506" spans="1:6" ht="20.25">
      <c r="A1506" s="341"/>
      <c r="B1506" s="338"/>
      <c r="C1506" s="338"/>
      <c r="D1506" s="338"/>
      <c r="E1506" s="342"/>
      <c r="F1506" s="340"/>
    </row>
    <row r="1507" spans="1:6" ht="20.25">
      <c r="A1507" s="341"/>
      <c r="B1507" s="338"/>
      <c r="C1507" s="338"/>
      <c r="D1507" s="338"/>
      <c r="E1507" s="342"/>
      <c r="F1507" s="340"/>
    </row>
    <row r="1508" spans="1:6" ht="20.25">
      <c r="A1508" s="341"/>
      <c r="B1508" s="338"/>
      <c r="C1508" s="338"/>
      <c r="D1508" s="338"/>
      <c r="E1508" s="342"/>
      <c r="F1508" s="340"/>
    </row>
    <row r="1509" spans="1:6" ht="20.25">
      <c r="A1509" s="341"/>
      <c r="B1509" s="338"/>
      <c r="C1509" s="338"/>
      <c r="D1509" s="338"/>
      <c r="E1509" s="342"/>
      <c r="F1509" s="340"/>
    </row>
    <row r="1510" spans="1:6" ht="20.25">
      <c r="A1510" s="341"/>
      <c r="B1510" s="338"/>
      <c r="C1510" s="338"/>
      <c r="D1510" s="338"/>
      <c r="E1510" s="342"/>
      <c r="F1510" s="340"/>
    </row>
    <row r="1511" spans="1:6" ht="20.25">
      <c r="A1511" s="341"/>
      <c r="B1511" s="338"/>
      <c r="C1511" s="338"/>
      <c r="D1511" s="338"/>
      <c r="E1511" s="342"/>
      <c r="F1511" s="340"/>
    </row>
    <row r="1512" spans="1:6" ht="20.25">
      <c r="A1512" s="341"/>
      <c r="B1512" s="338"/>
      <c r="C1512" s="338"/>
      <c r="D1512" s="338"/>
      <c r="E1512" s="342"/>
      <c r="F1512" s="340"/>
    </row>
    <row r="1513" spans="1:6" ht="20.25">
      <c r="A1513" s="341"/>
      <c r="B1513" s="338"/>
      <c r="C1513" s="338"/>
      <c r="D1513" s="338"/>
      <c r="E1513" s="342"/>
      <c r="F1513" s="340"/>
    </row>
    <row r="1514" spans="1:6" ht="20.25">
      <c r="A1514" s="341"/>
      <c r="B1514" s="338"/>
      <c r="C1514" s="338"/>
      <c r="D1514" s="338"/>
      <c r="E1514" s="342"/>
      <c r="F1514" s="340"/>
    </row>
    <row r="1515" spans="1:6" ht="20.25">
      <c r="A1515" s="341"/>
      <c r="B1515" s="338"/>
      <c r="C1515" s="338"/>
      <c r="D1515" s="338"/>
      <c r="E1515" s="342"/>
      <c r="F1515" s="340"/>
    </row>
    <row r="1516" spans="1:6" ht="20.25">
      <c r="A1516" s="343"/>
      <c r="B1516" s="344"/>
      <c r="C1516" s="344"/>
      <c r="D1516" s="344"/>
      <c r="E1516" s="345"/>
      <c r="F1516" s="346"/>
    </row>
    <row r="1517" spans="1:6" ht="20.25">
      <c r="A1517" s="343"/>
      <c r="B1517" s="344"/>
      <c r="C1517" s="344"/>
      <c r="D1517" s="344"/>
      <c r="E1517" s="345"/>
      <c r="F1517" s="346"/>
    </row>
    <row r="1518" spans="1:6" ht="20.25">
      <c r="A1518" s="343"/>
      <c r="B1518" s="344"/>
      <c r="C1518" s="344"/>
      <c r="D1518" s="344"/>
      <c r="E1518" s="345"/>
      <c r="F1518" s="346"/>
    </row>
    <row r="1519" spans="1:6" ht="20.25">
      <c r="A1519" s="343"/>
      <c r="B1519" s="344"/>
      <c r="C1519" s="344"/>
      <c r="D1519" s="344"/>
      <c r="E1519" s="345"/>
      <c r="F1519" s="346"/>
    </row>
    <row r="1520" spans="1:6" ht="20.25">
      <c r="A1520" s="343"/>
      <c r="B1520" s="344"/>
      <c r="C1520" s="344"/>
      <c r="D1520" s="344"/>
      <c r="E1520" s="345"/>
      <c r="F1520" s="346"/>
    </row>
    <row r="1521" spans="1:6" ht="20.25">
      <c r="A1521" s="343"/>
      <c r="B1521" s="344"/>
      <c r="C1521" s="344"/>
      <c r="D1521" s="344"/>
      <c r="E1521" s="345"/>
      <c r="F1521" s="346"/>
    </row>
    <row r="1522" spans="1:6" ht="20.25">
      <c r="A1522" s="343"/>
      <c r="B1522" s="344"/>
      <c r="C1522" s="344"/>
      <c r="D1522" s="344"/>
      <c r="E1522" s="345"/>
      <c r="F1522" s="346"/>
    </row>
    <row r="1523" spans="1:6" ht="20.25">
      <c r="A1523" s="343"/>
      <c r="B1523" s="344"/>
      <c r="C1523" s="344"/>
      <c r="D1523" s="344"/>
      <c r="E1523" s="345"/>
      <c r="F1523" s="346"/>
    </row>
    <row r="1524" spans="1:6" ht="20.25">
      <c r="A1524" s="343"/>
      <c r="B1524" s="344"/>
      <c r="C1524" s="344"/>
      <c r="D1524" s="344"/>
      <c r="E1524" s="345"/>
      <c r="F1524" s="346"/>
    </row>
    <row r="1525" spans="1:6" ht="20.25">
      <c r="A1525" s="343"/>
      <c r="B1525" s="344"/>
      <c r="C1525" s="344"/>
      <c r="D1525" s="344"/>
      <c r="E1525" s="345"/>
      <c r="F1525" s="346"/>
    </row>
    <row r="1526" spans="1:6" ht="20.25">
      <c r="A1526" s="343"/>
      <c r="B1526" s="344"/>
      <c r="C1526" s="344"/>
      <c r="D1526" s="344"/>
      <c r="E1526" s="345"/>
      <c r="F1526" s="346"/>
    </row>
    <row r="1527" spans="1:6" ht="20.25">
      <c r="A1527" s="343"/>
      <c r="B1527" s="344"/>
      <c r="C1527" s="344"/>
      <c r="D1527" s="344"/>
      <c r="E1527" s="345"/>
      <c r="F1527" s="346"/>
    </row>
    <row r="1528" spans="1:6" ht="20.25">
      <c r="A1528" s="343"/>
      <c r="B1528" s="344"/>
      <c r="C1528" s="344"/>
      <c r="D1528" s="344"/>
      <c r="E1528" s="345"/>
      <c r="F1528" s="346"/>
    </row>
    <row r="1529" spans="1:6" ht="20.25">
      <c r="A1529" s="343"/>
      <c r="B1529" s="344"/>
      <c r="C1529" s="344"/>
      <c r="D1529" s="344"/>
      <c r="E1529" s="345"/>
      <c r="F1529" s="346"/>
    </row>
    <row r="1530" spans="1:6" ht="20.25">
      <c r="A1530" s="343"/>
      <c r="B1530" s="344"/>
      <c r="C1530" s="344"/>
      <c r="D1530" s="344"/>
      <c r="E1530" s="345"/>
      <c r="F1530" s="346"/>
    </row>
    <row r="1531" spans="1:6" ht="20.25">
      <c r="A1531" s="343"/>
      <c r="B1531" s="344"/>
      <c r="C1531" s="344"/>
      <c r="D1531" s="344"/>
      <c r="E1531" s="345"/>
      <c r="F1531" s="346"/>
    </row>
    <row r="1532" spans="1:6" ht="20.25">
      <c r="A1532" s="343"/>
      <c r="B1532" s="344"/>
      <c r="C1532" s="344"/>
      <c r="D1532" s="344"/>
      <c r="E1532" s="345"/>
      <c r="F1532" s="346"/>
    </row>
    <row r="1533" spans="1:6" ht="20.25">
      <c r="A1533" s="343"/>
      <c r="B1533" s="344"/>
      <c r="C1533" s="344"/>
      <c r="D1533" s="344"/>
      <c r="E1533" s="345"/>
      <c r="F1533" s="346"/>
    </row>
    <row r="1534" spans="1:6" ht="20.25">
      <c r="A1534" s="343"/>
      <c r="B1534" s="344"/>
      <c r="C1534" s="344"/>
      <c r="D1534" s="344"/>
      <c r="E1534" s="345"/>
      <c r="F1534" s="346"/>
    </row>
    <row r="1535" spans="1:6" ht="20.25">
      <c r="A1535" s="343"/>
      <c r="B1535" s="344"/>
      <c r="C1535" s="344"/>
      <c r="D1535" s="344"/>
      <c r="E1535" s="345"/>
      <c r="F1535" s="346"/>
    </row>
    <row r="1536" spans="1:6" ht="20.25">
      <c r="A1536" s="343"/>
      <c r="B1536" s="344"/>
      <c r="C1536" s="344"/>
      <c r="D1536" s="344"/>
      <c r="E1536" s="345"/>
      <c r="F1536" s="346"/>
    </row>
    <row r="1537" spans="1:6" ht="20.25">
      <c r="A1537" s="343"/>
      <c r="B1537" s="344"/>
      <c r="C1537" s="344"/>
      <c r="D1537" s="344"/>
      <c r="E1537" s="345"/>
      <c r="F1537" s="346"/>
    </row>
    <row r="1538" spans="1:6" ht="20.25">
      <c r="A1538" s="343"/>
      <c r="B1538" s="344"/>
      <c r="C1538" s="344"/>
      <c r="D1538" s="344"/>
      <c r="E1538" s="345"/>
      <c r="F1538" s="346"/>
    </row>
    <row r="1539" spans="1:6" ht="20.25">
      <c r="A1539" s="343"/>
      <c r="B1539" s="344"/>
      <c r="C1539" s="344"/>
      <c r="D1539" s="344"/>
      <c r="E1539" s="345"/>
      <c r="F1539" s="346"/>
    </row>
    <row r="1540" spans="1:6" ht="20.25">
      <c r="A1540" s="343"/>
      <c r="B1540" s="344"/>
      <c r="C1540" s="344"/>
      <c r="D1540" s="344"/>
      <c r="E1540" s="345"/>
      <c r="F1540" s="346"/>
    </row>
    <row r="1541" spans="1:6" ht="20.25">
      <c r="A1541" s="343"/>
      <c r="B1541" s="344"/>
      <c r="C1541" s="344"/>
      <c r="D1541" s="344"/>
      <c r="E1541" s="345"/>
      <c r="F1541" s="346"/>
    </row>
    <row r="1542" spans="1:6" ht="20.25">
      <c r="A1542" s="343"/>
      <c r="B1542" s="344"/>
      <c r="C1542" s="344"/>
      <c r="D1542" s="344"/>
      <c r="E1542" s="345"/>
      <c r="F1542" s="346"/>
    </row>
    <row r="1543" spans="1:6" ht="20.25">
      <c r="A1543" s="343"/>
      <c r="B1543" s="344"/>
      <c r="C1543" s="344"/>
      <c r="D1543" s="344"/>
      <c r="E1543" s="345"/>
      <c r="F1543" s="346"/>
    </row>
    <row r="1544" spans="1:6" ht="20.25">
      <c r="A1544" s="343"/>
      <c r="B1544" s="344"/>
      <c r="C1544" s="344"/>
      <c r="D1544" s="344"/>
      <c r="E1544" s="345"/>
      <c r="F1544" s="346"/>
    </row>
    <row r="1545" spans="1:6" ht="20.25">
      <c r="A1545" s="343"/>
      <c r="B1545" s="344"/>
      <c r="C1545" s="344"/>
      <c r="D1545" s="344"/>
      <c r="E1545" s="345"/>
      <c r="F1545" s="346"/>
    </row>
    <row r="1546" spans="1:6" ht="20.25">
      <c r="A1546" s="343"/>
      <c r="B1546" s="344"/>
      <c r="C1546" s="344"/>
      <c r="D1546" s="344"/>
      <c r="E1546" s="345"/>
      <c r="F1546" s="346"/>
    </row>
    <row r="1547" spans="1:6" ht="20.25">
      <c r="A1547" s="343"/>
      <c r="B1547" s="344"/>
      <c r="C1547" s="344"/>
      <c r="D1547" s="344"/>
      <c r="E1547" s="345"/>
      <c r="F1547" s="346"/>
    </row>
    <row r="1548" spans="1:6" ht="20.25">
      <c r="A1548" s="343"/>
      <c r="B1548" s="344"/>
      <c r="C1548" s="344"/>
      <c r="D1548" s="344"/>
      <c r="E1548" s="345"/>
      <c r="F1548" s="346"/>
    </row>
    <row r="1549" spans="1:6" ht="20.25">
      <c r="A1549" s="343"/>
      <c r="B1549" s="344"/>
      <c r="C1549" s="344"/>
      <c r="D1549" s="344"/>
      <c r="E1549" s="345"/>
      <c r="F1549" s="346"/>
    </row>
    <row r="1550" spans="1:6" ht="20.25">
      <c r="A1550" s="343"/>
      <c r="B1550" s="344"/>
      <c r="C1550" s="344"/>
      <c r="D1550" s="344"/>
      <c r="E1550" s="345"/>
      <c r="F1550" s="346"/>
    </row>
    <row r="1551" spans="1:6" ht="20.25">
      <c r="A1551" s="343"/>
      <c r="B1551" s="344"/>
      <c r="C1551" s="344"/>
      <c r="D1551" s="344"/>
      <c r="E1551" s="345"/>
      <c r="F1551" s="346"/>
    </row>
    <row r="1552" spans="1:6" ht="20.25">
      <c r="A1552" s="343"/>
      <c r="B1552" s="344"/>
      <c r="C1552" s="344"/>
      <c r="D1552" s="344"/>
      <c r="E1552" s="345"/>
      <c r="F1552" s="346"/>
    </row>
    <row r="1553" spans="1:6" ht="20.25">
      <c r="A1553" s="343"/>
      <c r="B1553" s="344"/>
      <c r="C1553" s="344"/>
      <c r="D1553" s="344"/>
      <c r="E1553" s="345"/>
      <c r="F1553" s="346"/>
    </row>
    <row r="1554" spans="1:6" ht="20.25">
      <c r="A1554" s="343"/>
      <c r="B1554" s="344"/>
      <c r="C1554" s="344"/>
      <c r="D1554" s="344"/>
      <c r="E1554" s="345"/>
      <c r="F1554" s="346"/>
    </row>
    <row r="1555" spans="1:6" ht="20.25">
      <c r="A1555" s="343"/>
      <c r="B1555" s="344"/>
      <c r="C1555" s="344"/>
      <c r="D1555" s="344"/>
      <c r="E1555" s="345"/>
      <c r="F1555" s="346"/>
    </row>
    <row r="1556" spans="1:6" ht="20.25">
      <c r="A1556" s="343"/>
      <c r="B1556" s="344"/>
      <c r="C1556" s="344"/>
      <c r="D1556" s="344"/>
      <c r="E1556" s="345"/>
      <c r="F1556" s="346"/>
    </row>
    <row r="1557" spans="1:6" ht="20.25">
      <c r="A1557" s="343"/>
      <c r="B1557" s="344"/>
      <c r="C1557" s="344"/>
      <c r="D1557" s="344"/>
      <c r="E1557" s="345"/>
      <c r="F1557" s="346"/>
    </row>
    <row r="1558" spans="1:6" ht="20.25">
      <c r="A1558" s="343"/>
      <c r="B1558" s="344"/>
      <c r="C1558" s="344"/>
      <c r="D1558" s="344"/>
      <c r="E1558" s="345"/>
      <c r="F1558" s="346"/>
    </row>
    <row r="1559" spans="1:6" ht="20.25">
      <c r="A1559" s="343"/>
      <c r="B1559" s="344"/>
      <c r="C1559" s="344"/>
      <c r="D1559" s="344"/>
      <c r="E1559" s="345"/>
      <c r="F1559" s="346"/>
    </row>
    <row r="1560" spans="1:6" ht="20.25">
      <c r="A1560" s="343"/>
      <c r="B1560" s="344"/>
      <c r="C1560" s="344"/>
      <c r="D1560" s="344"/>
      <c r="E1560" s="345"/>
      <c r="F1560" s="346"/>
    </row>
    <row r="1561" spans="1:6" ht="20.25">
      <c r="A1561" s="343"/>
      <c r="B1561" s="344"/>
      <c r="C1561" s="344"/>
      <c r="D1561" s="344"/>
      <c r="E1561" s="345"/>
      <c r="F1561" s="346"/>
    </row>
    <row r="1562" spans="1:6" ht="20.25">
      <c r="A1562" s="343"/>
      <c r="B1562" s="344"/>
      <c r="C1562" s="344"/>
      <c r="D1562" s="344"/>
      <c r="E1562" s="345"/>
      <c r="F1562" s="346"/>
    </row>
    <row r="1563" spans="1:6" ht="20.25">
      <c r="A1563" s="343"/>
      <c r="B1563" s="344"/>
      <c r="C1563" s="344"/>
      <c r="D1563" s="344"/>
      <c r="E1563" s="345"/>
      <c r="F1563" s="346"/>
    </row>
    <row r="1564" spans="1:6" ht="20.25">
      <c r="A1564" s="343"/>
      <c r="B1564" s="344"/>
      <c r="C1564" s="344"/>
      <c r="D1564" s="344"/>
      <c r="E1564" s="345"/>
      <c r="F1564" s="346"/>
    </row>
    <row r="1565" spans="1:6" ht="20.25">
      <c r="A1565" s="343"/>
      <c r="B1565" s="344"/>
      <c r="C1565" s="344"/>
      <c r="D1565" s="344"/>
      <c r="E1565" s="345"/>
      <c r="F1565" s="346"/>
    </row>
    <row r="1566" spans="1:6" ht="20.25">
      <c r="A1566" s="343"/>
      <c r="B1566" s="344"/>
      <c r="C1566" s="344"/>
      <c r="D1566" s="344"/>
      <c r="E1566" s="345"/>
      <c r="F1566" s="346"/>
    </row>
    <row r="1567" spans="1:6" ht="20.25">
      <c r="A1567" s="343"/>
      <c r="B1567" s="344"/>
      <c r="C1567" s="344"/>
      <c r="D1567" s="344"/>
      <c r="E1567" s="345"/>
      <c r="F1567" s="346"/>
    </row>
    <row r="1568" spans="1:6" ht="20.25">
      <c r="A1568" s="343"/>
      <c r="B1568" s="344"/>
      <c r="C1568" s="344"/>
      <c r="D1568" s="344"/>
      <c r="E1568" s="345"/>
      <c r="F1568" s="346"/>
    </row>
    <row r="1569" spans="1:6" ht="20.25">
      <c r="A1569" s="343"/>
      <c r="B1569" s="344"/>
      <c r="C1569" s="344"/>
      <c r="D1569" s="344"/>
      <c r="E1569" s="345"/>
      <c r="F1569" s="346"/>
    </row>
    <row r="1570" spans="1:6" ht="20.25">
      <c r="A1570" s="343"/>
      <c r="B1570" s="344"/>
      <c r="C1570" s="344"/>
      <c r="D1570" s="344"/>
      <c r="E1570" s="345"/>
      <c r="F1570" s="346"/>
    </row>
    <row r="1571" spans="1:6" ht="20.25">
      <c r="A1571" s="343"/>
      <c r="B1571" s="344"/>
      <c r="C1571" s="344"/>
      <c r="D1571" s="344"/>
      <c r="E1571" s="345"/>
      <c r="F1571" s="346"/>
    </row>
    <row r="1572" spans="1:6" ht="20.25">
      <c r="A1572" s="343"/>
      <c r="B1572" s="344"/>
      <c r="C1572" s="344"/>
      <c r="D1572" s="344"/>
      <c r="E1572" s="345"/>
      <c r="F1572" s="346"/>
    </row>
    <row r="1573" spans="1:6" ht="20.25">
      <c r="A1573" s="343"/>
      <c r="B1573" s="344"/>
      <c r="C1573" s="344"/>
      <c r="D1573" s="344"/>
      <c r="E1573" s="345"/>
      <c r="F1573" s="346"/>
    </row>
    <row r="1574" spans="1:6" ht="20.25">
      <c r="A1574" s="343"/>
      <c r="B1574" s="344"/>
      <c r="C1574" s="344"/>
      <c r="D1574" s="344"/>
      <c r="E1574" s="345"/>
      <c r="F1574" s="346"/>
    </row>
    <row r="1575" spans="1:6" ht="20.25">
      <c r="A1575" s="343"/>
      <c r="B1575" s="344"/>
      <c r="C1575" s="344"/>
      <c r="D1575" s="344"/>
      <c r="E1575" s="345"/>
      <c r="F1575" s="346"/>
    </row>
    <row r="1576" spans="1:6" ht="20.25">
      <c r="A1576" s="343"/>
      <c r="B1576" s="344"/>
      <c r="C1576" s="344"/>
      <c r="D1576" s="344"/>
      <c r="E1576" s="345"/>
      <c r="F1576" s="346"/>
    </row>
    <row r="1577" spans="1:6" ht="20.25">
      <c r="A1577" s="343"/>
      <c r="B1577" s="344"/>
      <c r="C1577" s="344"/>
      <c r="D1577" s="344"/>
      <c r="E1577" s="345"/>
      <c r="F1577" s="346"/>
    </row>
    <row r="1578" spans="1:6" ht="20.25">
      <c r="A1578" s="343"/>
      <c r="B1578" s="344"/>
      <c r="C1578" s="344"/>
      <c r="D1578" s="344"/>
      <c r="E1578" s="345"/>
      <c r="F1578" s="346"/>
    </row>
    <row r="1579" spans="1:6" ht="20.25">
      <c r="A1579" s="343"/>
      <c r="B1579" s="344"/>
      <c r="C1579" s="344"/>
      <c r="D1579" s="344"/>
      <c r="E1579" s="345"/>
      <c r="F1579" s="346"/>
    </row>
    <row r="1580" spans="1:6" ht="20.25">
      <c r="A1580" s="343"/>
      <c r="B1580" s="344"/>
      <c r="C1580" s="344"/>
      <c r="D1580" s="344"/>
      <c r="E1580" s="345"/>
      <c r="F1580" s="346"/>
    </row>
    <row r="1581" spans="1:6" ht="20.25">
      <c r="A1581" s="343"/>
      <c r="B1581" s="344"/>
      <c r="C1581" s="344"/>
      <c r="D1581" s="344"/>
      <c r="E1581" s="345"/>
      <c r="F1581" s="346"/>
    </row>
    <row r="1582" spans="1:6" ht="20.25">
      <c r="A1582" s="343"/>
      <c r="B1582" s="344"/>
      <c r="C1582" s="344"/>
      <c r="D1582" s="344"/>
      <c r="E1582" s="345"/>
      <c r="F1582" s="346"/>
    </row>
    <row r="1583" spans="1:6" ht="20.25">
      <c r="A1583" s="343"/>
      <c r="B1583" s="344"/>
      <c r="C1583" s="344"/>
      <c r="D1583" s="344"/>
      <c r="E1583" s="345"/>
      <c r="F1583" s="346"/>
    </row>
    <row r="1584" spans="1:6" ht="20.25">
      <c r="A1584" s="343"/>
      <c r="B1584" s="344"/>
      <c r="C1584" s="344"/>
      <c r="D1584" s="344"/>
      <c r="E1584" s="345"/>
      <c r="F1584" s="346"/>
    </row>
    <row r="1585" spans="1:6" ht="20.25">
      <c r="A1585" s="343"/>
      <c r="B1585" s="344"/>
      <c r="C1585" s="344"/>
      <c r="D1585" s="344"/>
      <c r="E1585" s="345"/>
      <c r="F1585" s="346"/>
    </row>
    <row r="1586" spans="1:6" ht="20.25">
      <c r="A1586" s="343"/>
      <c r="B1586" s="344"/>
      <c r="C1586" s="344"/>
      <c r="D1586" s="344"/>
      <c r="E1586" s="345"/>
      <c r="F1586" s="346"/>
    </row>
    <row r="1587" spans="1:6" ht="20.25">
      <c r="A1587" s="343"/>
      <c r="B1587" s="344"/>
      <c r="C1587" s="344"/>
      <c r="D1587" s="344"/>
      <c r="E1587" s="345"/>
      <c r="F1587" s="346"/>
    </row>
    <row r="1588" spans="1:6" ht="20.25">
      <c r="A1588" s="343"/>
      <c r="B1588" s="344"/>
      <c r="C1588" s="344"/>
      <c r="D1588" s="344"/>
      <c r="E1588" s="345"/>
      <c r="F1588" s="346"/>
    </row>
    <row r="1589" spans="1:6" ht="20.25">
      <c r="A1589" s="343"/>
      <c r="B1589" s="344"/>
      <c r="C1589" s="344"/>
      <c r="D1589" s="344"/>
      <c r="E1589" s="345"/>
      <c r="F1589" s="346"/>
    </row>
    <row r="1590" spans="1:6" ht="20.25">
      <c r="A1590" s="343"/>
      <c r="B1590" s="344"/>
      <c r="C1590" s="344"/>
      <c r="D1590" s="344"/>
      <c r="E1590" s="345"/>
      <c r="F1590" s="346"/>
    </row>
    <row r="1591" spans="1:6" ht="20.25">
      <c r="A1591" s="343"/>
      <c r="B1591" s="344"/>
      <c r="C1591" s="344"/>
      <c r="D1591" s="344"/>
      <c r="E1591" s="345"/>
      <c r="F1591" s="346"/>
    </row>
    <row r="1592" spans="1:6" ht="20.25">
      <c r="A1592" s="343"/>
      <c r="B1592" s="344"/>
      <c r="C1592" s="344"/>
      <c r="D1592" s="344"/>
      <c r="E1592" s="345"/>
      <c r="F1592" s="346"/>
    </row>
    <row r="1593" spans="1:6" ht="20.25">
      <c r="A1593" s="343"/>
      <c r="B1593" s="344"/>
      <c r="C1593" s="344"/>
      <c r="D1593" s="344"/>
      <c r="E1593" s="345"/>
      <c r="F1593" s="346"/>
    </row>
    <row r="1594" spans="1:6" ht="20.25">
      <c r="A1594" s="343"/>
      <c r="B1594" s="344"/>
      <c r="C1594" s="344"/>
      <c r="D1594" s="344"/>
      <c r="E1594" s="345"/>
      <c r="F1594" s="346"/>
    </row>
    <row r="1595" spans="1:6" ht="20.25">
      <c r="A1595" s="343"/>
      <c r="B1595" s="344"/>
      <c r="C1595" s="344"/>
      <c r="D1595" s="344"/>
      <c r="E1595" s="345"/>
      <c r="F1595" s="346"/>
    </row>
    <row r="1596" spans="1:6" ht="20.25">
      <c r="A1596" s="343"/>
      <c r="B1596" s="344"/>
      <c r="C1596" s="344"/>
      <c r="D1596" s="344"/>
      <c r="E1596" s="345"/>
      <c r="F1596" s="346"/>
    </row>
    <row r="1597" spans="1:6" ht="20.25">
      <c r="A1597" s="343"/>
      <c r="B1597" s="344"/>
      <c r="C1597" s="344"/>
      <c r="D1597" s="344"/>
      <c r="E1597" s="345"/>
      <c r="F1597" s="346"/>
    </row>
    <row r="1598" spans="1:6" ht="20.25">
      <c r="A1598" s="343"/>
      <c r="B1598" s="344"/>
      <c r="C1598" s="344"/>
      <c r="D1598" s="344"/>
      <c r="E1598" s="345"/>
      <c r="F1598" s="346"/>
    </row>
    <row r="1599" spans="1:6" ht="20.25">
      <c r="A1599" s="343"/>
      <c r="B1599" s="344"/>
      <c r="C1599" s="344"/>
      <c r="D1599" s="344"/>
      <c r="E1599" s="345"/>
      <c r="F1599" s="346"/>
    </row>
    <row r="1600" spans="1:6" ht="20.25">
      <c r="A1600" s="343"/>
      <c r="B1600" s="344"/>
      <c r="C1600" s="344"/>
      <c r="D1600" s="344"/>
      <c r="E1600" s="345"/>
      <c r="F1600" s="346"/>
    </row>
    <row r="1601" spans="1:6" ht="20.25">
      <c r="A1601" s="343"/>
      <c r="B1601" s="344"/>
      <c r="C1601" s="344"/>
      <c r="D1601" s="344"/>
      <c r="E1601" s="345"/>
      <c r="F1601" s="346"/>
    </row>
    <row r="1602" spans="1:6" ht="20.25">
      <c r="A1602" s="343"/>
      <c r="B1602" s="344"/>
      <c r="C1602" s="344"/>
      <c r="D1602" s="344"/>
      <c r="E1602" s="345"/>
      <c r="F1602" s="346"/>
    </row>
    <row r="1603" spans="1:6" ht="20.25">
      <c r="A1603" s="343"/>
      <c r="B1603" s="344"/>
      <c r="C1603" s="344"/>
      <c r="D1603" s="344"/>
      <c r="E1603" s="345"/>
      <c r="F1603" s="346"/>
    </row>
    <row r="1604" spans="1:6" ht="20.25">
      <c r="A1604" s="343"/>
      <c r="B1604" s="344"/>
      <c r="C1604" s="344"/>
      <c r="D1604" s="344"/>
      <c r="E1604" s="345"/>
      <c r="F1604" s="346"/>
    </row>
    <row r="1605" spans="1:6" ht="20.25">
      <c r="A1605" s="343"/>
      <c r="B1605" s="344"/>
      <c r="C1605" s="344"/>
      <c r="D1605" s="344"/>
      <c r="E1605" s="345"/>
      <c r="F1605" s="346"/>
    </row>
    <row r="1606" spans="1:6" ht="20.25">
      <c r="A1606" s="343"/>
      <c r="B1606" s="344"/>
      <c r="C1606" s="344"/>
      <c r="D1606" s="344"/>
      <c r="E1606" s="345"/>
      <c r="F1606" s="346"/>
    </row>
    <row r="1607" spans="1:6" ht="20.25">
      <c r="A1607" s="343"/>
      <c r="B1607" s="344"/>
      <c r="C1607" s="344"/>
      <c r="D1607" s="344"/>
      <c r="E1607" s="345"/>
      <c r="F1607" s="346"/>
    </row>
    <row r="1608" spans="1:6" ht="20.25">
      <c r="A1608" s="343"/>
      <c r="B1608" s="344"/>
      <c r="C1608" s="344"/>
      <c r="D1608" s="344"/>
      <c r="E1608" s="345"/>
      <c r="F1608" s="346"/>
    </row>
    <row r="1609" spans="1:6" ht="20.25">
      <c r="A1609" s="343"/>
      <c r="B1609" s="344"/>
      <c r="C1609" s="344"/>
      <c r="D1609" s="344"/>
      <c r="E1609" s="345"/>
      <c r="F1609" s="346"/>
    </row>
    <row r="1610" spans="1:6" ht="20.25">
      <c r="A1610" s="343"/>
      <c r="B1610" s="344"/>
      <c r="C1610" s="344"/>
      <c r="D1610" s="344"/>
      <c r="E1610" s="345"/>
      <c r="F1610" s="346"/>
    </row>
    <row r="1611" spans="1:6" ht="20.25">
      <c r="A1611" s="343"/>
      <c r="B1611" s="344"/>
      <c r="C1611" s="344"/>
      <c r="D1611" s="344"/>
      <c r="E1611" s="345"/>
      <c r="F1611" s="346"/>
    </row>
    <row r="1612" spans="1:6" ht="20.25">
      <c r="A1612" s="343"/>
      <c r="B1612" s="344"/>
      <c r="C1612" s="344"/>
      <c r="D1612" s="344"/>
      <c r="E1612" s="345"/>
      <c r="F1612" s="346"/>
    </row>
    <row r="1613" spans="1:6" ht="20.25">
      <c r="A1613" s="343"/>
      <c r="B1613" s="344"/>
      <c r="C1613" s="344"/>
      <c r="D1613" s="344"/>
      <c r="E1613" s="345"/>
      <c r="F1613" s="346"/>
    </row>
    <row r="1614" spans="1:6" ht="20.25">
      <c r="A1614" s="343"/>
      <c r="B1614" s="344"/>
      <c r="C1614" s="344"/>
      <c r="D1614" s="344"/>
      <c r="E1614" s="345"/>
      <c r="F1614" s="346"/>
    </row>
    <row r="1615" spans="1:6" ht="20.25">
      <c r="A1615" s="343"/>
      <c r="B1615" s="344"/>
      <c r="C1615" s="344"/>
      <c r="D1615" s="344"/>
      <c r="E1615" s="345"/>
      <c r="F1615" s="346"/>
    </row>
    <row r="1616" spans="1:6" ht="20.25">
      <c r="A1616" s="343"/>
      <c r="B1616" s="344"/>
      <c r="C1616" s="344"/>
      <c r="D1616" s="344"/>
      <c r="E1616" s="345"/>
      <c r="F1616" s="346"/>
    </row>
    <row r="1617" spans="1:6" ht="20.25">
      <c r="A1617" s="343"/>
      <c r="B1617" s="344"/>
      <c r="C1617" s="344"/>
      <c r="D1617" s="344"/>
      <c r="E1617" s="345"/>
      <c r="F1617" s="346"/>
    </row>
    <row r="1618" spans="1:6" ht="20.25">
      <c r="A1618" s="343"/>
      <c r="B1618" s="344"/>
      <c r="C1618" s="344"/>
      <c r="D1618" s="344"/>
      <c r="E1618" s="345"/>
      <c r="F1618" s="346"/>
    </row>
    <row r="1619" spans="1:6" ht="20.25">
      <c r="A1619" s="343"/>
      <c r="B1619" s="344"/>
      <c r="C1619" s="344"/>
      <c r="D1619" s="344"/>
      <c r="E1619" s="345"/>
      <c r="F1619" s="346"/>
    </row>
    <row r="1620" spans="1:6" ht="20.25">
      <c r="A1620" s="343"/>
      <c r="B1620" s="344"/>
      <c r="C1620" s="344"/>
      <c r="D1620" s="344"/>
      <c r="E1620" s="345"/>
      <c r="F1620" s="346"/>
    </row>
    <row r="1621" spans="1:6" ht="20.25">
      <c r="A1621" s="343"/>
      <c r="B1621" s="344"/>
      <c r="C1621" s="344"/>
      <c r="D1621" s="344"/>
      <c r="E1621" s="345"/>
      <c r="F1621" s="346"/>
    </row>
    <row r="1622" spans="1:6" ht="20.25">
      <c r="A1622" s="343"/>
      <c r="B1622" s="344"/>
      <c r="C1622" s="344"/>
      <c r="D1622" s="344"/>
      <c r="E1622" s="345"/>
      <c r="F1622" s="346"/>
    </row>
    <row r="1623" spans="1:6" ht="20.25">
      <c r="A1623" s="343"/>
      <c r="B1623" s="344"/>
      <c r="C1623" s="344"/>
      <c r="D1623" s="344"/>
      <c r="E1623" s="345"/>
      <c r="F1623" s="346"/>
    </row>
    <row r="1624" spans="1:6" ht="20.25">
      <c r="A1624" s="343"/>
      <c r="B1624" s="344"/>
      <c r="C1624" s="344"/>
      <c r="D1624" s="344"/>
      <c r="E1624" s="345"/>
      <c r="F1624" s="346"/>
    </row>
    <row r="1625" spans="1:6" ht="20.25">
      <c r="A1625" s="343"/>
      <c r="B1625" s="344"/>
      <c r="C1625" s="344"/>
      <c r="D1625" s="344"/>
      <c r="E1625" s="345"/>
      <c r="F1625" s="346"/>
    </row>
    <row r="1626" spans="1:6" ht="20.25">
      <c r="A1626" s="343"/>
      <c r="B1626" s="344"/>
      <c r="C1626" s="344"/>
      <c r="D1626" s="344"/>
      <c r="E1626" s="345"/>
      <c r="F1626" s="346"/>
    </row>
    <row r="1627" spans="1:6" ht="20.25">
      <c r="A1627" s="343"/>
      <c r="B1627" s="344"/>
      <c r="C1627" s="344"/>
      <c r="D1627" s="344"/>
      <c r="E1627" s="345"/>
      <c r="F1627" s="346"/>
    </row>
    <row r="1628" spans="1:6" ht="20.25">
      <c r="A1628" s="343"/>
      <c r="B1628" s="344"/>
      <c r="C1628" s="344"/>
      <c r="D1628" s="344"/>
      <c r="E1628" s="345"/>
      <c r="F1628" s="346"/>
    </row>
    <row r="1629" spans="1:6" ht="20.25">
      <c r="A1629" s="343"/>
      <c r="B1629" s="344"/>
      <c r="C1629" s="344"/>
      <c r="D1629" s="344"/>
      <c r="E1629" s="345"/>
      <c r="F1629" s="346"/>
    </row>
    <row r="1630" spans="1:6" ht="20.25">
      <c r="A1630" s="343"/>
      <c r="B1630" s="344"/>
      <c r="C1630" s="344"/>
      <c r="D1630" s="344"/>
      <c r="E1630" s="345"/>
      <c r="F1630" s="346"/>
    </row>
    <row r="1631" spans="1:6" ht="20.25">
      <c r="A1631" s="343"/>
      <c r="B1631" s="344"/>
      <c r="C1631" s="344"/>
      <c r="D1631" s="344"/>
      <c r="E1631" s="345"/>
      <c r="F1631" s="346"/>
    </row>
    <row r="1632" spans="1:6" ht="20.25">
      <c r="A1632" s="343"/>
      <c r="B1632" s="344"/>
      <c r="C1632" s="344"/>
      <c r="D1632" s="344"/>
      <c r="E1632" s="345"/>
      <c r="F1632" s="346"/>
    </row>
    <row r="1633" spans="1:6" ht="20.25">
      <c r="A1633" s="343"/>
      <c r="B1633" s="344"/>
      <c r="C1633" s="344"/>
      <c r="D1633" s="344"/>
      <c r="E1633" s="345"/>
      <c r="F1633" s="346"/>
    </row>
    <row r="1634" spans="1:6" ht="20.25">
      <c r="A1634" s="343"/>
      <c r="B1634" s="344"/>
      <c r="C1634" s="344"/>
      <c r="D1634" s="344"/>
      <c r="E1634" s="345"/>
      <c r="F1634" s="346"/>
    </row>
    <row r="1635" spans="1:6" ht="20.25">
      <c r="A1635" s="343"/>
      <c r="B1635" s="344"/>
      <c r="C1635" s="344"/>
      <c r="D1635" s="344"/>
      <c r="E1635" s="345"/>
      <c r="F1635" s="346"/>
    </row>
    <row r="1636" spans="1:6" ht="20.25">
      <c r="A1636" s="343"/>
      <c r="B1636" s="344"/>
      <c r="C1636" s="344"/>
      <c r="D1636" s="344"/>
      <c r="E1636" s="345"/>
      <c r="F1636" s="346"/>
    </row>
    <row r="1637" spans="1:6" ht="20.25">
      <c r="A1637" s="343"/>
      <c r="B1637" s="344"/>
      <c r="C1637" s="344"/>
      <c r="D1637" s="344"/>
      <c r="E1637" s="345"/>
      <c r="F1637" s="346"/>
    </row>
    <row r="1638" spans="1:6" ht="20.25">
      <c r="A1638" s="343"/>
      <c r="B1638" s="344"/>
      <c r="C1638" s="344"/>
      <c r="D1638" s="344"/>
      <c r="E1638" s="345"/>
      <c r="F1638" s="346"/>
    </row>
    <row r="1639" spans="1:6" ht="20.25">
      <c r="A1639" s="343"/>
      <c r="B1639" s="344"/>
      <c r="C1639" s="344"/>
      <c r="D1639" s="344"/>
      <c r="E1639" s="345"/>
      <c r="F1639" s="346"/>
    </row>
    <row r="1640" spans="1:6" ht="20.25">
      <c r="A1640" s="343"/>
      <c r="B1640" s="344"/>
      <c r="C1640" s="344"/>
      <c r="D1640" s="344"/>
      <c r="E1640" s="345"/>
      <c r="F1640" s="346"/>
    </row>
    <row r="1641" spans="1:6" ht="20.25">
      <c r="A1641" s="343"/>
      <c r="B1641" s="344"/>
      <c r="C1641" s="344"/>
      <c r="D1641" s="344"/>
      <c r="E1641" s="345"/>
      <c r="F1641" s="346"/>
    </row>
    <row r="1642" spans="1:6" ht="20.25">
      <c r="A1642" s="343"/>
      <c r="B1642" s="344"/>
      <c r="C1642" s="344"/>
      <c r="D1642" s="344"/>
      <c r="E1642" s="345"/>
      <c r="F1642" s="346"/>
    </row>
    <row r="1643" spans="1:6" ht="20.25">
      <c r="A1643" s="343"/>
      <c r="B1643" s="344"/>
      <c r="C1643" s="344"/>
      <c r="D1643" s="344"/>
      <c r="E1643" s="345"/>
      <c r="F1643" s="346"/>
    </row>
    <row r="1644" spans="1:6" ht="20.25">
      <c r="A1644" s="343"/>
      <c r="B1644" s="344"/>
      <c r="C1644" s="344"/>
      <c r="D1644" s="344"/>
      <c r="E1644" s="345"/>
      <c r="F1644" s="346"/>
    </row>
    <row r="1645" spans="1:6" ht="20.25">
      <c r="A1645" s="343"/>
      <c r="B1645" s="344"/>
      <c r="C1645" s="344"/>
      <c r="D1645" s="344"/>
      <c r="E1645" s="345"/>
      <c r="F1645" s="346"/>
    </row>
    <row r="1646" spans="1:6" ht="20.25">
      <c r="A1646" s="343"/>
      <c r="B1646" s="344"/>
      <c r="C1646" s="344"/>
      <c r="D1646" s="344"/>
      <c r="E1646" s="345"/>
      <c r="F1646" s="346"/>
    </row>
    <row r="1647" spans="1:6" ht="20.25">
      <c r="A1647" s="343"/>
      <c r="B1647" s="344"/>
      <c r="C1647" s="344"/>
      <c r="D1647" s="344"/>
      <c r="E1647" s="345"/>
      <c r="F1647" s="346"/>
    </row>
    <row r="1648" spans="1:6" ht="20.25">
      <c r="A1648" s="343"/>
      <c r="B1648" s="344"/>
      <c r="C1648" s="344"/>
      <c r="D1648" s="344"/>
      <c r="E1648" s="345"/>
      <c r="F1648" s="346"/>
    </row>
    <row r="1649" spans="1:6" ht="20.25">
      <c r="A1649" s="343"/>
      <c r="B1649" s="344"/>
      <c r="C1649" s="344"/>
      <c r="D1649" s="344"/>
      <c r="E1649" s="345"/>
      <c r="F1649" s="346"/>
    </row>
    <row r="1650" spans="1:6" ht="20.25">
      <c r="A1650" s="343"/>
      <c r="B1650" s="344"/>
      <c r="C1650" s="344"/>
      <c r="D1650" s="344"/>
      <c r="E1650" s="345"/>
      <c r="F1650" s="346"/>
    </row>
    <row r="1651" spans="1:6" ht="20.25">
      <c r="A1651" s="343"/>
      <c r="B1651" s="344"/>
      <c r="C1651" s="344"/>
      <c r="D1651" s="344"/>
      <c r="E1651" s="345"/>
      <c r="F1651" s="346"/>
    </row>
    <row r="1652" spans="1:6" ht="20.25">
      <c r="A1652" s="343"/>
      <c r="B1652" s="344"/>
      <c r="C1652" s="344"/>
      <c r="D1652" s="344"/>
      <c r="E1652" s="345"/>
      <c r="F1652" s="346"/>
    </row>
    <row r="1653" spans="1:6" ht="20.25">
      <c r="A1653" s="343"/>
      <c r="B1653" s="344"/>
      <c r="C1653" s="344"/>
      <c r="D1653" s="344"/>
      <c r="E1653" s="345"/>
      <c r="F1653" s="346"/>
    </row>
    <row r="1654" spans="1:6" ht="20.25">
      <c r="A1654" s="343"/>
      <c r="B1654" s="344"/>
      <c r="C1654" s="344"/>
      <c r="D1654" s="344"/>
      <c r="E1654" s="345"/>
      <c r="F1654" s="346"/>
    </row>
    <row r="1655" spans="1:6" ht="20.25">
      <c r="A1655" s="343"/>
      <c r="B1655" s="344"/>
      <c r="C1655" s="344"/>
      <c r="D1655" s="344"/>
      <c r="E1655" s="345"/>
      <c r="F1655" s="346"/>
    </row>
    <row r="1656" spans="1:6" ht="20.25">
      <c r="A1656" s="343"/>
      <c r="B1656" s="344"/>
      <c r="C1656" s="344"/>
      <c r="D1656" s="344"/>
      <c r="E1656" s="345"/>
      <c r="F1656" s="346"/>
    </row>
    <row r="1657" spans="1:6" ht="20.25">
      <c r="A1657" s="343"/>
      <c r="B1657" s="344"/>
      <c r="C1657" s="344"/>
      <c r="D1657" s="344"/>
      <c r="E1657" s="345"/>
      <c r="F1657" s="346"/>
    </row>
    <row r="1658" spans="1:6" ht="20.25">
      <c r="A1658" s="343"/>
      <c r="B1658" s="344"/>
      <c r="C1658" s="344"/>
      <c r="D1658" s="344"/>
      <c r="E1658" s="345"/>
      <c r="F1658" s="346"/>
    </row>
    <row r="1659" spans="1:6" ht="20.25">
      <c r="A1659" s="343"/>
      <c r="B1659" s="344"/>
      <c r="C1659" s="344"/>
      <c r="D1659" s="344"/>
      <c r="E1659" s="345"/>
      <c r="F1659" s="346"/>
    </row>
    <row r="1660" spans="1:6" ht="20.25">
      <c r="A1660" s="343"/>
      <c r="B1660" s="344"/>
      <c r="C1660" s="344"/>
      <c r="D1660" s="344"/>
      <c r="E1660" s="345"/>
      <c r="F1660" s="346"/>
    </row>
    <row r="1661" spans="1:6" ht="20.25">
      <c r="A1661" s="343"/>
      <c r="B1661" s="344"/>
      <c r="C1661" s="344"/>
      <c r="D1661" s="344"/>
      <c r="E1661" s="345"/>
      <c r="F1661" s="346"/>
    </row>
    <row r="1662" spans="1:6" ht="20.25">
      <c r="A1662" s="343"/>
      <c r="B1662" s="344"/>
      <c r="C1662" s="344"/>
      <c r="D1662" s="344"/>
      <c r="E1662" s="345"/>
      <c r="F1662" s="346"/>
    </row>
    <row r="1663" spans="1:6" ht="20.25">
      <c r="A1663" s="343"/>
      <c r="B1663" s="344"/>
      <c r="C1663" s="344"/>
      <c r="D1663" s="344"/>
      <c r="E1663" s="345"/>
      <c r="F1663" s="346"/>
    </row>
    <row r="1664" spans="1:6" ht="20.25">
      <c r="A1664" s="343"/>
      <c r="B1664" s="344"/>
      <c r="C1664" s="344"/>
      <c r="D1664" s="344"/>
      <c r="E1664" s="345"/>
      <c r="F1664" s="346"/>
    </row>
    <row r="1665" spans="1:6" ht="20.25">
      <c r="A1665" s="343"/>
      <c r="B1665" s="344"/>
      <c r="C1665" s="344"/>
      <c r="D1665" s="344"/>
      <c r="E1665" s="345"/>
      <c r="F1665" s="346"/>
    </row>
    <row r="1666" spans="1:6" ht="20.25">
      <c r="A1666" s="343"/>
      <c r="B1666" s="344"/>
      <c r="C1666" s="344"/>
      <c r="D1666" s="344"/>
      <c r="E1666" s="345"/>
      <c r="F1666" s="346"/>
    </row>
    <row r="1667" spans="1:6" ht="20.25">
      <c r="A1667" s="343"/>
      <c r="B1667" s="344"/>
      <c r="C1667" s="344"/>
      <c r="D1667" s="344"/>
      <c r="E1667" s="345"/>
      <c r="F1667" s="346"/>
    </row>
    <row r="1668" spans="1:6" ht="20.25">
      <c r="A1668" s="343"/>
      <c r="B1668" s="344"/>
      <c r="C1668" s="344"/>
      <c r="D1668" s="344"/>
      <c r="E1668" s="345"/>
      <c r="F1668" s="346"/>
    </row>
    <row r="1669" spans="1:6" ht="20.25">
      <c r="A1669" s="343"/>
      <c r="B1669" s="344"/>
      <c r="C1669" s="344"/>
      <c r="D1669" s="344"/>
      <c r="E1669" s="345"/>
      <c r="F1669" s="346"/>
    </row>
    <row r="1670" spans="1:6" ht="20.25">
      <c r="A1670" s="343"/>
      <c r="B1670" s="344"/>
      <c r="C1670" s="344"/>
      <c r="D1670" s="344"/>
      <c r="E1670" s="345"/>
      <c r="F1670" s="346"/>
    </row>
    <row r="1671" spans="1:6" ht="20.25">
      <c r="A1671" s="343"/>
      <c r="B1671" s="344"/>
      <c r="C1671" s="344"/>
      <c r="D1671" s="344"/>
      <c r="E1671" s="345"/>
      <c r="F1671" s="346"/>
    </row>
    <row r="1672" spans="1:6" ht="20.25">
      <c r="A1672" s="343"/>
      <c r="B1672" s="344"/>
      <c r="C1672" s="344"/>
      <c r="D1672" s="344"/>
      <c r="E1672" s="345"/>
      <c r="F1672" s="346"/>
    </row>
    <row r="1673" spans="1:6" ht="20.25">
      <c r="A1673" s="343"/>
      <c r="B1673" s="344"/>
      <c r="C1673" s="344"/>
      <c r="D1673" s="344"/>
      <c r="E1673" s="345"/>
      <c r="F1673" s="346"/>
    </row>
    <row r="1674" spans="1:6" ht="20.25">
      <c r="A1674" s="343"/>
      <c r="B1674" s="344"/>
      <c r="C1674" s="344"/>
      <c r="D1674" s="344"/>
      <c r="E1674" s="345"/>
      <c r="F1674" s="346"/>
    </row>
    <row r="1675" spans="1:6" ht="20.25">
      <c r="A1675" s="343"/>
      <c r="B1675" s="344"/>
      <c r="C1675" s="344"/>
      <c r="D1675" s="344"/>
      <c r="E1675" s="345"/>
      <c r="F1675" s="346"/>
    </row>
    <row r="1676" spans="1:6" ht="20.25">
      <c r="A1676" s="343"/>
      <c r="B1676" s="344"/>
      <c r="C1676" s="344"/>
      <c r="D1676" s="344"/>
      <c r="E1676" s="345"/>
      <c r="F1676" s="346"/>
    </row>
    <row r="1677" spans="1:6" ht="20.25">
      <c r="A1677" s="343"/>
      <c r="B1677" s="344"/>
      <c r="C1677" s="344"/>
      <c r="D1677" s="344"/>
      <c r="E1677" s="345"/>
      <c r="F1677" s="346"/>
    </row>
    <row r="1678" spans="1:6" ht="20.25">
      <c r="A1678" s="343"/>
      <c r="B1678" s="344"/>
      <c r="C1678" s="344"/>
      <c r="D1678" s="344"/>
      <c r="E1678" s="345"/>
      <c r="F1678" s="346"/>
    </row>
    <row r="1679" spans="1:6" ht="20.25">
      <c r="A1679" s="343"/>
      <c r="B1679" s="344"/>
      <c r="C1679" s="344"/>
      <c r="D1679" s="344"/>
      <c r="E1679" s="345"/>
      <c r="F1679" s="346"/>
    </row>
    <row r="1680" spans="1:6" ht="20.25">
      <c r="A1680" s="343"/>
      <c r="B1680" s="344"/>
      <c r="C1680" s="344"/>
      <c r="D1680" s="344"/>
      <c r="E1680" s="345"/>
      <c r="F1680" s="346"/>
    </row>
    <row r="1681" spans="1:6" ht="20.25">
      <c r="A1681" s="343"/>
      <c r="B1681" s="344"/>
      <c r="C1681" s="344"/>
      <c r="D1681" s="344"/>
      <c r="E1681" s="345"/>
      <c r="F1681" s="346"/>
    </row>
    <row r="1682" spans="1:6" ht="20.25">
      <c r="A1682" s="343"/>
      <c r="B1682" s="344"/>
      <c r="C1682" s="344"/>
      <c r="D1682" s="344"/>
      <c r="E1682" s="345"/>
      <c r="F1682" s="346"/>
    </row>
    <row r="1683" spans="1:6" ht="20.25">
      <c r="A1683" s="343"/>
      <c r="B1683" s="344"/>
      <c r="C1683" s="344"/>
      <c r="D1683" s="344"/>
      <c r="E1683" s="345"/>
      <c r="F1683" s="346"/>
    </row>
    <row r="1684" spans="1:6" ht="20.25">
      <c r="A1684" s="343"/>
      <c r="B1684" s="344"/>
      <c r="C1684" s="344"/>
      <c r="D1684" s="344"/>
      <c r="E1684" s="345"/>
      <c r="F1684" s="346"/>
    </row>
    <row r="1685" spans="1:6" ht="20.25">
      <c r="A1685" s="343"/>
      <c r="B1685" s="344"/>
      <c r="C1685" s="344"/>
      <c r="D1685" s="344"/>
      <c r="E1685" s="345"/>
      <c r="F1685" s="346"/>
    </row>
    <row r="1686" spans="1:6" ht="20.25">
      <c r="A1686" s="343"/>
      <c r="B1686" s="344"/>
      <c r="C1686" s="344"/>
      <c r="D1686" s="344"/>
      <c r="E1686" s="345"/>
      <c r="F1686" s="346"/>
    </row>
    <row r="1687" spans="1:6" ht="20.25">
      <c r="A1687" s="343"/>
      <c r="B1687" s="344"/>
      <c r="C1687" s="344"/>
      <c r="D1687" s="344"/>
      <c r="E1687" s="345"/>
      <c r="F1687" s="346"/>
    </row>
    <row r="1688" spans="1:6" ht="20.25">
      <c r="A1688" s="343"/>
      <c r="B1688" s="344"/>
      <c r="C1688" s="344"/>
      <c r="D1688" s="344"/>
      <c r="E1688" s="345"/>
      <c r="F1688" s="346"/>
    </row>
    <row r="1689" spans="1:6" ht="20.25">
      <c r="A1689" s="343"/>
      <c r="B1689" s="344"/>
      <c r="C1689" s="344"/>
      <c r="D1689" s="344"/>
      <c r="E1689" s="345"/>
      <c r="F1689" s="346"/>
    </row>
    <row r="1690" spans="1:6" ht="20.25">
      <c r="A1690" s="343"/>
      <c r="B1690" s="344"/>
      <c r="C1690" s="344"/>
      <c r="D1690" s="344"/>
      <c r="E1690" s="345"/>
      <c r="F1690" s="346"/>
    </row>
    <row r="1691" spans="1:6" ht="20.25">
      <c r="A1691" s="343"/>
      <c r="B1691" s="344"/>
      <c r="C1691" s="344"/>
      <c r="D1691" s="344"/>
      <c r="E1691" s="345"/>
      <c r="F1691" s="346"/>
    </row>
    <row r="1692" spans="1:6" ht="20.25">
      <c r="A1692" s="343"/>
      <c r="B1692" s="344"/>
      <c r="C1692" s="344"/>
      <c r="D1692" s="344"/>
      <c r="E1692" s="345"/>
      <c r="F1692" s="346"/>
    </row>
    <row r="1693" spans="1:6" ht="20.25">
      <c r="A1693" s="343"/>
      <c r="B1693" s="344"/>
      <c r="C1693" s="344"/>
      <c r="D1693" s="344"/>
      <c r="E1693" s="345"/>
      <c r="F1693" s="346"/>
    </row>
    <row r="1694" spans="1:6" ht="20.25">
      <c r="A1694" s="343"/>
      <c r="B1694" s="344"/>
      <c r="C1694" s="344"/>
      <c r="D1694" s="344"/>
      <c r="E1694" s="345"/>
      <c r="F1694" s="346"/>
    </row>
    <row r="1695" spans="1:6" ht="20.25">
      <c r="A1695" s="343"/>
      <c r="B1695" s="344"/>
      <c r="C1695" s="344"/>
      <c r="D1695" s="344"/>
      <c r="E1695" s="345"/>
      <c r="F1695" s="346"/>
    </row>
    <row r="1696" spans="1:6" ht="20.25">
      <c r="A1696" s="343"/>
      <c r="B1696" s="344"/>
      <c r="C1696" s="344"/>
      <c r="D1696" s="344"/>
      <c r="E1696" s="345"/>
      <c r="F1696" s="346"/>
    </row>
    <row r="1697" spans="1:6" ht="20.25">
      <c r="A1697" s="343"/>
      <c r="B1697" s="344"/>
      <c r="C1697" s="344"/>
      <c r="D1697" s="344"/>
      <c r="E1697" s="345"/>
      <c r="F1697" s="346"/>
    </row>
    <row r="1698" spans="1:6" ht="20.25">
      <c r="A1698" s="343"/>
      <c r="B1698" s="344"/>
      <c r="C1698" s="344"/>
      <c r="D1698" s="344"/>
      <c r="E1698" s="345"/>
      <c r="F1698" s="346"/>
    </row>
    <row r="1699" spans="1:6" ht="20.25">
      <c r="A1699" s="343"/>
      <c r="B1699" s="344"/>
      <c r="C1699" s="344"/>
      <c r="D1699" s="344"/>
      <c r="E1699" s="345"/>
      <c r="F1699" s="346"/>
    </row>
    <row r="1700" spans="1:6" ht="20.25">
      <c r="A1700" s="343"/>
      <c r="B1700" s="344"/>
      <c r="C1700" s="344"/>
      <c r="D1700" s="344"/>
      <c r="E1700" s="345"/>
      <c r="F1700" s="346"/>
    </row>
    <row r="1701" spans="1:6" ht="20.25">
      <c r="A1701" s="343"/>
      <c r="B1701" s="344"/>
      <c r="C1701" s="344"/>
      <c r="D1701" s="344"/>
      <c r="E1701" s="345"/>
      <c r="F1701" s="346"/>
    </row>
    <row r="1702" spans="1:6" ht="20.25">
      <c r="A1702" s="343"/>
      <c r="B1702" s="344"/>
      <c r="C1702" s="344"/>
      <c r="D1702" s="344"/>
      <c r="E1702" s="345"/>
      <c r="F1702" s="346"/>
    </row>
    <row r="1703" spans="1:6" ht="20.25">
      <c r="A1703" s="343"/>
      <c r="B1703" s="344"/>
      <c r="C1703" s="344"/>
      <c r="D1703" s="344"/>
      <c r="E1703" s="345"/>
      <c r="F1703" s="346"/>
    </row>
    <row r="1704" spans="1:6" ht="20.25">
      <c r="A1704" s="343"/>
      <c r="B1704" s="344"/>
      <c r="C1704" s="344"/>
      <c r="D1704" s="344"/>
      <c r="E1704" s="345"/>
      <c r="F1704" s="346"/>
    </row>
    <row r="1705" spans="1:6" ht="20.25">
      <c r="A1705" s="343"/>
      <c r="B1705" s="344"/>
      <c r="C1705" s="344"/>
      <c r="D1705" s="344"/>
      <c r="E1705" s="345"/>
      <c r="F1705" s="346"/>
    </row>
    <row r="1706" spans="1:6" ht="20.25">
      <c r="A1706" s="343"/>
      <c r="B1706" s="344"/>
      <c r="C1706" s="344"/>
      <c r="D1706" s="344"/>
      <c r="E1706" s="345"/>
      <c r="F1706" s="346"/>
    </row>
    <row r="1707" spans="1:6" ht="20.25">
      <c r="A1707" s="343"/>
      <c r="B1707" s="344"/>
      <c r="C1707" s="344"/>
      <c r="D1707" s="344"/>
      <c r="E1707" s="345"/>
      <c r="F1707" s="346"/>
    </row>
    <row r="1708" spans="1:6" ht="20.25">
      <c r="A1708" s="343"/>
      <c r="B1708" s="344"/>
      <c r="C1708" s="344"/>
      <c r="D1708" s="344"/>
      <c r="E1708" s="345"/>
      <c r="F1708" s="346"/>
    </row>
    <row r="1709" spans="1:6" ht="20.25">
      <c r="A1709" s="343"/>
      <c r="B1709" s="344"/>
      <c r="C1709" s="344"/>
      <c r="D1709" s="344"/>
      <c r="E1709" s="345"/>
      <c r="F1709" s="346"/>
    </row>
    <row r="1710" spans="1:6" ht="20.25">
      <c r="A1710" s="343"/>
      <c r="B1710" s="344"/>
      <c r="C1710" s="344"/>
      <c r="D1710" s="344"/>
      <c r="E1710" s="345"/>
      <c r="F1710" s="346"/>
    </row>
    <row r="1711" spans="1:6" ht="20.25">
      <c r="A1711" s="343"/>
      <c r="B1711" s="344"/>
      <c r="C1711" s="344"/>
      <c r="D1711" s="344"/>
      <c r="E1711" s="345"/>
      <c r="F1711" s="346"/>
    </row>
    <row r="1712" spans="1:6" ht="20.25">
      <c r="A1712" s="343"/>
      <c r="B1712" s="344"/>
      <c r="C1712" s="344"/>
      <c r="D1712" s="344"/>
      <c r="E1712" s="345"/>
      <c r="F1712" s="346"/>
    </row>
    <row r="1713" spans="1:6" ht="20.25">
      <c r="A1713" s="343"/>
      <c r="B1713" s="344"/>
      <c r="C1713" s="344"/>
      <c r="D1713" s="344"/>
      <c r="E1713" s="345"/>
      <c r="F1713" s="346"/>
    </row>
    <row r="1714" spans="1:6" ht="20.25">
      <c r="A1714" s="343"/>
      <c r="B1714" s="344"/>
      <c r="C1714" s="344"/>
      <c r="D1714" s="344"/>
      <c r="E1714" s="345"/>
      <c r="F1714" s="346"/>
    </row>
    <row r="1715" spans="1:6" ht="20.25">
      <c r="A1715" s="343"/>
      <c r="B1715" s="344"/>
      <c r="C1715" s="344"/>
      <c r="D1715" s="344"/>
      <c r="E1715" s="345"/>
      <c r="F1715" s="346"/>
    </row>
    <row r="1716" spans="1:6" ht="20.25">
      <c r="A1716" s="343"/>
      <c r="B1716" s="344"/>
      <c r="C1716" s="344"/>
      <c r="D1716" s="344"/>
      <c r="E1716" s="345"/>
      <c r="F1716" s="346"/>
    </row>
    <row r="1717" spans="1:6" ht="20.25">
      <c r="A1717" s="343"/>
      <c r="B1717" s="344"/>
      <c r="C1717" s="344"/>
      <c r="D1717" s="344"/>
      <c r="E1717" s="345"/>
      <c r="F1717" s="346"/>
    </row>
    <row r="1718" spans="1:6" ht="20.25">
      <c r="A1718" s="343"/>
      <c r="B1718" s="344"/>
      <c r="C1718" s="344"/>
      <c r="D1718" s="344"/>
      <c r="E1718" s="345"/>
      <c r="F1718" s="346"/>
    </row>
    <row r="1719" spans="1:6" ht="20.25">
      <c r="A1719" s="343"/>
      <c r="B1719" s="344"/>
      <c r="C1719" s="344"/>
      <c r="D1719" s="344"/>
      <c r="E1719" s="345"/>
      <c r="F1719" s="346"/>
    </row>
    <row r="1720" spans="1:6" ht="20.25">
      <c r="A1720" s="343"/>
      <c r="B1720" s="344"/>
      <c r="C1720" s="344"/>
      <c r="D1720" s="344"/>
      <c r="E1720" s="345"/>
      <c r="F1720" s="346"/>
    </row>
    <row r="1721" spans="1:6" ht="20.25">
      <c r="A1721" s="343"/>
      <c r="B1721" s="344"/>
      <c r="C1721" s="344"/>
      <c r="D1721" s="344"/>
      <c r="E1721" s="345"/>
      <c r="F1721" s="346"/>
    </row>
    <row r="1722" spans="1:6" ht="20.25">
      <c r="A1722" s="343"/>
      <c r="B1722" s="344"/>
      <c r="C1722" s="344"/>
      <c r="D1722" s="344"/>
      <c r="E1722" s="345"/>
      <c r="F1722" s="346"/>
    </row>
    <row r="1723" spans="1:6" ht="20.25">
      <c r="A1723" s="343"/>
      <c r="B1723" s="344"/>
      <c r="C1723" s="344"/>
      <c r="D1723" s="344"/>
      <c r="E1723" s="345"/>
      <c r="F1723" s="346"/>
    </row>
    <row r="1724" spans="1:6" ht="20.25">
      <c r="A1724" s="343"/>
      <c r="B1724" s="344"/>
      <c r="C1724" s="344"/>
      <c r="D1724" s="344"/>
      <c r="E1724" s="345"/>
      <c r="F1724" s="346"/>
    </row>
    <row r="1725" spans="1:6" ht="20.25">
      <c r="A1725" s="343"/>
      <c r="B1725" s="344"/>
      <c r="C1725" s="344"/>
      <c r="D1725" s="344"/>
      <c r="E1725" s="345"/>
      <c r="F1725" s="346"/>
    </row>
    <row r="1726" spans="1:6" ht="20.25">
      <c r="A1726" s="343"/>
      <c r="B1726" s="344"/>
      <c r="C1726" s="344"/>
      <c r="D1726" s="344"/>
      <c r="E1726" s="345"/>
      <c r="F1726" s="346"/>
    </row>
    <row r="1727" spans="1:6" ht="20.25">
      <c r="A1727" s="343"/>
      <c r="B1727" s="344"/>
      <c r="C1727" s="344"/>
      <c r="D1727" s="344"/>
      <c r="E1727" s="345"/>
      <c r="F1727" s="346"/>
    </row>
    <row r="1728" spans="1:6" ht="20.25">
      <c r="A1728" s="343"/>
      <c r="B1728" s="344"/>
      <c r="C1728" s="344"/>
      <c r="D1728" s="344"/>
      <c r="E1728" s="345"/>
      <c r="F1728" s="346"/>
    </row>
    <row r="1729" spans="1:6" ht="20.25">
      <c r="A1729" s="343"/>
      <c r="B1729" s="344"/>
      <c r="C1729" s="344"/>
      <c r="D1729" s="344"/>
      <c r="E1729" s="345"/>
      <c r="F1729" s="346"/>
    </row>
    <row r="1730" spans="1:6" ht="20.25">
      <c r="A1730" s="343"/>
      <c r="B1730" s="344"/>
      <c r="C1730" s="344"/>
      <c r="D1730" s="344"/>
      <c r="E1730" s="345"/>
      <c r="F1730" s="346"/>
    </row>
    <row r="1731" spans="1:6" ht="20.25">
      <c r="A1731" s="343"/>
      <c r="B1731" s="344"/>
      <c r="C1731" s="344"/>
      <c r="D1731" s="344"/>
      <c r="E1731" s="345"/>
      <c r="F1731" s="346"/>
    </row>
    <row r="1732" spans="1:6" ht="20.25">
      <c r="A1732" s="343"/>
      <c r="B1732" s="344"/>
      <c r="C1732" s="344"/>
      <c r="D1732" s="344"/>
      <c r="E1732" s="345"/>
      <c r="F1732" s="346"/>
    </row>
    <row r="1733" spans="1:6" ht="20.25">
      <c r="A1733" s="343"/>
      <c r="B1733" s="344"/>
      <c r="C1733" s="344"/>
      <c r="D1733" s="344"/>
      <c r="E1733" s="345"/>
      <c r="F1733" s="346"/>
    </row>
    <row r="1734" spans="1:6" ht="20.25">
      <c r="A1734" s="343"/>
      <c r="B1734" s="344"/>
      <c r="C1734" s="344"/>
      <c r="D1734" s="344"/>
      <c r="E1734" s="345"/>
      <c r="F1734" s="346"/>
    </row>
    <row r="1735" spans="1:6" ht="20.25">
      <c r="A1735" s="343"/>
      <c r="B1735" s="344"/>
      <c r="C1735" s="344"/>
      <c r="D1735" s="344"/>
      <c r="E1735" s="345"/>
      <c r="F1735" s="346"/>
    </row>
    <row r="1736" spans="1:6" ht="20.25">
      <c r="A1736" s="343"/>
      <c r="B1736" s="344"/>
      <c r="C1736" s="344"/>
      <c r="D1736" s="344"/>
      <c r="E1736" s="345"/>
      <c r="F1736" s="346"/>
    </row>
    <row r="1737" spans="1:6" ht="20.25">
      <c r="A1737" s="343"/>
      <c r="B1737" s="344"/>
      <c r="C1737" s="344"/>
      <c r="D1737" s="344"/>
      <c r="E1737" s="345"/>
      <c r="F1737" s="346"/>
    </row>
    <row r="1738" spans="1:6" ht="20.25">
      <c r="A1738" s="343"/>
      <c r="B1738" s="344"/>
      <c r="C1738" s="344"/>
      <c r="D1738" s="344"/>
      <c r="E1738" s="345"/>
      <c r="F1738" s="346"/>
    </row>
    <row r="1739" spans="1:6" ht="20.25">
      <c r="A1739" s="343"/>
      <c r="B1739" s="344"/>
      <c r="C1739" s="344"/>
      <c r="D1739" s="344"/>
      <c r="E1739" s="345"/>
      <c r="F1739" s="346"/>
    </row>
    <row r="1740" spans="1:6" ht="20.25">
      <c r="A1740" s="343"/>
      <c r="B1740" s="344"/>
      <c r="C1740" s="344"/>
      <c r="D1740" s="344"/>
      <c r="E1740" s="345"/>
      <c r="F1740" s="346"/>
    </row>
    <row r="1741" spans="1:6" ht="20.25">
      <c r="A1741" s="343"/>
      <c r="B1741" s="344"/>
      <c r="C1741" s="344"/>
      <c r="D1741" s="344"/>
      <c r="E1741" s="345"/>
      <c r="F1741" s="346"/>
    </row>
    <row r="1742" spans="1:6" ht="20.25">
      <c r="A1742" s="343"/>
      <c r="B1742" s="344"/>
      <c r="C1742" s="344"/>
      <c r="D1742" s="344"/>
      <c r="E1742" s="345"/>
      <c r="F1742" s="346"/>
    </row>
    <row r="1743" spans="1:6" ht="20.25">
      <c r="A1743" s="343"/>
      <c r="B1743" s="344"/>
      <c r="C1743" s="344"/>
      <c r="D1743" s="344"/>
      <c r="E1743" s="345"/>
      <c r="F1743" s="346"/>
    </row>
    <row r="1744" spans="1:6" ht="20.25">
      <c r="A1744" s="343"/>
      <c r="B1744" s="344"/>
      <c r="C1744" s="344"/>
      <c r="D1744" s="344"/>
      <c r="E1744" s="345"/>
      <c r="F1744" s="346"/>
    </row>
    <row r="1745" spans="1:6" ht="20.25">
      <c r="A1745" s="343"/>
      <c r="B1745" s="344"/>
      <c r="C1745" s="344"/>
      <c r="D1745" s="344"/>
      <c r="E1745" s="345"/>
      <c r="F1745" s="346"/>
    </row>
    <row r="1746" spans="1:6" ht="20.25">
      <c r="A1746" s="343"/>
      <c r="B1746" s="344"/>
      <c r="C1746" s="344"/>
      <c r="D1746" s="344"/>
      <c r="E1746" s="345"/>
      <c r="F1746" s="346"/>
    </row>
    <row r="1747" spans="1:6" ht="20.25">
      <c r="A1747" s="343"/>
      <c r="B1747" s="344"/>
      <c r="C1747" s="344"/>
      <c r="D1747" s="344"/>
      <c r="E1747" s="345"/>
      <c r="F1747" s="346"/>
    </row>
    <row r="1748" spans="1:6" ht="20.25">
      <c r="A1748" s="343"/>
      <c r="B1748" s="344"/>
      <c r="C1748" s="344"/>
      <c r="D1748" s="344"/>
      <c r="E1748" s="345"/>
      <c r="F1748" s="346"/>
    </row>
    <row r="1749" spans="1:6" ht="20.25">
      <c r="A1749" s="343"/>
      <c r="B1749" s="344"/>
      <c r="C1749" s="344"/>
      <c r="D1749" s="344"/>
      <c r="E1749" s="345"/>
      <c r="F1749" s="346"/>
    </row>
    <row r="1750" spans="1:6" ht="20.25">
      <c r="A1750" s="343"/>
      <c r="B1750" s="344"/>
      <c r="C1750" s="344"/>
      <c r="D1750" s="344"/>
      <c r="E1750" s="345"/>
      <c r="F1750" s="346"/>
    </row>
    <row r="1751" spans="1:6" ht="20.25">
      <c r="A1751" s="343"/>
      <c r="B1751" s="344"/>
      <c r="C1751" s="344"/>
      <c r="D1751" s="344"/>
      <c r="E1751" s="345"/>
      <c r="F1751" s="346"/>
    </row>
    <row r="1752" spans="1:6" ht="20.25">
      <c r="A1752" s="343"/>
      <c r="B1752" s="344"/>
      <c r="C1752" s="344"/>
      <c r="D1752" s="344"/>
      <c r="E1752" s="345"/>
      <c r="F1752" s="346"/>
    </row>
    <row r="1753" spans="1:6" ht="20.25">
      <c r="A1753" s="343"/>
      <c r="B1753" s="344"/>
      <c r="C1753" s="344"/>
      <c r="D1753" s="344"/>
      <c r="E1753" s="345"/>
      <c r="F1753" s="346"/>
    </row>
    <row r="1754" spans="1:6" ht="20.25">
      <c r="A1754" s="343"/>
      <c r="B1754" s="344"/>
      <c r="C1754" s="344"/>
      <c r="D1754" s="344"/>
      <c r="E1754" s="345"/>
      <c r="F1754" s="346"/>
    </row>
    <row r="1755" spans="1:6" ht="20.25">
      <c r="A1755" s="343"/>
      <c r="B1755" s="344"/>
      <c r="C1755" s="344"/>
      <c r="D1755" s="344"/>
      <c r="E1755" s="345"/>
      <c r="F1755" s="346"/>
    </row>
    <row r="1756" spans="1:6" ht="20.25">
      <c r="A1756" s="343"/>
      <c r="B1756" s="344"/>
      <c r="C1756" s="344"/>
      <c r="D1756" s="344"/>
      <c r="E1756" s="345"/>
      <c r="F1756" s="346"/>
    </row>
    <row r="1757" spans="1:6" ht="20.25">
      <c r="A1757" s="343"/>
      <c r="B1757" s="344"/>
      <c r="C1757" s="344"/>
      <c r="D1757" s="344"/>
      <c r="E1757" s="345"/>
      <c r="F1757" s="346"/>
    </row>
    <row r="1758" spans="1:6" ht="20.25">
      <c r="A1758" s="343"/>
      <c r="B1758" s="344"/>
      <c r="C1758" s="344"/>
      <c r="D1758" s="344"/>
      <c r="E1758" s="345"/>
      <c r="F1758" s="346"/>
    </row>
    <row r="1759" spans="1:6" ht="20.25">
      <c r="A1759" s="343"/>
      <c r="B1759" s="344"/>
      <c r="C1759" s="344"/>
      <c r="D1759" s="344"/>
      <c r="E1759" s="345"/>
      <c r="F1759" s="346"/>
    </row>
    <row r="1760" spans="1:6" ht="20.25">
      <c r="A1760" s="343"/>
      <c r="B1760" s="344"/>
      <c r="C1760" s="344"/>
      <c r="D1760" s="344"/>
      <c r="E1760" s="345"/>
      <c r="F1760" s="346"/>
    </row>
    <row r="1761" spans="1:6" ht="20.25">
      <c r="A1761" s="343"/>
      <c r="B1761" s="344"/>
      <c r="C1761" s="344"/>
      <c r="D1761" s="344"/>
      <c r="E1761" s="345"/>
      <c r="F1761" s="346"/>
    </row>
    <row r="1762" spans="1:6" ht="20.25">
      <c r="A1762" s="343"/>
      <c r="B1762" s="344"/>
      <c r="C1762" s="344"/>
      <c r="D1762" s="344"/>
      <c r="E1762" s="345"/>
      <c r="F1762" s="346"/>
    </row>
    <row r="1763" spans="1:6" ht="20.25">
      <c r="A1763" s="343"/>
      <c r="B1763" s="344"/>
      <c r="C1763" s="344"/>
      <c r="D1763" s="344"/>
      <c r="E1763" s="345"/>
      <c r="F1763" s="346"/>
    </row>
    <row r="1764" spans="1:6" ht="20.25">
      <c r="A1764" s="343"/>
      <c r="B1764" s="344"/>
      <c r="C1764" s="344"/>
      <c r="D1764" s="344"/>
      <c r="E1764" s="345"/>
      <c r="F1764" s="346"/>
    </row>
    <row r="1765" spans="1:6" ht="20.25">
      <c r="A1765" s="343"/>
      <c r="B1765" s="344"/>
      <c r="C1765" s="344"/>
      <c r="D1765" s="344"/>
      <c r="E1765" s="345"/>
      <c r="F1765" s="346"/>
    </row>
    <row r="1766" spans="1:6" ht="20.25">
      <c r="A1766" s="343"/>
      <c r="B1766" s="344"/>
      <c r="C1766" s="344"/>
      <c r="D1766" s="344"/>
      <c r="E1766" s="345"/>
      <c r="F1766" s="346"/>
    </row>
    <row r="1767" spans="1:6" ht="20.25">
      <c r="A1767" s="343"/>
      <c r="B1767" s="344"/>
      <c r="C1767" s="344"/>
      <c r="D1767" s="344"/>
      <c r="E1767" s="345"/>
      <c r="F1767" s="346"/>
    </row>
    <row r="1768" spans="1:6" ht="20.25">
      <c r="A1768" s="343"/>
      <c r="B1768" s="344"/>
      <c r="C1768" s="344"/>
      <c r="D1768" s="344"/>
      <c r="E1768" s="345"/>
      <c r="F1768" s="346"/>
    </row>
    <row r="1769" spans="1:6" ht="20.25">
      <c r="A1769" s="343"/>
      <c r="B1769" s="344"/>
      <c r="C1769" s="344"/>
      <c r="D1769" s="344"/>
      <c r="E1769" s="345"/>
      <c r="F1769" s="346"/>
    </row>
    <row r="1770" spans="1:6" ht="20.25">
      <c r="A1770" s="343"/>
      <c r="B1770" s="344"/>
      <c r="C1770" s="344"/>
      <c r="D1770" s="344"/>
      <c r="E1770" s="345"/>
      <c r="F1770" s="346"/>
    </row>
    <row r="1771" spans="1:6" ht="20.25">
      <c r="A1771" s="343"/>
      <c r="B1771" s="344"/>
      <c r="C1771" s="344"/>
      <c r="D1771" s="344"/>
      <c r="E1771" s="345"/>
      <c r="F1771" s="346"/>
    </row>
    <row r="1772" spans="1:6" ht="20.25">
      <c r="A1772" s="343"/>
      <c r="B1772" s="344"/>
      <c r="C1772" s="344"/>
      <c r="D1772" s="344"/>
      <c r="E1772" s="345"/>
      <c r="F1772" s="346"/>
    </row>
    <row r="1773" spans="1:6" ht="20.25">
      <c r="A1773" s="343"/>
      <c r="B1773" s="344"/>
      <c r="C1773" s="344"/>
      <c r="D1773" s="344"/>
      <c r="E1773" s="345"/>
      <c r="F1773" s="346"/>
    </row>
    <row r="1774" spans="1:6" ht="20.25">
      <c r="A1774" s="343"/>
      <c r="B1774" s="344"/>
      <c r="C1774" s="344"/>
      <c r="D1774" s="344"/>
      <c r="E1774" s="345"/>
      <c r="F1774" s="346"/>
    </row>
    <row r="1775" spans="1:6" ht="20.25">
      <c r="A1775" s="343"/>
      <c r="B1775" s="344"/>
      <c r="C1775" s="344"/>
      <c r="D1775" s="344"/>
      <c r="E1775" s="345"/>
      <c r="F1775" s="346"/>
    </row>
    <row r="1776" spans="1:6" ht="20.25">
      <c r="A1776" s="343"/>
      <c r="B1776" s="344"/>
      <c r="C1776" s="344"/>
      <c r="D1776" s="344"/>
      <c r="E1776" s="345"/>
      <c r="F1776" s="346"/>
    </row>
    <row r="1777" spans="1:6" ht="20.25">
      <c r="A1777" s="343"/>
      <c r="B1777" s="344"/>
      <c r="C1777" s="344"/>
      <c r="D1777" s="344"/>
      <c r="E1777" s="345"/>
      <c r="F1777" s="346"/>
    </row>
    <row r="1778" spans="1:6" ht="20.25">
      <c r="A1778" s="343"/>
      <c r="B1778" s="344"/>
      <c r="C1778" s="344"/>
      <c r="D1778" s="344"/>
      <c r="E1778" s="345"/>
      <c r="F1778" s="346"/>
    </row>
    <row r="1779" spans="1:6" ht="20.25">
      <c r="A1779" s="343"/>
      <c r="B1779" s="344"/>
      <c r="C1779" s="344"/>
      <c r="D1779" s="344"/>
      <c r="E1779" s="345"/>
      <c r="F1779" s="346"/>
    </row>
    <row r="1780" spans="1:6" ht="20.25">
      <c r="A1780" s="343"/>
      <c r="B1780" s="344"/>
      <c r="C1780" s="344"/>
      <c r="D1780" s="344"/>
      <c r="E1780" s="345"/>
      <c r="F1780" s="346"/>
    </row>
    <row r="1781" spans="1:6" ht="20.25">
      <c r="A1781" s="343"/>
      <c r="B1781" s="344"/>
      <c r="C1781" s="344"/>
      <c r="D1781" s="344"/>
      <c r="E1781" s="345"/>
      <c r="F1781" s="346"/>
    </row>
    <row r="1782" spans="1:6" ht="20.25">
      <c r="A1782" s="343"/>
      <c r="B1782" s="344"/>
      <c r="C1782" s="344"/>
      <c r="D1782" s="344"/>
      <c r="E1782" s="345"/>
      <c r="F1782" s="346"/>
    </row>
    <row r="1783" spans="1:6" ht="20.25">
      <c r="A1783" s="343"/>
      <c r="B1783" s="344"/>
      <c r="C1783" s="344"/>
      <c r="D1783" s="344"/>
      <c r="E1783" s="345"/>
      <c r="F1783" s="346"/>
    </row>
    <row r="1784" spans="1:6" ht="20.25">
      <c r="A1784" s="343"/>
      <c r="B1784" s="344"/>
      <c r="C1784" s="344"/>
      <c r="D1784" s="344"/>
      <c r="E1784" s="345"/>
      <c r="F1784" s="346"/>
    </row>
    <row r="1785" spans="1:6" ht="20.25">
      <c r="A1785" s="343"/>
      <c r="B1785" s="344"/>
      <c r="C1785" s="344"/>
      <c r="D1785" s="344"/>
      <c r="E1785" s="345"/>
      <c r="F1785" s="346"/>
    </row>
    <row r="1786" spans="1:6" ht="20.25">
      <c r="A1786" s="343"/>
      <c r="B1786" s="344"/>
      <c r="C1786" s="344"/>
      <c r="D1786" s="344"/>
      <c r="E1786" s="345"/>
      <c r="F1786" s="346"/>
    </row>
    <row r="1787" spans="1:6" ht="20.25">
      <c r="A1787" s="343"/>
      <c r="B1787" s="344"/>
      <c r="C1787" s="344"/>
      <c r="D1787" s="344"/>
      <c r="E1787" s="345"/>
      <c r="F1787" s="346"/>
    </row>
    <row r="1788" spans="1:6" ht="20.25">
      <c r="A1788" s="343"/>
      <c r="B1788" s="344"/>
      <c r="C1788" s="344"/>
      <c r="D1788" s="344"/>
      <c r="E1788" s="345"/>
      <c r="F1788" s="346"/>
    </row>
    <row r="1789" spans="1:6" ht="20.25">
      <c r="A1789" s="343"/>
      <c r="B1789" s="344"/>
      <c r="C1789" s="344"/>
      <c r="D1789" s="344"/>
      <c r="E1789" s="345"/>
      <c r="F1789" s="346"/>
    </row>
    <row r="1790" spans="1:6" ht="20.25">
      <c r="A1790" s="343"/>
      <c r="B1790" s="344"/>
      <c r="C1790" s="344"/>
      <c r="D1790" s="344"/>
      <c r="E1790" s="345"/>
      <c r="F1790" s="346"/>
    </row>
    <row r="1791" spans="1:6" ht="20.25">
      <c r="A1791" s="343"/>
      <c r="B1791" s="344"/>
      <c r="C1791" s="344"/>
      <c r="D1791" s="344"/>
      <c r="E1791" s="345"/>
      <c r="F1791" s="346"/>
    </row>
    <row r="1792" spans="1:6" ht="20.25">
      <c r="A1792" s="343"/>
      <c r="B1792" s="344"/>
      <c r="C1792" s="344"/>
      <c r="D1792" s="344"/>
      <c r="E1792" s="345"/>
      <c r="F1792" s="346"/>
    </row>
    <row r="1793" spans="1:6" ht="20.25">
      <c r="A1793" s="343"/>
      <c r="B1793" s="344"/>
      <c r="C1793" s="344"/>
      <c r="D1793" s="344"/>
      <c r="E1793" s="345"/>
      <c r="F1793" s="346"/>
    </row>
    <row r="1794" spans="1:6" ht="20.25">
      <c r="A1794" s="343"/>
      <c r="B1794" s="344"/>
      <c r="C1794" s="344"/>
      <c r="D1794" s="344"/>
      <c r="E1794" s="345"/>
      <c r="F1794" s="346"/>
    </row>
    <row r="1795" spans="1:6" ht="20.25">
      <c r="A1795" s="343"/>
      <c r="B1795" s="344"/>
      <c r="C1795" s="344"/>
      <c r="D1795" s="344"/>
      <c r="E1795" s="345"/>
      <c r="F1795" s="346"/>
    </row>
    <row r="1796" spans="1:6" ht="20.25">
      <c r="A1796" s="343"/>
      <c r="B1796" s="344"/>
      <c r="C1796" s="344"/>
      <c r="D1796" s="344"/>
      <c r="E1796" s="345"/>
      <c r="F1796" s="346"/>
    </row>
    <row r="1797" spans="1:6" ht="20.25">
      <c r="A1797" s="343"/>
      <c r="B1797" s="344"/>
      <c r="C1797" s="344"/>
      <c r="D1797" s="344"/>
      <c r="E1797" s="345"/>
      <c r="F1797" s="346"/>
    </row>
    <row r="1798" spans="1:6" ht="20.25">
      <c r="A1798" s="343"/>
      <c r="B1798" s="344"/>
      <c r="C1798" s="344"/>
      <c r="D1798" s="344"/>
      <c r="E1798" s="345"/>
      <c r="F1798" s="346"/>
    </row>
    <row r="1799" spans="1:6" ht="20.25">
      <c r="A1799" s="343"/>
      <c r="B1799" s="344"/>
      <c r="C1799" s="344"/>
      <c r="D1799" s="344"/>
      <c r="E1799" s="345"/>
      <c r="F1799" s="346"/>
    </row>
    <row r="1800" spans="1:6" ht="20.25">
      <c r="A1800" s="343"/>
      <c r="B1800" s="344"/>
      <c r="C1800" s="344"/>
      <c r="D1800" s="344"/>
      <c r="E1800" s="345"/>
      <c r="F1800" s="346"/>
    </row>
    <row r="1801" spans="1:6" ht="20.25">
      <c r="A1801" s="343"/>
      <c r="B1801" s="344"/>
      <c r="C1801" s="344"/>
      <c r="D1801" s="344"/>
      <c r="E1801" s="345"/>
      <c r="F1801" s="346"/>
    </row>
    <row r="1802" spans="1:6" ht="20.25">
      <c r="A1802" s="343"/>
      <c r="B1802" s="344"/>
      <c r="C1802" s="344"/>
      <c r="D1802" s="344"/>
      <c r="E1802" s="345"/>
      <c r="F1802" s="346"/>
    </row>
    <row r="1803" spans="1:6" ht="20.25">
      <c r="A1803" s="343"/>
      <c r="B1803" s="344"/>
      <c r="C1803" s="344"/>
      <c r="D1803" s="344"/>
      <c r="E1803" s="345"/>
      <c r="F1803" s="346"/>
    </row>
    <row r="1804" spans="1:6" ht="20.25">
      <c r="A1804" s="343"/>
      <c r="B1804" s="344"/>
      <c r="C1804" s="344"/>
      <c r="D1804" s="344"/>
      <c r="E1804" s="345"/>
      <c r="F1804" s="346"/>
    </row>
    <row r="1805" spans="1:6" ht="20.25">
      <c r="A1805" s="343"/>
      <c r="B1805" s="344"/>
      <c r="C1805" s="344"/>
      <c r="D1805" s="344"/>
      <c r="E1805" s="345"/>
      <c r="F1805" s="346"/>
    </row>
    <row r="1806" spans="1:6" ht="20.25">
      <c r="A1806" s="343"/>
      <c r="B1806" s="344"/>
      <c r="C1806" s="344"/>
      <c r="D1806" s="344"/>
      <c r="E1806" s="345"/>
      <c r="F1806" s="346"/>
    </row>
    <row r="1807" spans="1:6" ht="20.25">
      <c r="A1807" s="343"/>
      <c r="B1807" s="344"/>
      <c r="C1807" s="344"/>
      <c r="D1807" s="344"/>
      <c r="E1807" s="345"/>
      <c r="F1807" s="346"/>
    </row>
    <row r="1808" spans="1:6" ht="20.25">
      <c r="A1808" s="343"/>
      <c r="B1808" s="344"/>
      <c r="C1808" s="344"/>
      <c r="D1808" s="344"/>
      <c r="E1808" s="345"/>
      <c r="F1808" s="346"/>
    </row>
    <row r="1809" spans="1:6" ht="20.25">
      <c r="A1809" s="343"/>
      <c r="B1809" s="344"/>
      <c r="C1809" s="344"/>
      <c r="D1809" s="344"/>
      <c r="E1809" s="345"/>
      <c r="F1809" s="346"/>
    </row>
    <row r="1810" spans="1:6" ht="20.25">
      <c r="A1810" s="343"/>
      <c r="B1810" s="344"/>
      <c r="C1810" s="344"/>
      <c r="D1810" s="344"/>
      <c r="E1810" s="345"/>
      <c r="F1810" s="346"/>
    </row>
    <row r="1811" spans="1:6" ht="20.25">
      <c r="A1811" s="343"/>
      <c r="B1811" s="344"/>
      <c r="C1811" s="344"/>
      <c r="D1811" s="344"/>
      <c r="E1811" s="345"/>
      <c r="F1811" s="346"/>
    </row>
    <row r="1812" spans="1:6" ht="20.25">
      <c r="A1812" s="343"/>
      <c r="B1812" s="344"/>
      <c r="C1812" s="344"/>
      <c r="D1812" s="344"/>
      <c r="E1812" s="345"/>
      <c r="F1812" s="346"/>
    </row>
    <row r="1813" spans="1:6" ht="20.25">
      <c r="A1813" s="343"/>
      <c r="B1813" s="344"/>
      <c r="C1813" s="344"/>
      <c r="D1813" s="344"/>
      <c r="E1813" s="345"/>
      <c r="F1813" s="346"/>
    </row>
    <row r="1814" spans="1:6" ht="20.25">
      <c r="A1814" s="343"/>
      <c r="B1814" s="344"/>
      <c r="C1814" s="344"/>
      <c r="D1814" s="344"/>
      <c r="E1814" s="345"/>
      <c r="F1814" s="346"/>
    </row>
    <row r="1815" spans="1:6" ht="20.25">
      <c r="A1815" s="343"/>
      <c r="B1815" s="344"/>
      <c r="C1815" s="344"/>
      <c r="D1815" s="344"/>
      <c r="E1815" s="345"/>
      <c r="F1815" s="346"/>
    </row>
    <row r="1816" spans="1:6" ht="20.25">
      <c r="A1816" s="343"/>
      <c r="B1816" s="344"/>
      <c r="C1816" s="344"/>
      <c r="D1816" s="344"/>
      <c r="E1816" s="345"/>
      <c r="F1816" s="346"/>
    </row>
    <row r="1817" spans="1:6" ht="20.25">
      <c r="A1817" s="343"/>
      <c r="B1817" s="344"/>
      <c r="C1817" s="344"/>
      <c r="D1817" s="344"/>
      <c r="E1817" s="345"/>
      <c r="F1817" s="346"/>
    </row>
    <row r="1818" spans="1:6" ht="20.25">
      <c r="A1818" s="343"/>
      <c r="B1818" s="344"/>
      <c r="C1818" s="344"/>
      <c r="D1818" s="344"/>
      <c r="E1818" s="345"/>
      <c r="F1818" s="346"/>
    </row>
    <row r="1819" spans="1:6" ht="20.25">
      <c r="A1819" s="343"/>
      <c r="B1819" s="344"/>
      <c r="C1819" s="344"/>
      <c r="D1819" s="344"/>
      <c r="E1819" s="345"/>
      <c r="F1819" s="346"/>
    </row>
    <row r="1820" spans="1:6" ht="20.25">
      <c r="A1820" s="343"/>
      <c r="B1820" s="344"/>
      <c r="C1820" s="344"/>
      <c r="D1820" s="344"/>
      <c r="E1820" s="345"/>
      <c r="F1820" s="346"/>
    </row>
    <row r="1821" spans="1:6" ht="20.25">
      <c r="A1821" s="343"/>
      <c r="B1821" s="344"/>
      <c r="C1821" s="344"/>
      <c r="D1821" s="344"/>
      <c r="E1821" s="345"/>
      <c r="F1821" s="346"/>
    </row>
    <row r="1822" spans="1:6" ht="20.25">
      <c r="A1822" s="343"/>
      <c r="B1822" s="344"/>
      <c r="C1822" s="344"/>
      <c r="D1822" s="344"/>
      <c r="E1822" s="345"/>
      <c r="F1822" s="346"/>
    </row>
    <row r="1823" spans="1:6" ht="20.25">
      <c r="A1823" s="343"/>
      <c r="B1823" s="344"/>
      <c r="C1823" s="344"/>
      <c r="D1823" s="344"/>
      <c r="E1823" s="345"/>
      <c r="F1823" s="346"/>
    </row>
    <row r="1824" spans="1:6" ht="20.25">
      <c r="A1824" s="343"/>
      <c r="B1824" s="344"/>
      <c r="C1824" s="344"/>
      <c r="D1824" s="344"/>
      <c r="E1824" s="345"/>
      <c r="F1824" s="346"/>
    </row>
    <row r="1825" spans="1:6" ht="20.25">
      <c r="A1825" s="343"/>
      <c r="B1825" s="344"/>
      <c r="C1825" s="344"/>
      <c r="D1825" s="344"/>
      <c r="E1825" s="345"/>
      <c r="F1825" s="346"/>
    </row>
    <row r="1826" spans="1:6" ht="20.25">
      <c r="A1826" s="343"/>
      <c r="B1826" s="344"/>
      <c r="C1826" s="344"/>
      <c r="D1826" s="344"/>
      <c r="E1826" s="345"/>
      <c r="F1826" s="346"/>
    </row>
    <row r="1827" spans="1:6" ht="20.25">
      <c r="A1827" s="343"/>
      <c r="B1827" s="344"/>
      <c r="C1827" s="344"/>
      <c r="D1827" s="344"/>
      <c r="E1827" s="345"/>
      <c r="F1827" s="346"/>
    </row>
    <row r="1828" spans="1:6" ht="20.25">
      <c r="A1828" s="343"/>
      <c r="B1828" s="344"/>
      <c r="C1828" s="344"/>
      <c r="D1828" s="344"/>
      <c r="E1828" s="345"/>
      <c r="F1828" s="346"/>
    </row>
    <row r="1829" spans="1:6" ht="20.25">
      <c r="A1829" s="343"/>
      <c r="B1829" s="344"/>
      <c r="C1829" s="344"/>
      <c r="D1829" s="344"/>
      <c r="E1829" s="345"/>
      <c r="F1829" s="346"/>
    </row>
    <row r="1830" spans="1:6" ht="20.25">
      <c r="A1830" s="343"/>
      <c r="B1830" s="344"/>
      <c r="C1830" s="344"/>
      <c r="D1830" s="344"/>
      <c r="E1830" s="345"/>
      <c r="F1830" s="346"/>
    </row>
    <row r="1831" spans="1:6" ht="20.25">
      <c r="A1831" s="343"/>
      <c r="B1831" s="344"/>
      <c r="C1831" s="344"/>
      <c r="D1831" s="344"/>
      <c r="E1831" s="345"/>
      <c r="F1831" s="346"/>
    </row>
    <row r="1832" spans="1:6" ht="20.25">
      <c r="A1832" s="343"/>
      <c r="B1832" s="344"/>
      <c r="C1832" s="344"/>
      <c r="D1832" s="344"/>
      <c r="E1832" s="345"/>
      <c r="F1832" s="346"/>
    </row>
    <row r="1833" spans="1:6" ht="20.25">
      <c r="A1833" s="343"/>
      <c r="B1833" s="344"/>
      <c r="C1833" s="344"/>
      <c r="D1833" s="344"/>
      <c r="E1833" s="345"/>
      <c r="F1833" s="346"/>
    </row>
    <row r="1834" spans="1:6" ht="20.25">
      <c r="A1834" s="343"/>
      <c r="B1834" s="344"/>
      <c r="C1834" s="344"/>
      <c r="D1834" s="344"/>
      <c r="E1834" s="345"/>
      <c r="F1834" s="346"/>
    </row>
    <row r="1835" spans="1:6" ht="20.25">
      <c r="A1835" s="343"/>
      <c r="B1835" s="344"/>
      <c r="C1835" s="344"/>
      <c r="D1835" s="344"/>
      <c r="E1835" s="345"/>
      <c r="F1835" s="346"/>
    </row>
    <row r="1836" spans="1:6" ht="20.25">
      <c r="A1836" s="343"/>
      <c r="B1836" s="344"/>
      <c r="C1836" s="344"/>
      <c r="D1836" s="344"/>
      <c r="E1836" s="345"/>
      <c r="F1836" s="346"/>
    </row>
    <row r="1837" spans="1:6" ht="20.25">
      <c r="A1837" s="343"/>
      <c r="B1837" s="344"/>
      <c r="C1837" s="344"/>
      <c r="D1837" s="344"/>
      <c r="E1837" s="345"/>
      <c r="F1837" s="346"/>
    </row>
    <row r="1838" spans="1:6" ht="20.25">
      <c r="A1838" s="343"/>
      <c r="B1838" s="344"/>
      <c r="C1838" s="344"/>
      <c r="D1838" s="344"/>
      <c r="E1838" s="345"/>
      <c r="F1838" s="346"/>
    </row>
    <row r="1839" spans="1:6" ht="20.25">
      <c r="A1839" s="343"/>
      <c r="B1839" s="344"/>
      <c r="C1839" s="344"/>
      <c r="D1839" s="344"/>
      <c r="E1839" s="345"/>
      <c r="F1839" s="346"/>
    </row>
    <row r="1840" spans="1:6" ht="20.25">
      <c r="A1840" s="343"/>
      <c r="B1840" s="344"/>
      <c r="C1840" s="344"/>
      <c r="D1840" s="344"/>
      <c r="E1840" s="345"/>
      <c r="F1840" s="346"/>
    </row>
    <row r="1841" spans="1:6" ht="20.25">
      <c r="A1841" s="343"/>
      <c r="B1841" s="344"/>
      <c r="C1841" s="344"/>
      <c r="D1841" s="344"/>
      <c r="E1841" s="345"/>
      <c r="F1841" s="346"/>
    </row>
    <row r="1842" spans="1:6" ht="20.25">
      <c r="A1842" s="343"/>
      <c r="B1842" s="344"/>
      <c r="C1842" s="344"/>
      <c r="D1842" s="344"/>
      <c r="E1842" s="345"/>
      <c r="F1842" s="346"/>
    </row>
    <row r="1843" spans="1:6" ht="20.25">
      <c r="A1843" s="343"/>
      <c r="B1843" s="344"/>
      <c r="C1843" s="344"/>
      <c r="D1843" s="344"/>
      <c r="E1843" s="345"/>
      <c r="F1843" s="346"/>
    </row>
    <row r="1844" spans="1:6" ht="20.25">
      <c r="A1844" s="343"/>
      <c r="B1844" s="344"/>
      <c r="C1844" s="344"/>
      <c r="D1844" s="344"/>
      <c r="E1844" s="345"/>
      <c r="F1844" s="346"/>
    </row>
    <row r="1845" spans="1:6" ht="20.25">
      <c r="A1845" s="343"/>
      <c r="B1845" s="344"/>
      <c r="C1845" s="344"/>
      <c r="D1845" s="344"/>
      <c r="E1845" s="345"/>
      <c r="F1845" s="346"/>
    </row>
    <row r="1846" spans="1:6" ht="20.25">
      <c r="A1846" s="343"/>
      <c r="B1846" s="344"/>
      <c r="C1846" s="344"/>
      <c r="D1846" s="344"/>
      <c r="E1846" s="345"/>
      <c r="F1846" s="346"/>
    </row>
    <row r="1847" spans="1:6" ht="20.25">
      <c r="A1847" s="343"/>
      <c r="B1847" s="344"/>
      <c r="C1847" s="344"/>
      <c r="D1847" s="344"/>
      <c r="E1847" s="345"/>
      <c r="F1847" s="346"/>
    </row>
    <row r="1848" spans="1:6" ht="20.25">
      <c r="A1848" s="343"/>
      <c r="B1848" s="344"/>
      <c r="C1848" s="344"/>
      <c r="D1848" s="344"/>
      <c r="E1848" s="345"/>
      <c r="F1848" s="346"/>
    </row>
    <row r="1849" spans="1:6" ht="20.25">
      <c r="A1849" s="343"/>
      <c r="B1849" s="344"/>
      <c r="C1849" s="344"/>
      <c r="D1849" s="344"/>
      <c r="E1849" s="345"/>
      <c r="F1849" s="346"/>
    </row>
    <row r="1850" spans="1:6" ht="20.25">
      <c r="A1850" s="343"/>
      <c r="B1850" s="344"/>
      <c r="C1850" s="344"/>
      <c r="D1850" s="344"/>
      <c r="E1850" s="345"/>
      <c r="F1850" s="346"/>
    </row>
    <row r="1851" spans="1:6" ht="20.25">
      <c r="A1851" s="343"/>
      <c r="B1851" s="344"/>
      <c r="C1851" s="344"/>
      <c r="D1851" s="344"/>
      <c r="E1851" s="345"/>
      <c r="F1851" s="346"/>
    </row>
    <row r="1852" spans="1:6" ht="20.25">
      <c r="A1852" s="343"/>
      <c r="B1852" s="344"/>
      <c r="C1852" s="344"/>
      <c r="D1852" s="344"/>
      <c r="E1852" s="345"/>
      <c r="F1852" s="346"/>
    </row>
    <row r="1853" spans="1:6" ht="20.25">
      <c r="A1853" s="343"/>
      <c r="B1853" s="344"/>
      <c r="C1853" s="344"/>
      <c r="D1853" s="344"/>
      <c r="E1853" s="345"/>
      <c r="F1853" s="346"/>
    </row>
    <row r="1854" spans="1:6" ht="20.25">
      <c r="A1854" s="343"/>
      <c r="B1854" s="344"/>
      <c r="C1854" s="344"/>
      <c r="D1854" s="344"/>
      <c r="E1854" s="345"/>
      <c r="F1854" s="346"/>
    </row>
    <row r="1855" spans="1:6" ht="20.25">
      <c r="A1855" s="343"/>
      <c r="B1855" s="344"/>
      <c r="C1855" s="344"/>
      <c r="D1855" s="344"/>
      <c r="E1855" s="345"/>
      <c r="F1855" s="346"/>
    </row>
    <row r="1856" spans="1:6" ht="20.25">
      <c r="A1856" s="343"/>
      <c r="B1856" s="344"/>
      <c r="C1856" s="344"/>
      <c r="D1856" s="344"/>
      <c r="E1856" s="345"/>
      <c r="F1856" s="346"/>
    </row>
    <row r="1857" spans="1:6" ht="20.25">
      <c r="A1857" s="343"/>
      <c r="B1857" s="344"/>
      <c r="C1857" s="344"/>
      <c r="D1857" s="344"/>
      <c r="E1857" s="345"/>
      <c r="F1857" s="346"/>
    </row>
    <row r="1858" spans="1:6" ht="20.25">
      <c r="A1858" s="343"/>
      <c r="B1858" s="344"/>
      <c r="C1858" s="344"/>
      <c r="D1858" s="344"/>
      <c r="E1858" s="345"/>
      <c r="F1858" s="346"/>
    </row>
    <row r="1859" spans="1:6" ht="20.25">
      <c r="A1859" s="343"/>
      <c r="B1859" s="344"/>
      <c r="C1859" s="344"/>
      <c r="D1859" s="344"/>
      <c r="E1859" s="345"/>
      <c r="F1859" s="346"/>
    </row>
    <row r="1860" spans="1:6" ht="20.25">
      <c r="A1860" s="343"/>
      <c r="B1860" s="344"/>
      <c r="C1860" s="344"/>
      <c r="D1860" s="344"/>
      <c r="E1860" s="345"/>
      <c r="F1860" s="346"/>
    </row>
    <row r="1861" spans="1:6" ht="20.25">
      <c r="A1861" s="343"/>
      <c r="B1861" s="344"/>
      <c r="C1861" s="344"/>
      <c r="D1861" s="344"/>
      <c r="E1861" s="345"/>
      <c r="F1861" s="346"/>
    </row>
    <row r="1862" spans="1:6" ht="20.25">
      <c r="A1862" s="343"/>
      <c r="B1862" s="344"/>
      <c r="C1862" s="344"/>
      <c r="D1862" s="344"/>
      <c r="E1862" s="345"/>
      <c r="F1862" s="346"/>
    </row>
    <row r="1863" spans="1:6" ht="20.25">
      <c r="A1863" s="343"/>
      <c r="B1863" s="344"/>
      <c r="C1863" s="344"/>
      <c r="D1863" s="344"/>
      <c r="E1863" s="345"/>
      <c r="F1863" s="346"/>
    </row>
    <row r="1864" spans="1:6" ht="20.25">
      <c r="A1864" s="343"/>
      <c r="B1864" s="344"/>
      <c r="C1864" s="344"/>
      <c r="D1864" s="344"/>
      <c r="E1864" s="345"/>
      <c r="F1864" s="346"/>
    </row>
    <row r="1865" spans="1:6" ht="20.25">
      <c r="A1865" s="343"/>
      <c r="B1865" s="344"/>
      <c r="C1865" s="344"/>
      <c r="D1865" s="344"/>
      <c r="E1865" s="345"/>
      <c r="F1865" s="346"/>
    </row>
    <row r="1866" spans="1:6" ht="20.25">
      <c r="A1866" s="343"/>
      <c r="B1866" s="344"/>
      <c r="C1866" s="344"/>
      <c r="D1866" s="344"/>
      <c r="E1866" s="345"/>
      <c r="F1866" s="346"/>
    </row>
    <row r="1867" spans="1:6" ht="20.25">
      <c r="A1867" s="343"/>
      <c r="B1867" s="344"/>
      <c r="C1867" s="344"/>
      <c r="D1867" s="344"/>
      <c r="E1867" s="345"/>
      <c r="F1867" s="346"/>
    </row>
    <row r="1868" spans="1:6" ht="20.25">
      <c r="A1868" s="343"/>
      <c r="B1868" s="344"/>
      <c r="C1868" s="344"/>
      <c r="D1868" s="344"/>
      <c r="E1868" s="345"/>
      <c r="F1868" s="346"/>
    </row>
    <row r="1869" spans="1:6" ht="20.25">
      <c r="A1869" s="343"/>
      <c r="B1869" s="344"/>
      <c r="C1869" s="344"/>
      <c r="D1869" s="344"/>
      <c r="E1869" s="345"/>
      <c r="F1869" s="346"/>
    </row>
    <row r="1870" spans="1:6" ht="20.25">
      <c r="A1870" s="343"/>
      <c r="B1870" s="344"/>
      <c r="C1870" s="344"/>
      <c r="D1870" s="344"/>
      <c r="E1870" s="345"/>
      <c r="F1870" s="346"/>
    </row>
    <row r="1871" spans="1:6" ht="20.25">
      <c r="A1871" s="343"/>
      <c r="B1871" s="344"/>
      <c r="C1871" s="344"/>
      <c r="D1871" s="344"/>
      <c r="E1871" s="345"/>
      <c r="F1871" s="346"/>
    </row>
    <row r="1872" spans="1:6" ht="20.25">
      <c r="A1872" s="343"/>
      <c r="B1872" s="344"/>
      <c r="C1872" s="344"/>
      <c r="D1872" s="344"/>
      <c r="E1872" s="345"/>
      <c r="F1872" s="346"/>
    </row>
    <row r="1873" spans="1:6" ht="20.25">
      <c r="A1873" s="343"/>
      <c r="B1873" s="344"/>
      <c r="C1873" s="344"/>
      <c r="D1873" s="344"/>
      <c r="E1873" s="345"/>
      <c r="F1873" s="346"/>
    </row>
    <row r="1874" spans="1:6" ht="20.25">
      <c r="A1874" s="343"/>
      <c r="B1874" s="344"/>
      <c r="C1874" s="344"/>
      <c r="D1874" s="344"/>
      <c r="E1874" s="345"/>
      <c r="F1874" s="346"/>
    </row>
    <row r="1875" spans="1:6" ht="20.25">
      <c r="A1875" s="343"/>
      <c r="B1875" s="344"/>
      <c r="C1875" s="344"/>
      <c r="D1875" s="344"/>
      <c r="E1875" s="345"/>
      <c r="F1875" s="346"/>
    </row>
    <row r="1876" spans="1:6" ht="20.25">
      <c r="A1876" s="343"/>
      <c r="B1876" s="344"/>
      <c r="C1876" s="344"/>
      <c r="D1876" s="344"/>
      <c r="E1876" s="345"/>
      <c r="F1876" s="346"/>
    </row>
    <row r="1877" spans="1:6" ht="20.25">
      <c r="A1877" s="343"/>
      <c r="B1877" s="344"/>
      <c r="C1877" s="344"/>
      <c r="D1877" s="344"/>
      <c r="E1877" s="345"/>
      <c r="F1877" s="346"/>
    </row>
    <row r="1878" spans="1:6" ht="20.25">
      <c r="A1878" s="343"/>
      <c r="B1878" s="344"/>
      <c r="C1878" s="344"/>
      <c r="D1878" s="344"/>
      <c r="E1878" s="345"/>
      <c r="F1878" s="346"/>
    </row>
    <row r="1879" spans="1:6" ht="20.25">
      <c r="A1879" s="343"/>
      <c r="B1879" s="344"/>
      <c r="C1879" s="344"/>
      <c r="D1879" s="344"/>
      <c r="E1879" s="345"/>
      <c r="F1879" s="346"/>
    </row>
    <row r="1880" spans="1:6" ht="20.25">
      <c r="A1880" s="343"/>
      <c r="B1880" s="344"/>
      <c r="C1880" s="344"/>
      <c r="D1880" s="344"/>
      <c r="E1880" s="345"/>
      <c r="F1880" s="346"/>
    </row>
    <row r="1881" spans="1:6" ht="20.25">
      <c r="A1881" s="343"/>
      <c r="B1881" s="344"/>
      <c r="C1881" s="344"/>
      <c r="D1881" s="344"/>
      <c r="E1881" s="345"/>
      <c r="F1881" s="346"/>
    </row>
    <row r="1882" spans="1:6" ht="20.25">
      <c r="A1882" s="343"/>
      <c r="B1882" s="344"/>
      <c r="C1882" s="344"/>
      <c r="D1882" s="344"/>
      <c r="E1882" s="345"/>
      <c r="F1882" s="346"/>
    </row>
    <row r="1883" spans="1:6" ht="20.25">
      <c r="A1883" s="343"/>
      <c r="B1883" s="344"/>
      <c r="C1883" s="344"/>
      <c r="D1883" s="344"/>
      <c r="E1883" s="345"/>
      <c r="F1883" s="346"/>
    </row>
    <row r="1884" spans="1:6" ht="20.25">
      <c r="A1884" s="343"/>
      <c r="B1884" s="344"/>
      <c r="C1884" s="344"/>
      <c r="D1884" s="344"/>
      <c r="E1884" s="345"/>
      <c r="F1884" s="346"/>
    </row>
    <row r="1885" spans="1:6" ht="20.25">
      <c r="A1885" s="343"/>
      <c r="B1885" s="344"/>
      <c r="C1885" s="344"/>
      <c r="D1885" s="344"/>
      <c r="E1885" s="345"/>
      <c r="F1885" s="346"/>
    </row>
    <row r="1886" spans="1:6" ht="20.25">
      <c r="A1886" s="343"/>
      <c r="B1886" s="344"/>
      <c r="C1886" s="344"/>
      <c r="D1886" s="344"/>
      <c r="E1886" s="345"/>
      <c r="F1886" s="346"/>
    </row>
    <row r="1887" spans="1:6" ht="20.25">
      <c r="A1887" s="343"/>
      <c r="B1887" s="344"/>
      <c r="C1887" s="344"/>
      <c r="D1887" s="344"/>
      <c r="E1887" s="345"/>
      <c r="F1887" s="346"/>
    </row>
    <row r="1888" spans="1:6" ht="20.25">
      <c r="A1888" s="343"/>
      <c r="B1888" s="344"/>
      <c r="C1888" s="344"/>
      <c r="D1888" s="344"/>
      <c r="E1888" s="345"/>
      <c r="F1888" s="346"/>
    </row>
    <row r="1889" spans="1:6" ht="20.25">
      <c r="A1889" s="343"/>
      <c r="B1889" s="344"/>
      <c r="C1889" s="344"/>
      <c r="D1889" s="344"/>
      <c r="E1889" s="345"/>
      <c r="F1889" s="346"/>
    </row>
    <row r="1890" spans="1:6" ht="20.25">
      <c r="A1890" s="343"/>
      <c r="B1890" s="344"/>
      <c r="C1890" s="344"/>
      <c r="D1890" s="344"/>
      <c r="E1890" s="345"/>
      <c r="F1890" s="346"/>
    </row>
    <row r="1891" spans="1:6" ht="20.25">
      <c r="A1891" s="343"/>
      <c r="B1891" s="344"/>
      <c r="C1891" s="344"/>
      <c r="D1891" s="344"/>
      <c r="E1891" s="345"/>
      <c r="F1891" s="346"/>
    </row>
    <row r="1892" spans="1:6" ht="20.25">
      <c r="A1892" s="343"/>
      <c r="B1892" s="344"/>
      <c r="C1892" s="344"/>
      <c r="D1892" s="344"/>
      <c r="E1892" s="345"/>
      <c r="F1892" s="346"/>
    </row>
    <row r="1893" spans="1:6" ht="20.25">
      <c r="A1893" s="343"/>
      <c r="B1893" s="344"/>
      <c r="C1893" s="344"/>
      <c r="D1893" s="344"/>
      <c r="E1893" s="345"/>
      <c r="F1893" s="346"/>
    </row>
    <row r="1894" spans="1:6" ht="20.25">
      <c r="A1894" s="343"/>
      <c r="B1894" s="344"/>
      <c r="C1894" s="344"/>
      <c r="D1894" s="344"/>
      <c r="E1894" s="345"/>
      <c r="F1894" s="346"/>
    </row>
    <row r="1895" spans="1:6" ht="20.25">
      <c r="A1895" s="343"/>
      <c r="B1895" s="344"/>
      <c r="C1895" s="344"/>
      <c r="D1895" s="344"/>
      <c r="E1895" s="345"/>
      <c r="F1895" s="346"/>
    </row>
    <row r="1896" spans="1:6" ht="20.25">
      <c r="A1896" s="343"/>
      <c r="B1896" s="344"/>
      <c r="C1896" s="344"/>
      <c r="D1896" s="344"/>
      <c r="E1896" s="345"/>
      <c r="F1896" s="346"/>
    </row>
    <row r="1897" spans="1:6" ht="20.25">
      <c r="A1897" s="343"/>
      <c r="B1897" s="344"/>
      <c r="C1897" s="344"/>
      <c r="D1897" s="344"/>
      <c r="E1897" s="345"/>
      <c r="F1897" s="346"/>
    </row>
    <row r="1898" spans="1:6" ht="20.25">
      <c r="A1898" s="343"/>
      <c r="B1898" s="344"/>
      <c r="C1898" s="344"/>
      <c r="D1898" s="344"/>
      <c r="E1898" s="345"/>
      <c r="F1898" s="346"/>
    </row>
    <row r="1899" spans="1:6" ht="20.25">
      <c r="A1899" s="343"/>
      <c r="B1899" s="344"/>
      <c r="C1899" s="344"/>
      <c r="D1899" s="344"/>
      <c r="E1899" s="345"/>
      <c r="F1899" s="346"/>
    </row>
    <row r="1900" spans="1:6" ht="20.25">
      <c r="A1900" s="343"/>
      <c r="B1900" s="344"/>
      <c r="C1900" s="344"/>
      <c r="D1900" s="344"/>
      <c r="E1900" s="345"/>
      <c r="F1900" s="346"/>
    </row>
    <row r="1901" spans="1:6" ht="20.25">
      <c r="A1901" s="343"/>
      <c r="B1901" s="344"/>
      <c r="C1901" s="344"/>
      <c r="D1901" s="344"/>
      <c r="E1901" s="345"/>
      <c r="F1901" s="346"/>
    </row>
    <row r="1902" spans="1:6" ht="20.25">
      <c r="A1902" s="343"/>
      <c r="B1902" s="344"/>
      <c r="C1902" s="344"/>
      <c r="D1902" s="344"/>
      <c r="E1902" s="345"/>
      <c r="F1902" s="346"/>
    </row>
    <row r="1903" spans="1:6" ht="20.25">
      <c r="A1903" s="343"/>
      <c r="B1903" s="344"/>
      <c r="C1903" s="344"/>
      <c r="D1903" s="344"/>
      <c r="E1903" s="345"/>
      <c r="F1903" s="346"/>
    </row>
    <row r="1904" spans="1:6" ht="20.25">
      <c r="A1904" s="343"/>
      <c r="B1904" s="344"/>
      <c r="C1904" s="344"/>
      <c r="D1904" s="344"/>
      <c r="E1904" s="345"/>
      <c r="F1904" s="346"/>
    </row>
    <row r="1905" spans="1:6" ht="20.25">
      <c r="A1905" s="343"/>
      <c r="B1905" s="344"/>
      <c r="C1905" s="344"/>
      <c r="D1905" s="344"/>
      <c r="E1905" s="345"/>
      <c r="F1905" s="346"/>
    </row>
    <row r="1906" spans="1:6" ht="20.25">
      <c r="A1906" s="343"/>
      <c r="B1906" s="344"/>
      <c r="C1906" s="344"/>
      <c r="D1906" s="344"/>
      <c r="E1906" s="345"/>
      <c r="F1906" s="346"/>
    </row>
    <row r="1907" spans="1:6" ht="20.25">
      <c r="A1907" s="343"/>
      <c r="B1907" s="344"/>
      <c r="C1907" s="344"/>
      <c r="D1907" s="344"/>
      <c r="E1907" s="345"/>
      <c r="F1907" s="346"/>
    </row>
    <row r="1908" spans="1:6" ht="20.25">
      <c r="A1908" s="343"/>
      <c r="B1908" s="344"/>
      <c r="C1908" s="344"/>
      <c r="D1908" s="344"/>
      <c r="E1908" s="345"/>
      <c r="F1908" s="346"/>
    </row>
    <row r="1909" spans="1:6" ht="20.25">
      <c r="A1909" s="343"/>
      <c r="B1909" s="344"/>
      <c r="C1909" s="344"/>
      <c r="D1909" s="344"/>
      <c r="E1909" s="345"/>
      <c r="F1909" s="346"/>
    </row>
    <row r="1910" spans="1:6" ht="20.25">
      <c r="A1910" s="343"/>
      <c r="B1910" s="344"/>
      <c r="C1910" s="344"/>
      <c r="D1910" s="344"/>
      <c r="E1910" s="345"/>
      <c r="F1910" s="346"/>
    </row>
    <row r="1911" spans="1:6" ht="20.25">
      <c r="A1911" s="343"/>
      <c r="B1911" s="344"/>
      <c r="C1911" s="344"/>
      <c r="D1911" s="344"/>
      <c r="E1911" s="345"/>
      <c r="F1911" s="346"/>
    </row>
    <row r="1912" spans="1:6" ht="20.25">
      <c r="A1912" s="343"/>
      <c r="B1912" s="344"/>
      <c r="C1912" s="344"/>
      <c r="D1912" s="344"/>
      <c r="E1912" s="345"/>
      <c r="F1912" s="346"/>
    </row>
    <row r="1913" spans="1:6" ht="20.25">
      <c r="A1913" s="343"/>
      <c r="B1913" s="344"/>
      <c r="C1913" s="344"/>
      <c r="D1913" s="344"/>
      <c r="E1913" s="345"/>
      <c r="F1913" s="346"/>
    </row>
    <row r="1914" spans="1:6" ht="20.25">
      <c r="A1914" s="343"/>
      <c r="B1914" s="344"/>
      <c r="C1914" s="344"/>
      <c r="D1914" s="344"/>
      <c r="E1914" s="345"/>
      <c r="F1914" s="346"/>
    </row>
    <row r="1915" spans="1:6" ht="20.25">
      <c r="A1915" s="343"/>
      <c r="B1915" s="344"/>
      <c r="C1915" s="344"/>
      <c r="D1915" s="344"/>
      <c r="E1915" s="345"/>
      <c r="F1915" s="346"/>
    </row>
    <row r="1916" spans="1:6" ht="20.25">
      <c r="A1916" s="343"/>
      <c r="B1916" s="344"/>
      <c r="C1916" s="344"/>
      <c r="D1916" s="344"/>
      <c r="E1916" s="345"/>
      <c r="F1916" s="346"/>
    </row>
    <row r="1917" spans="1:6" ht="20.25">
      <c r="A1917" s="343"/>
      <c r="B1917" s="344"/>
      <c r="C1917" s="344"/>
      <c r="D1917" s="344"/>
      <c r="E1917" s="345"/>
      <c r="F1917" s="346"/>
    </row>
    <row r="1918" spans="1:6" ht="20.25">
      <c r="A1918" s="343"/>
      <c r="B1918" s="344"/>
      <c r="C1918" s="344"/>
      <c r="D1918" s="344"/>
      <c r="E1918" s="345"/>
      <c r="F1918" s="346"/>
    </row>
    <row r="1919" spans="1:6" ht="20.25">
      <c r="A1919" s="343"/>
      <c r="B1919" s="344"/>
      <c r="C1919" s="344"/>
      <c r="D1919" s="344"/>
      <c r="E1919" s="345"/>
      <c r="F1919" s="346"/>
    </row>
    <row r="1920" spans="1:6" ht="20.25">
      <c r="A1920" s="343"/>
      <c r="B1920" s="344"/>
      <c r="C1920" s="344"/>
      <c r="D1920" s="344"/>
      <c r="E1920" s="345"/>
      <c r="F1920" s="346"/>
    </row>
    <row r="1921" spans="1:6" ht="20.25">
      <c r="A1921" s="343"/>
      <c r="B1921" s="344"/>
      <c r="C1921" s="344"/>
      <c r="D1921" s="344"/>
      <c r="E1921" s="345"/>
      <c r="F1921" s="346"/>
    </row>
    <row r="1922" spans="1:6" ht="20.25">
      <c r="A1922" s="343"/>
      <c r="B1922" s="344"/>
      <c r="C1922" s="344"/>
      <c r="D1922" s="344"/>
      <c r="E1922" s="345"/>
      <c r="F1922" s="346"/>
    </row>
    <row r="1923" spans="1:6" ht="20.25">
      <c r="A1923" s="343"/>
      <c r="B1923" s="344"/>
      <c r="C1923" s="344"/>
      <c r="D1923" s="344"/>
      <c r="E1923" s="345"/>
      <c r="F1923" s="346"/>
    </row>
    <row r="1924" spans="1:6" ht="20.25">
      <c r="A1924" s="343"/>
      <c r="B1924" s="344"/>
      <c r="C1924" s="344"/>
      <c r="D1924" s="344"/>
      <c r="E1924" s="345"/>
      <c r="F1924" s="346"/>
    </row>
    <row r="1925" spans="1:6" ht="20.25">
      <c r="A1925" s="343"/>
      <c r="B1925" s="344"/>
      <c r="C1925" s="344"/>
      <c r="D1925" s="344"/>
      <c r="E1925" s="345"/>
      <c r="F1925" s="346"/>
    </row>
    <row r="1926" spans="1:6" ht="20.25">
      <c r="A1926" s="343"/>
      <c r="B1926" s="344"/>
      <c r="C1926" s="344"/>
      <c r="D1926" s="344"/>
      <c r="E1926" s="345"/>
      <c r="F1926" s="346"/>
    </row>
    <row r="1927" spans="1:6" ht="20.25">
      <c r="A1927" s="343"/>
      <c r="B1927" s="344"/>
      <c r="C1927" s="344"/>
      <c r="D1927" s="344"/>
      <c r="E1927" s="345"/>
      <c r="F1927" s="346"/>
    </row>
    <row r="1928" spans="1:6" ht="20.25">
      <c r="A1928" s="343"/>
      <c r="B1928" s="344"/>
      <c r="C1928" s="344"/>
      <c r="D1928" s="344"/>
      <c r="E1928" s="345"/>
      <c r="F1928" s="346"/>
    </row>
    <row r="1929" spans="1:6" ht="20.25">
      <c r="A1929" s="343"/>
      <c r="B1929" s="344"/>
      <c r="C1929" s="344"/>
      <c r="D1929" s="344"/>
      <c r="E1929" s="345"/>
      <c r="F1929" s="346"/>
    </row>
    <row r="1930" spans="1:6" ht="20.25">
      <c r="A1930" s="343"/>
      <c r="B1930" s="344"/>
      <c r="C1930" s="344"/>
      <c r="D1930" s="344"/>
      <c r="E1930" s="345"/>
      <c r="F1930" s="346"/>
    </row>
    <row r="1931" spans="1:6" ht="20.25">
      <c r="A1931" s="343"/>
      <c r="B1931" s="344"/>
      <c r="C1931" s="344"/>
      <c r="D1931" s="344"/>
      <c r="E1931" s="345"/>
      <c r="F1931" s="346"/>
    </row>
    <row r="1932" spans="1:6" ht="20.25">
      <c r="A1932" s="343"/>
      <c r="B1932" s="344"/>
      <c r="C1932" s="344"/>
      <c r="D1932" s="344"/>
      <c r="E1932" s="345"/>
      <c r="F1932" s="346"/>
    </row>
    <row r="1933" spans="1:6" ht="20.25">
      <c r="A1933" s="343"/>
      <c r="B1933" s="344"/>
      <c r="C1933" s="344"/>
      <c r="D1933" s="344"/>
      <c r="E1933" s="345"/>
      <c r="F1933" s="346"/>
    </row>
    <row r="1934" spans="1:6" ht="20.25">
      <c r="A1934" s="343"/>
      <c r="B1934" s="344"/>
      <c r="C1934" s="344"/>
      <c r="D1934" s="344"/>
      <c r="E1934" s="345"/>
      <c r="F1934" s="346"/>
    </row>
    <row r="1935" spans="1:6" ht="20.25">
      <c r="A1935" s="343"/>
      <c r="B1935" s="344"/>
      <c r="C1935" s="344"/>
      <c r="D1935" s="344"/>
      <c r="E1935" s="345"/>
      <c r="F1935" s="346"/>
    </row>
    <row r="1936" spans="1:6" ht="20.25">
      <c r="A1936" s="343"/>
      <c r="B1936" s="344"/>
      <c r="C1936" s="344"/>
      <c r="D1936" s="344"/>
      <c r="E1936" s="345"/>
      <c r="F1936" s="346"/>
    </row>
    <row r="1937" spans="1:6" ht="20.25">
      <c r="A1937" s="343"/>
      <c r="B1937" s="344"/>
      <c r="C1937" s="344"/>
      <c r="D1937" s="344"/>
      <c r="E1937" s="345"/>
      <c r="F1937" s="346"/>
    </row>
    <row r="1938" spans="1:6" ht="20.25">
      <c r="A1938" s="343"/>
      <c r="B1938" s="344"/>
      <c r="C1938" s="344"/>
      <c r="D1938" s="344"/>
      <c r="E1938" s="345"/>
      <c r="F1938" s="346"/>
    </row>
    <row r="1939" spans="1:6" ht="20.25">
      <c r="A1939" s="343"/>
      <c r="B1939" s="344"/>
      <c r="C1939" s="344"/>
      <c r="D1939" s="344"/>
      <c r="E1939" s="345"/>
      <c r="F1939" s="346"/>
    </row>
    <row r="1940" spans="1:6" ht="20.25">
      <c r="A1940" s="343"/>
      <c r="B1940" s="344"/>
      <c r="C1940" s="344"/>
      <c r="D1940" s="344"/>
      <c r="E1940" s="345"/>
      <c r="F1940" s="346"/>
    </row>
    <row r="1941" spans="1:6" ht="20.25">
      <c r="A1941" s="343"/>
      <c r="B1941" s="344"/>
      <c r="C1941" s="344"/>
      <c r="D1941" s="344"/>
      <c r="E1941" s="345"/>
      <c r="F1941" s="346"/>
    </row>
    <row r="1942" spans="1:6" ht="20.25">
      <c r="A1942" s="343"/>
      <c r="B1942" s="344"/>
      <c r="C1942" s="344"/>
      <c r="D1942" s="344"/>
      <c r="E1942" s="345"/>
      <c r="F1942" s="346"/>
    </row>
    <row r="1943" spans="1:6" ht="20.25">
      <c r="A1943" s="343"/>
      <c r="B1943" s="344"/>
      <c r="C1943" s="344"/>
      <c r="D1943" s="344"/>
      <c r="E1943" s="345"/>
      <c r="F1943" s="346"/>
    </row>
    <row r="1944" spans="1:6" ht="20.25">
      <c r="A1944" s="343"/>
      <c r="B1944" s="344"/>
      <c r="C1944" s="344"/>
      <c r="D1944" s="344"/>
      <c r="E1944" s="345"/>
      <c r="F1944" s="346"/>
    </row>
    <row r="1945" spans="1:6" ht="20.25">
      <c r="A1945" s="343"/>
      <c r="B1945" s="344"/>
      <c r="C1945" s="344"/>
      <c r="D1945" s="344"/>
      <c r="E1945" s="345"/>
      <c r="F1945" s="346"/>
    </row>
    <row r="1946" spans="1:6" ht="20.25">
      <c r="A1946" s="343"/>
      <c r="B1946" s="344"/>
      <c r="C1946" s="344"/>
      <c r="D1946" s="344"/>
      <c r="E1946" s="345"/>
      <c r="F1946" s="346"/>
    </row>
    <row r="1947" spans="1:6" ht="20.25">
      <c r="A1947" s="343"/>
      <c r="B1947" s="344"/>
      <c r="C1947" s="344"/>
      <c r="D1947" s="344"/>
      <c r="E1947" s="345"/>
      <c r="F1947" s="346"/>
    </row>
    <row r="1948" spans="1:6" ht="20.25">
      <c r="A1948" s="343"/>
      <c r="B1948" s="344"/>
      <c r="C1948" s="344"/>
      <c r="D1948" s="344"/>
      <c r="E1948" s="345"/>
      <c r="F1948" s="346"/>
    </row>
    <row r="1949" spans="1:6" ht="20.25">
      <c r="A1949" s="343"/>
      <c r="B1949" s="344"/>
      <c r="C1949" s="344"/>
      <c r="D1949" s="344"/>
      <c r="E1949" s="345"/>
      <c r="F1949" s="346"/>
    </row>
    <row r="1950" spans="1:6" ht="20.25">
      <c r="A1950" s="343"/>
      <c r="B1950" s="344"/>
      <c r="C1950" s="344"/>
      <c r="D1950" s="344"/>
      <c r="E1950" s="345"/>
      <c r="F1950" s="346"/>
    </row>
    <row r="1951" spans="1:6" ht="20.25">
      <c r="A1951" s="343"/>
      <c r="B1951" s="344"/>
      <c r="C1951" s="344"/>
      <c r="D1951" s="344"/>
      <c r="E1951" s="345"/>
      <c r="F1951" s="346"/>
    </row>
    <row r="1952" spans="1:6" ht="20.25">
      <c r="A1952" s="343"/>
      <c r="B1952" s="344"/>
      <c r="C1952" s="344"/>
      <c r="D1952" s="344"/>
      <c r="E1952" s="345"/>
      <c r="F1952" s="346"/>
    </row>
    <row r="1953" spans="1:6" ht="20.25">
      <c r="A1953" s="343"/>
      <c r="B1953" s="344"/>
      <c r="C1953" s="344"/>
      <c r="D1953" s="344"/>
      <c r="E1953" s="345"/>
      <c r="F1953" s="346"/>
    </row>
    <row r="1954" spans="1:6" ht="20.25">
      <c r="A1954" s="343"/>
      <c r="B1954" s="344"/>
      <c r="C1954" s="344"/>
      <c r="D1954" s="344"/>
      <c r="E1954" s="345"/>
      <c r="F1954" s="346"/>
    </row>
    <row r="1955" spans="1:6" ht="20.25">
      <c r="A1955" s="343"/>
      <c r="B1955" s="344"/>
      <c r="C1955" s="344"/>
      <c r="D1955" s="344"/>
      <c r="E1955" s="345"/>
      <c r="F1955" s="346"/>
    </row>
    <row r="1956" spans="1:6" ht="20.25">
      <c r="A1956" s="343"/>
      <c r="B1956" s="344"/>
      <c r="C1956" s="344"/>
      <c r="D1956" s="344"/>
      <c r="E1956" s="345"/>
      <c r="F1956" s="346"/>
    </row>
    <row r="1957" spans="1:6" ht="20.25">
      <c r="A1957" s="343"/>
      <c r="B1957" s="344"/>
      <c r="C1957" s="344"/>
      <c r="D1957" s="344"/>
      <c r="E1957" s="345"/>
      <c r="F1957" s="346"/>
    </row>
    <row r="1958" spans="1:6" ht="20.25">
      <c r="A1958" s="343"/>
      <c r="B1958" s="344"/>
      <c r="C1958" s="344"/>
      <c r="D1958" s="344"/>
      <c r="E1958" s="345"/>
      <c r="F1958" s="346"/>
    </row>
    <row r="1959" spans="1:6" ht="20.25">
      <c r="A1959" s="343"/>
      <c r="B1959" s="344"/>
      <c r="C1959" s="344"/>
      <c r="D1959" s="344"/>
      <c r="E1959" s="345"/>
      <c r="F1959" s="346"/>
    </row>
    <row r="1960" spans="1:6" ht="20.25">
      <c r="A1960" s="343"/>
      <c r="B1960" s="344"/>
      <c r="C1960" s="344"/>
      <c r="D1960" s="344"/>
      <c r="E1960" s="345"/>
      <c r="F1960" s="346"/>
    </row>
    <row r="1961" spans="1:6" ht="20.25">
      <c r="A1961" s="343"/>
      <c r="B1961" s="344"/>
      <c r="C1961" s="344"/>
      <c r="D1961" s="344"/>
      <c r="E1961" s="345"/>
      <c r="F1961" s="346"/>
    </row>
    <row r="1962" spans="1:6" ht="20.25">
      <c r="A1962" s="343"/>
      <c r="B1962" s="344"/>
      <c r="C1962" s="344"/>
      <c r="D1962" s="344"/>
      <c r="E1962" s="345"/>
      <c r="F1962" s="346"/>
    </row>
    <row r="1963" spans="1:6" ht="20.25">
      <c r="A1963" s="343"/>
      <c r="B1963" s="344"/>
      <c r="C1963" s="344"/>
      <c r="D1963" s="344"/>
      <c r="E1963" s="345"/>
      <c r="F1963" s="346"/>
    </row>
    <row r="1964" spans="1:6" ht="20.25">
      <c r="A1964" s="343"/>
      <c r="B1964" s="344"/>
      <c r="C1964" s="344"/>
      <c r="D1964" s="344"/>
      <c r="E1964" s="345"/>
      <c r="F1964" s="346"/>
    </row>
    <row r="1965" spans="1:6" ht="20.25">
      <c r="A1965" s="343"/>
      <c r="B1965" s="344"/>
      <c r="C1965" s="344"/>
      <c r="D1965" s="344"/>
      <c r="E1965" s="345"/>
      <c r="F1965" s="346"/>
    </row>
    <row r="1966" spans="1:6" ht="20.25">
      <c r="A1966" s="343"/>
      <c r="B1966" s="344"/>
      <c r="C1966" s="344"/>
      <c r="D1966" s="344"/>
      <c r="E1966" s="345"/>
      <c r="F1966" s="346"/>
    </row>
    <row r="1967" spans="1:6" ht="20.25">
      <c r="A1967" s="343"/>
      <c r="B1967" s="344"/>
      <c r="C1967" s="344"/>
      <c r="D1967" s="344"/>
      <c r="E1967" s="345"/>
      <c r="F1967" s="346"/>
    </row>
    <row r="1968" spans="1:6" ht="20.25">
      <c r="A1968" s="343"/>
      <c r="B1968" s="344"/>
      <c r="C1968" s="344"/>
      <c r="D1968" s="344"/>
      <c r="E1968" s="345"/>
      <c r="F1968" s="346"/>
    </row>
    <row r="1969" spans="1:6" ht="20.25">
      <c r="A1969" s="343"/>
      <c r="B1969" s="344"/>
      <c r="C1969" s="344"/>
      <c r="D1969" s="344"/>
      <c r="E1969" s="345"/>
      <c r="F1969" s="346"/>
    </row>
    <row r="1970" spans="1:6" ht="20.25">
      <c r="A1970" s="343"/>
      <c r="B1970" s="344"/>
      <c r="C1970" s="344"/>
      <c r="D1970" s="344"/>
      <c r="E1970" s="345"/>
      <c r="F1970" s="346"/>
    </row>
    <row r="1971" spans="1:6" ht="20.25">
      <c r="A1971" s="343"/>
      <c r="B1971" s="344"/>
      <c r="C1971" s="344"/>
      <c r="D1971" s="344"/>
      <c r="E1971" s="345"/>
      <c r="F1971" s="346"/>
    </row>
    <row r="1972" spans="1:6" ht="20.25">
      <c r="A1972" s="343"/>
      <c r="B1972" s="344"/>
      <c r="C1972" s="344"/>
      <c r="D1972" s="344"/>
      <c r="E1972" s="345"/>
      <c r="F1972" s="346"/>
    </row>
    <row r="1973" spans="1:6" ht="20.25">
      <c r="A1973" s="343"/>
      <c r="B1973" s="344"/>
      <c r="C1973" s="344"/>
      <c r="D1973" s="344"/>
      <c r="E1973" s="345"/>
      <c r="F1973" s="346"/>
    </row>
    <row r="1974" spans="1:6" ht="20.25">
      <c r="A1974" s="343"/>
      <c r="B1974" s="344"/>
      <c r="C1974" s="344"/>
      <c r="D1974" s="344"/>
      <c r="E1974" s="345"/>
      <c r="F1974" s="346"/>
    </row>
    <row r="1975" spans="1:6" ht="20.25">
      <c r="A1975" s="343"/>
      <c r="B1975" s="344"/>
      <c r="C1975" s="344"/>
      <c r="D1975" s="344"/>
      <c r="E1975" s="345"/>
      <c r="F1975" s="346"/>
    </row>
    <row r="1976" spans="1:6" ht="20.25">
      <c r="A1976" s="343"/>
      <c r="B1976" s="344"/>
      <c r="C1976" s="344"/>
      <c r="D1976" s="344"/>
      <c r="E1976" s="345"/>
      <c r="F1976" s="346"/>
    </row>
    <row r="1977" spans="1:6" ht="20.25">
      <c r="A1977" s="343"/>
      <c r="B1977" s="344"/>
      <c r="C1977" s="344"/>
      <c r="D1977" s="344"/>
      <c r="E1977" s="345"/>
      <c r="F1977" s="346"/>
    </row>
    <row r="1978" spans="1:6" ht="20.25">
      <c r="A1978" s="343"/>
      <c r="B1978" s="344"/>
      <c r="C1978" s="344"/>
      <c r="D1978" s="344"/>
      <c r="E1978" s="345"/>
      <c r="F1978" s="346"/>
    </row>
    <row r="1979" spans="1:6" ht="20.25">
      <c r="A1979" s="343"/>
      <c r="B1979" s="344"/>
      <c r="C1979" s="344"/>
      <c r="D1979" s="344"/>
      <c r="E1979" s="345"/>
      <c r="F1979" s="346"/>
    </row>
    <row r="1980" spans="1:6" ht="20.25">
      <c r="A1980" s="343"/>
      <c r="B1980" s="344"/>
      <c r="C1980" s="344"/>
      <c r="D1980" s="344"/>
      <c r="E1980" s="345"/>
      <c r="F1980" s="346"/>
    </row>
    <row r="1981" spans="1:6" ht="20.25">
      <c r="A1981" s="343"/>
      <c r="B1981" s="344"/>
      <c r="C1981" s="344"/>
      <c r="D1981" s="344"/>
      <c r="E1981" s="345"/>
      <c r="F1981" s="346"/>
    </row>
    <row r="1982" spans="1:6" ht="20.25">
      <c r="A1982" s="343"/>
      <c r="B1982" s="344"/>
      <c r="C1982" s="344"/>
      <c r="D1982" s="344"/>
      <c r="E1982" s="345"/>
      <c r="F1982" s="346"/>
    </row>
    <row r="1983" spans="1:6" ht="20.25">
      <c r="A1983" s="343"/>
      <c r="B1983" s="344"/>
      <c r="C1983" s="344"/>
      <c r="D1983" s="344"/>
      <c r="E1983" s="345"/>
      <c r="F1983" s="346"/>
    </row>
    <row r="1984" spans="1:6" ht="20.25">
      <c r="A1984" s="343"/>
      <c r="B1984" s="344"/>
      <c r="C1984" s="344"/>
      <c r="D1984" s="344"/>
      <c r="E1984" s="345"/>
      <c r="F1984" s="346"/>
    </row>
    <row r="1985" spans="1:6" ht="20.25">
      <c r="A1985" s="343"/>
      <c r="B1985" s="344"/>
      <c r="C1985" s="344"/>
      <c r="D1985" s="344"/>
      <c r="E1985" s="345"/>
      <c r="F1985" s="346"/>
    </row>
    <row r="1986" spans="1:6" ht="20.25">
      <c r="A1986" s="343"/>
      <c r="B1986" s="344"/>
      <c r="C1986" s="344"/>
      <c r="D1986" s="344"/>
      <c r="E1986" s="345"/>
      <c r="F1986" s="346"/>
    </row>
    <row r="1987" spans="1:6" ht="20.25">
      <c r="A1987" s="343"/>
      <c r="B1987" s="344"/>
      <c r="C1987" s="344"/>
      <c r="D1987" s="344"/>
      <c r="E1987" s="345"/>
      <c r="F1987" s="346"/>
    </row>
    <row r="1988" spans="1:6" ht="20.25">
      <c r="A1988" s="343"/>
      <c r="B1988" s="344"/>
      <c r="C1988" s="344"/>
      <c r="D1988" s="344"/>
      <c r="E1988" s="345"/>
      <c r="F1988" s="346"/>
    </row>
    <row r="1989" spans="1:6" ht="20.25">
      <c r="A1989" s="343"/>
      <c r="B1989" s="344"/>
      <c r="C1989" s="344"/>
      <c r="D1989" s="344"/>
      <c r="E1989" s="345"/>
      <c r="F1989" s="346"/>
    </row>
    <row r="1990" spans="1:6" ht="20.25">
      <c r="A1990" s="343"/>
      <c r="B1990" s="344"/>
      <c r="C1990" s="344"/>
      <c r="D1990" s="344"/>
      <c r="E1990" s="345"/>
      <c r="F1990" s="346"/>
    </row>
    <row r="1991" spans="1:6" ht="20.25">
      <c r="A1991" s="343"/>
      <c r="B1991" s="344"/>
      <c r="C1991" s="344"/>
      <c r="D1991" s="344"/>
      <c r="E1991" s="345"/>
      <c r="F1991" s="346"/>
    </row>
    <row r="1992" spans="1:6" ht="20.25">
      <c r="A1992" s="343"/>
      <c r="B1992" s="344"/>
      <c r="C1992" s="344"/>
      <c r="D1992" s="344"/>
      <c r="E1992" s="345"/>
      <c r="F1992" s="346"/>
    </row>
    <row r="1993" spans="1:6" ht="20.25">
      <c r="A1993" s="343"/>
      <c r="B1993" s="344"/>
      <c r="C1993" s="344"/>
      <c r="D1993" s="344"/>
      <c r="E1993" s="345"/>
      <c r="F1993" s="346"/>
    </row>
    <row r="1994" spans="1:6" ht="20.25">
      <c r="A1994" s="343"/>
      <c r="B1994" s="344"/>
      <c r="C1994" s="344"/>
      <c r="D1994" s="344"/>
      <c r="E1994" s="345"/>
      <c r="F1994" s="346"/>
    </row>
    <row r="1995" spans="1:6" ht="20.25">
      <c r="A1995" s="343"/>
      <c r="B1995" s="344"/>
      <c r="C1995" s="344"/>
      <c r="D1995" s="344"/>
      <c r="E1995" s="345"/>
      <c r="F1995" s="346"/>
    </row>
    <row r="1996" spans="1:6" ht="20.25">
      <c r="A1996" s="343"/>
      <c r="B1996" s="344"/>
      <c r="C1996" s="344"/>
      <c r="D1996" s="344"/>
      <c r="E1996" s="345"/>
      <c r="F1996" s="346"/>
    </row>
    <row r="1997" spans="1:6" ht="20.25">
      <c r="A1997" s="343"/>
      <c r="B1997" s="344"/>
      <c r="C1997" s="344"/>
      <c r="D1997" s="344"/>
      <c r="E1997" s="345"/>
      <c r="F1997" s="346"/>
    </row>
    <row r="1998" spans="1:6" ht="20.25">
      <c r="A1998" s="343"/>
      <c r="B1998" s="344"/>
      <c r="C1998" s="344"/>
      <c r="D1998" s="344"/>
      <c r="E1998" s="345"/>
      <c r="F1998" s="346"/>
    </row>
    <row r="1999" spans="1:6" ht="20.25">
      <c r="A1999" s="343"/>
      <c r="B1999" s="344"/>
      <c r="C1999" s="344"/>
      <c r="D1999" s="344"/>
      <c r="E1999" s="345"/>
      <c r="F1999" s="346"/>
    </row>
    <row r="2000" spans="1:6" ht="20.25">
      <c r="A2000" s="343"/>
      <c r="B2000" s="344"/>
      <c r="C2000" s="344"/>
      <c r="D2000" s="344"/>
      <c r="E2000" s="345"/>
      <c r="F2000" s="346"/>
    </row>
    <row r="2001" spans="1:6" ht="20.25">
      <c r="A2001" s="343"/>
      <c r="B2001" s="344"/>
      <c r="C2001" s="344"/>
      <c r="D2001" s="344"/>
      <c r="E2001" s="345"/>
      <c r="F2001" s="346"/>
    </row>
    <row r="2002" spans="1:6" ht="20.25">
      <c r="A2002" s="343"/>
      <c r="B2002" s="344"/>
      <c r="C2002" s="344"/>
      <c r="D2002" s="344"/>
      <c r="E2002" s="345"/>
      <c r="F2002" s="346"/>
    </row>
    <row r="2003" spans="1:6" ht="20.25">
      <c r="A2003" s="343"/>
      <c r="B2003" s="344"/>
      <c r="C2003" s="344"/>
      <c r="D2003" s="344"/>
      <c r="E2003" s="345"/>
      <c r="F2003" s="346"/>
    </row>
    <row r="2004" spans="1:6" ht="20.25">
      <c r="A2004" s="343"/>
      <c r="B2004" s="344"/>
      <c r="C2004" s="344"/>
      <c r="D2004" s="344"/>
      <c r="E2004" s="345"/>
      <c r="F2004" s="346"/>
    </row>
    <row r="2005" spans="1:6" ht="20.25">
      <c r="A2005" s="343"/>
      <c r="B2005" s="344"/>
      <c r="C2005" s="344"/>
      <c r="D2005" s="344"/>
      <c r="E2005" s="345"/>
      <c r="F2005" s="346"/>
    </row>
    <row r="2006" spans="1:6" ht="20.25">
      <c r="A2006" s="343"/>
      <c r="B2006" s="344"/>
      <c r="C2006" s="344"/>
      <c r="D2006" s="344"/>
      <c r="E2006" s="345"/>
      <c r="F2006" s="346"/>
    </row>
    <row r="2007" spans="1:6" ht="20.25">
      <c r="A2007" s="343"/>
      <c r="B2007" s="344"/>
      <c r="C2007" s="344"/>
      <c r="D2007" s="344"/>
      <c r="E2007" s="345"/>
      <c r="F2007" s="346"/>
    </row>
    <row r="2008" spans="1:6" ht="20.25">
      <c r="A2008" s="343"/>
      <c r="B2008" s="344"/>
      <c r="C2008" s="344"/>
      <c r="D2008" s="344"/>
      <c r="E2008" s="345"/>
      <c r="F2008" s="346"/>
    </row>
    <row r="2009" spans="1:6" ht="20.25">
      <c r="A2009" s="343"/>
      <c r="B2009" s="344"/>
      <c r="C2009" s="344"/>
      <c r="D2009" s="344"/>
      <c r="E2009" s="345"/>
      <c r="F2009" s="346"/>
    </row>
    <row r="2010" spans="1:6" ht="20.25">
      <c r="A2010" s="343"/>
      <c r="B2010" s="344"/>
      <c r="C2010" s="344"/>
      <c r="D2010" s="344"/>
      <c r="E2010" s="345"/>
      <c r="F2010" s="346"/>
    </row>
    <row r="2011" spans="1:6" ht="20.25">
      <c r="A2011" s="343"/>
      <c r="B2011" s="344"/>
      <c r="C2011" s="344"/>
      <c r="D2011" s="344"/>
      <c r="E2011" s="345"/>
      <c r="F2011" s="346"/>
    </row>
    <row r="2012" spans="1:6" ht="20.25">
      <c r="A2012" s="343"/>
      <c r="B2012" s="344"/>
      <c r="C2012" s="344"/>
      <c r="D2012" s="344"/>
      <c r="E2012" s="345"/>
      <c r="F2012" s="346"/>
    </row>
    <row r="2013" spans="1:6" ht="20.25">
      <c r="A2013" s="343"/>
      <c r="B2013" s="344"/>
      <c r="C2013" s="344"/>
      <c r="D2013" s="344"/>
      <c r="E2013" s="345"/>
      <c r="F2013" s="346"/>
    </row>
    <row r="2014" spans="1:6" ht="20.25">
      <c r="A2014" s="343"/>
      <c r="B2014" s="344"/>
      <c r="C2014" s="344"/>
      <c r="D2014" s="344"/>
      <c r="E2014" s="345"/>
      <c r="F2014" s="346"/>
    </row>
    <row r="2015" spans="1:6" ht="20.25">
      <c r="A2015" s="343"/>
      <c r="B2015" s="344"/>
      <c r="C2015" s="344"/>
      <c r="D2015" s="344"/>
      <c r="E2015" s="345"/>
      <c r="F2015" s="346"/>
    </row>
    <row r="2016" spans="1:6" ht="20.25">
      <c r="A2016" s="343"/>
      <c r="B2016" s="344"/>
      <c r="C2016" s="344"/>
      <c r="D2016" s="344"/>
      <c r="E2016" s="345"/>
      <c r="F2016" s="346"/>
    </row>
    <row r="2017" spans="1:6" ht="20.25">
      <c r="A2017" s="343"/>
      <c r="B2017" s="344"/>
      <c r="C2017" s="344"/>
      <c r="D2017" s="344"/>
      <c r="E2017" s="345"/>
      <c r="F2017" s="346"/>
    </row>
    <row r="2018" spans="1:6" ht="20.25">
      <c r="A2018" s="343"/>
      <c r="B2018" s="344"/>
      <c r="C2018" s="344"/>
      <c r="D2018" s="344"/>
      <c r="E2018" s="345"/>
      <c r="F2018" s="346"/>
    </row>
    <row r="2019" spans="1:6" ht="20.25">
      <c r="A2019" s="343"/>
      <c r="B2019" s="344"/>
      <c r="C2019" s="344"/>
      <c r="D2019" s="344"/>
      <c r="E2019" s="345"/>
      <c r="F2019" s="346"/>
    </row>
    <row r="2020" spans="1:6" ht="20.25">
      <c r="A2020" s="343"/>
      <c r="B2020" s="344"/>
      <c r="C2020" s="344"/>
      <c r="D2020" s="344"/>
      <c r="E2020" s="345"/>
      <c r="F2020" s="346"/>
    </row>
    <row r="2021" spans="1:6" ht="20.25">
      <c r="A2021" s="343"/>
      <c r="B2021" s="344"/>
      <c r="C2021" s="344"/>
      <c r="D2021" s="344"/>
      <c r="E2021" s="345"/>
      <c r="F2021" s="346"/>
    </row>
    <row r="2022" spans="1:6" ht="20.25">
      <c r="A2022" s="343"/>
      <c r="B2022" s="344"/>
      <c r="C2022" s="344"/>
      <c r="D2022" s="344"/>
      <c r="E2022" s="345"/>
      <c r="F2022" s="346"/>
    </row>
    <row r="2023" spans="1:6" ht="20.25">
      <c r="A2023" s="343"/>
      <c r="B2023" s="344"/>
      <c r="C2023" s="344"/>
      <c r="D2023" s="344"/>
      <c r="E2023" s="345"/>
      <c r="F2023" s="346"/>
    </row>
    <row r="2024" spans="1:6" ht="20.25">
      <c r="A2024" s="343"/>
      <c r="B2024" s="344"/>
      <c r="C2024" s="344"/>
      <c r="D2024" s="344"/>
      <c r="E2024" s="345"/>
      <c r="F2024" s="346"/>
    </row>
    <row r="2025" spans="1:6" ht="20.25">
      <c r="A2025" s="343"/>
      <c r="B2025" s="344"/>
      <c r="C2025" s="344"/>
      <c r="D2025" s="344"/>
      <c r="E2025" s="345"/>
      <c r="F2025" s="346"/>
    </row>
    <row r="2026" spans="1:6" ht="20.25">
      <c r="A2026" s="343"/>
      <c r="B2026" s="344"/>
      <c r="C2026" s="344"/>
      <c r="D2026" s="344"/>
      <c r="E2026" s="345"/>
      <c r="F2026" s="346"/>
    </row>
    <row r="2027" spans="1:6" ht="20.25">
      <c r="A2027" s="343"/>
      <c r="B2027" s="344"/>
      <c r="C2027" s="344"/>
      <c r="D2027" s="344"/>
      <c r="E2027" s="345"/>
      <c r="F2027" s="346"/>
    </row>
    <row r="2028" spans="1:6" ht="20.25">
      <c r="A2028" s="343"/>
      <c r="B2028" s="344"/>
      <c r="C2028" s="344"/>
      <c r="D2028" s="344"/>
      <c r="E2028" s="345"/>
      <c r="F2028" s="346"/>
    </row>
    <row r="2029" spans="1:6" ht="20.25">
      <c r="A2029" s="343"/>
      <c r="B2029" s="344"/>
      <c r="C2029" s="344"/>
      <c r="D2029" s="344"/>
      <c r="E2029" s="345"/>
      <c r="F2029" s="346"/>
    </row>
    <row r="2030" spans="1:6" ht="20.25">
      <c r="A2030" s="343"/>
      <c r="B2030" s="344"/>
      <c r="C2030" s="344"/>
      <c r="D2030" s="344"/>
      <c r="E2030" s="345"/>
      <c r="F2030" s="346"/>
    </row>
    <row r="2031" spans="1:6" ht="20.25">
      <c r="A2031" s="343"/>
      <c r="B2031" s="344"/>
      <c r="C2031" s="344"/>
      <c r="D2031" s="344"/>
      <c r="E2031" s="345"/>
      <c r="F2031" s="346"/>
    </row>
    <row r="2032" spans="1:6" ht="20.25">
      <c r="A2032" s="343"/>
      <c r="B2032" s="344"/>
      <c r="C2032" s="344"/>
      <c r="D2032" s="344"/>
      <c r="E2032" s="345"/>
      <c r="F2032" s="346"/>
    </row>
    <row r="2033" spans="1:6" ht="20.25">
      <c r="A2033" s="343"/>
      <c r="B2033" s="344"/>
      <c r="C2033" s="344"/>
      <c r="D2033" s="344"/>
      <c r="E2033" s="345"/>
      <c r="F2033" s="346"/>
    </row>
    <row r="2034" spans="1:6" ht="20.25">
      <c r="A2034" s="343"/>
      <c r="B2034" s="344"/>
      <c r="C2034" s="344"/>
      <c r="D2034" s="344"/>
      <c r="E2034" s="345"/>
      <c r="F2034" s="346"/>
    </row>
    <row r="2035" spans="1:6" ht="20.25">
      <c r="A2035" s="343"/>
      <c r="B2035" s="344"/>
      <c r="C2035" s="344"/>
      <c r="D2035" s="344"/>
      <c r="E2035" s="345"/>
      <c r="F2035" s="346"/>
    </row>
    <row r="2036" spans="1:6" ht="20.25">
      <c r="A2036" s="343"/>
      <c r="B2036" s="344"/>
      <c r="C2036" s="344"/>
      <c r="D2036" s="344"/>
      <c r="E2036" s="345"/>
      <c r="F2036" s="346"/>
    </row>
    <row r="2037" spans="1:6" ht="20.25">
      <c r="A2037" s="343"/>
      <c r="B2037" s="344"/>
      <c r="C2037" s="344"/>
      <c r="D2037" s="344"/>
      <c r="E2037" s="345"/>
      <c r="F2037" s="346"/>
    </row>
    <row r="2038" spans="1:6" ht="20.25">
      <c r="A2038" s="343"/>
      <c r="B2038" s="344"/>
      <c r="C2038" s="344"/>
      <c r="D2038" s="344"/>
      <c r="E2038" s="345"/>
      <c r="F2038" s="346"/>
    </row>
    <row r="2039" spans="1:6" ht="20.25">
      <c r="A2039" s="343"/>
      <c r="B2039" s="344"/>
      <c r="C2039" s="344"/>
      <c r="D2039" s="344"/>
      <c r="E2039" s="345"/>
      <c r="F2039" s="346"/>
    </row>
    <row r="2040" spans="1:6" ht="20.25">
      <c r="A2040" s="343"/>
      <c r="B2040" s="344"/>
      <c r="C2040" s="344"/>
      <c r="D2040" s="344"/>
      <c r="E2040" s="345"/>
      <c r="F2040" s="346"/>
    </row>
    <row r="2041" spans="1:6" ht="20.25">
      <c r="A2041" s="343"/>
      <c r="B2041" s="344"/>
      <c r="C2041" s="344"/>
      <c r="D2041" s="344"/>
      <c r="E2041" s="345"/>
      <c r="F2041" s="346"/>
    </row>
    <row r="2042" spans="1:6" ht="20.25">
      <c r="A2042" s="343"/>
      <c r="B2042" s="344"/>
      <c r="C2042" s="344"/>
      <c r="D2042" s="344"/>
      <c r="E2042" s="345"/>
      <c r="F2042" s="346"/>
    </row>
    <row r="2043" spans="1:6" ht="20.25">
      <c r="A2043" s="343"/>
      <c r="B2043" s="344"/>
      <c r="C2043" s="344"/>
      <c r="D2043" s="344"/>
      <c r="E2043" s="345"/>
      <c r="F2043" s="346"/>
    </row>
    <row r="2044" spans="1:6" ht="20.25">
      <c r="A2044" s="343"/>
      <c r="B2044" s="344"/>
      <c r="C2044" s="344"/>
      <c r="D2044" s="344"/>
      <c r="E2044" s="345"/>
      <c r="F2044" s="346"/>
    </row>
    <row r="2045" spans="1:6" ht="20.25">
      <c r="A2045" s="343"/>
      <c r="B2045" s="344"/>
      <c r="C2045" s="344"/>
      <c r="D2045" s="344"/>
      <c r="E2045" s="345"/>
      <c r="F2045" s="346"/>
    </row>
    <row r="2046" spans="1:6" ht="20.25">
      <c r="A2046" s="343"/>
      <c r="B2046" s="344"/>
      <c r="C2046" s="344"/>
      <c r="D2046" s="344"/>
      <c r="E2046" s="345"/>
      <c r="F2046" s="346"/>
    </row>
    <row r="2047" spans="1:6" ht="20.25">
      <c r="A2047" s="343"/>
      <c r="B2047" s="344"/>
      <c r="C2047" s="344"/>
      <c r="D2047" s="344"/>
      <c r="E2047" s="345"/>
      <c r="F2047" s="346"/>
    </row>
    <row r="2048" spans="1:6" ht="20.25">
      <c r="A2048" s="343"/>
      <c r="B2048" s="344"/>
      <c r="C2048" s="344"/>
      <c r="D2048" s="344"/>
      <c r="E2048" s="345"/>
      <c r="F2048" s="346"/>
    </row>
    <row r="2049" spans="1:6" ht="20.25">
      <c r="A2049" s="343"/>
      <c r="B2049" s="344"/>
      <c r="C2049" s="344"/>
      <c r="D2049" s="344"/>
      <c r="E2049" s="345"/>
      <c r="F2049" s="346"/>
    </row>
    <row r="2050" spans="1:6" ht="20.25">
      <c r="A2050" s="343"/>
      <c r="B2050" s="344"/>
      <c r="C2050" s="344"/>
      <c r="D2050" s="344"/>
      <c r="E2050" s="345"/>
      <c r="F2050" s="346"/>
    </row>
    <row r="2051" spans="1:6" ht="20.25">
      <c r="A2051" s="343"/>
      <c r="B2051" s="344"/>
      <c r="C2051" s="344"/>
      <c r="D2051" s="344"/>
      <c r="E2051" s="345"/>
      <c r="F2051" s="346"/>
    </row>
    <row r="2052" spans="1:6" ht="20.25">
      <c r="A2052" s="343"/>
      <c r="B2052" s="344"/>
      <c r="C2052" s="344"/>
      <c r="D2052" s="344"/>
      <c r="E2052" s="345"/>
      <c r="F2052" s="346"/>
    </row>
    <row r="2053" spans="1:6" ht="20.25">
      <c r="A2053" s="343"/>
      <c r="B2053" s="344"/>
      <c r="C2053" s="344"/>
      <c r="D2053" s="344"/>
      <c r="E2053" s="345"/>
      <c r="F2053" s="346"/>
    </row>
    <row r="2054" spans="1:6" ht="20.25">
      <c r="A2054" s="343"/>
      <c r="B2054" s="344"/>
      <c r="C2054" s="344"/>
      <c r="D2054" s="344"/>
      <c r="E2054" s="345"/>
      <c r="F2054" s="346"/>
    </row>
    <row r="2055" spans="1:6" ht="20.25">
      <c r="A2055" s="343"/>
      <c r="B2055" s="344"/>
      <c r="C2055" s="344"/>
      <c r="D2055" s="344"/>
      <c r="E2055" s="345"/>
      <c r="F2055" s="346"/>
    </row>
    <row r="2056" spans="1:6" ht="20.25">
      <c r="A2056" s="343"/>
      <c r="B2056" s="344"/>
      <c r="C2056" s="344"/>
      <c r="D2056" s="344"/>
      <c r="E2056" s="345"/>
      <c r="F2056" s="346"/>
    </row>
    <row r="2057" spans="1:6" ht="20.25">
      <c r="A2057" s="343"/>
      <c r="B2057" s="344"/>
      <c r="C2057" s="344"/>
      <c r="D2057" s="344"/>
      <c r="E2057" s="345"/>
      <c r="F2057" s="346"/>
    </row>
    <row r="2058" spans="1:6" ht="20.25">
      <c r="A2058" s="343"/>
      <c r="B2058" s="344"/>
      <c r="C2058" s="344"/>
      <c r="D2058" s="344"/>
      <c r="E2058" s="345"/>
      <c r="F2058" s="346"/>
    </row>
    <row r="2059" spans="1:6" ht="20.25">
      <c r="A2059" s="343"/>
      <c r="B2059" s="344"/>
      <c r="C2059" s="344"/>
      <c r="D2059" s="344"/>
      <c r="E2059" s="345"/>
      <c r="F2059" s="346"/>
    </row>
    <row r="2060" spans="1:6" ht="20.25">
      <c r="A2060" s="343"/>
      <c r="B2060" s="344"/>
      <c r="C2060" s="344"/>
      <c r="D2060" s="344"/>
      <c r="E2060" s="345"/>
      <c r="F2060" s="346"/>
    </row>
    <row r="2061" spans="1:6" ht="20.25">
      <c r="A2061" s="343"/>
      <c r="B2061" s="344"/>
      <c r="C2061" s="344"/>
      <c r="D2061" s="344"/>
      <c r="E2061" s="345"/>
      <c r="F2061" s="346"/>
    </row>
    <row r="2062" spans="1:6" ht="20.25">
      <c r="A2062" s="343"/>
      <c r="B2062" s="344"/>
      <c r="C2062" s="344"/>
      <c r="D2062" s="344"/>
      <c r="E2062" s="345"/>
      <c r="F2062" s="346"/>
    </row>
    <row r="2063" spans="1:6" ht="20.25">
      <c r="A2063" s="343"/>
      <c r="B2063" s="344"/>
      <c r="C2063" s="344"/>
      <c r="D2063" s="344"/>
      <c r="E2063" s="345"/>
      <c r="F2063" s="346"/>
    </row>
    <row r="2064" spans="1:6" ht="20.25">
      <c r="A2064" s="343"/>
      <c r="B2064" s="344"/>
      <c r="C2064" s="344"/>
      <c r="D2064" s="344"/>
      <c r="E2064" s="345"/>
      <c r="F2064" s="346"/>
    </row>
    <row r="2065" spans="1:6" ht="20.25">
      <c r="A2065" s="343"/>
      <c r="B2065" s="344"/>
      <c r="C2065" s="344"/>
      <c r="D2065" s="344"/>
      <c r="E2065" s="345"/>
      <c r="F2065" s="346"/>
    </row>
    <row r="2066" spans="1:6" ht="20.25">
      <c r="A2066" s="343"/>
      <c r="B2066" s="344"/>
      <c r="C2066" s="344"/>
      <c r="D2066" s="344"/>
      <c r="E2066" s="345"/>
      <c r="F2066" s="346"/>
    </row>
    <row r="2067" spans="1:6" ht="20.25">
      <c r="A2067" s="343"/>
      <c r="B2067" s="344"/>
      <c r="C2067" s="344"/>
      <c r="D2067" s="344"/>
      <c r="E2067" s="345"/>
      <c r="F2067" s="346"/>
    </row>
    <row r="2068" spans="1:6" ht="20.25">
      <c r="A2068" s="343"/>
      <c r="B2068" s="344"/>
      <c r="C2068" s="344"/>
      <c r="D2068" s="344"/>
      <c r="E2068" s="345"/>
      <c r="F2068" s="346"/>
    </row>
    <row r="2069" spans="1:6" ht="20.25">
      <c r="A2069" s="343"/>
      <c r="B2069" s="344"/>
      <c r="C2069" s="344"/>
      <c r="D2069" s="344"/>
      <c r="E2069" s="345"/>
      <c r="F2069" s="346"/>
    </row>
    <row r="2070" spans="1:6" ht="20.25">
      <c r="A2070" s="343"/>
      <c r="B2070" s="344"/>
      <c r="C2070" s="344"/>
      <c r="D2070" s="344"/>
      <c r="E2070" s="345"/>
      <c r="F2070" s="346"/>
    </row>
    <row r="2071" spans="1:6" ht="20.25">
      <c r="A2071" s="343"/>
      <c r="B2071" s="344"/>
      <c r="C2071" s="344"/>
      <c r="D2071" s="344"/>
      <c r="E2071" s="345"/>
      <c r="F2071" s="346"/>
    </row>
    <row r="2072" spans="1:6" ht="20.25">
      <c r="A2072" s="343"/>
      <c r="B2072" s="344"/>
      <c r="C2072" s="344"/>
      <c r="D2072" s="344"/>
      <c r="E2072" s="345"/>
      <c r="F2072" s="346"/>
    </row>
    <row r="2073" spans="1:6" ht="20.25">
      <c r="A2073" s="343"/>
      <c r="B2073" s="344"/>
      <c r="C2073" s="344"/>
      <c r="D2073" s="344"/>
      <c r="E2073" s="345"/>
      <c r="F2073" s="346"/>
    </row>
    <row r="2074" spans="1:6" ht="20.25">
      <c r="A2074" s="343"/>
      <c r="B2074" s="344"/>
      <c r="C2074" s="344"/>
      <c r="D2074" s="344"/>
      <c r="E2074" s="345"/>
      <c r="F2074" s="346"/>
    </row>
    <row r="2075" spans="1:6" ht="20.25">
      <c r="A2075" s="343"/>
      <c r="B2075" s="344"/>
      <c r="C2075" s="344"/>
      <c r="D2075" s="344"/>
      <c r="E2075" s="345"/>
      <c r="F2075" s="346"/>
    </row>
    <row r="2076" spans="1:6" ht="20.25">
      <c r="A2076" s="343"/>
      <c r="B2076" s="344"/>
      <c r="C2076" s="344"/>
      <c r="D2076" s="344"/>
      <c r="E2076" s="345"/>
      <c r="F2076" s="346"/>
    </row>
    <row r="2077" spans="1:6" ht="20.25">
      <c r="A2077" s="343"/>
      <c r="B2077" s="344"/>
      <c r="C2077" s="344"/>
      <c r="D2077" s="344"/>
      <c r="E2077" s="345"/>
      <c r="F2077" s="346"/>
    </row>
    <row r="2078" spans="1:6" ht="20.25">
      <c r="A2078" s="343"/>
      <c r="B2078" s="344"/>
      <c r="C2078" s="344"/>
      <c r="D2078" s="344"/>
      <c r="E2078" s="345"/>
      <c r="F2078" s="346"/>
    </row>
    <row r="2079" spans="1:6" ht="20.25">
      <c r="A2079" s="343"/>
      <c r="B2079" s="344"/>
      <c r="C2079" s="344"/>
      <c r="D2079" s="344"/>
      <c r="E2079" s="345"/>
      <c r="F2079" s="346"/>
    </row>
    <row r="2080" spans="1:6" ht="20.25">
      <c r="A2080" s="343"/>
      <c r="B2080" s="344"/>
      <c r="C2080" s="344"/>
      <c r="D2080" s="344"/>
      <c r="E2080" s="345"/>
      <c r="F2080" s="346"/>
    </row>
    <row r="2081" spans="1:6" ht="20.25">
      <c r="A2081" s="343"/>
      <c r="B2081" s="344"/>
      <c r="C2081" s="344"/>
      <c r="D2081" s="344"/>
      <c r="E2081" s="345"/>
      <c r="F2081" s="346"/>
    </row>
    <row r="2082" spans="1:6" ht="20.25">
      <c r="A2082" s="343"/>
      <c r="B2082" s="344"/>
      <c r="C2082" s="344"/>
      <c r="D2082" s="344"/>
      <c r="E2082" s="345"/>
      <c r="F2082" s="346"/>
    </row>
    <row r="2083" spans="1:6" ht="20.25">
      <c r="A2083" s="343"/>
      <c r="B2083" s="344"/>
      <c r="C2083" s="344"/>
      <c r="D2083" s="344"/>
      <c r="E2083" s="345"/>
      <c r="F2083" s="346"/>
    </row>
    <row r="2084" spans="1:6" ht="20.25">
      <c r="A2084" s="343"/>
      <c r="B2084" s="344"/>
      <c r="C2084" s="344"/>
      <c r="D2084" s="344"/>
      <c r="E2084" s="345"/>
      <c r="F2084" s="346"/>
    </row>
    <row r="2085" spans="1:6" ht="20.25">
      <c r="A2085" s="343"/>
      <c r="B2085" s="344"/>
      <c r="C2085" s="344"/>
      <c r="D2085" s="344"/>
      <c r="E2085" s="345"/>
      <c r="F2085" s="346"/>
    </row>
    <row r="2086" spans="1:6" ht="20.25">
      <c r="A2086" s="343"/>
      <c r="B2086" s="344"/>
      <c r="C2086" s="344"/>
      <c r="D2086" s="344"/>
      <c r="E2086" s="345"/>
      <c r="F2086" s="346"/>
    </row>
    <row r="2087" spans="1:6" ht="20.25">
      <c r="A2087" s="343"/>
      <c r="B2087" s="344"/>
      <c r="C2087" s="344"/>
      <c r="D2087" s="344"/>
      <c r="E2087" s="345"/>
      <c r="F2087" s="346"/>
    </row>
    <row r="2088" spans="1:6" ht="20.25">
      <c r="A2088" s="343"/>
      <c r="B2088" s="344"/>
      <c r="C2088" s="344"/>
      <c r="D2088" s="344"/>
      <c r="E2088" s="345"/>
      <c r="F2088" s="346"/>
    </row>
    <row r="2089" spans="1:6" ht="20.25">
      <c r="A2089" s="343"/>
      <c r="B2089" s="344"/>
      <c r="C2089" s="344"/>
      <c r="D2089" s="344"/>
      <c r="E2089" s="345"/>
      <c r="F2089" s="346"/>
    </row>
    <row r="2090" spans="1:6" ht="20.25">
      <c r="A2090" s="343"/>
      <c r="B2090" s="344"/>
      <c r="C2090" s="344"/>
      <c r="D2090" s="344"/>
      <c r="E2090" s="345"/>
      <c r="F2090" s="346"/>
    </row>
    <row r="2091" spans="1:6" ht="20.25">
      <c r="A2091" s="343"/>
      <c r="B2091" s="344"/>
      <c r="C2091" s="344"/>
      <c r="D2091" s="344"/>
      <c r="E2091" s="345"/>
      <c r="F2091" s="346"/>
    </row>
    <row r="2092" spans="1:6" ht="20.25">
      <c r="A2092" s="343"/>
      <c r="B2092" s="344"/>
      <c r="C2092" s="344"/>
      <c r="D2092" s="344"/>
      <c r="E2092" s="345"/>
      <c r="F2092" s="346"/>
    </row>
    <row r="2093" spans="1:6" ht="20.25">
      <c r="A2093" s="343"/>
      <c r="B2093" s="344"/>
      <c r="C2093" s="344"/>
      <c r="D2093" s="344"/>
      <c r="E2093" s="345"/>
      <c r="F2093" s="346"/>
    </row>
    <row r="2094" spans="1:6" ht="20.25">
      <c r="A2094" s="343"/>
      <c r="B2094" s="344"/>
      <c r="C2094" s="344"/>
      <c r="D2094" s="344"/>
      <c r="E2094" s="345"/>
      <c r="F2094" s="346"/>
    </row>
    <row r="2095" spans="1:6" ht="20.25">
      <c r="A2095" s="343"/>
      <c r="B2095" s="344"/>
      <c r="C2095" s="344"/>
      <c r="D2095" s="344"/>
      <c r="E2095" s="345"/>
      <c r="F2095" s="346"/>
    </row>
    <row r="2096" spans="1:6" ht="20.25">
      <c r="A2096" s="343"/>
      <c r="B2096" s="344"/>
      <c r="C2096" s="344"/>
      <c r="D2096" s="344"/>
      <c r="E2096" s="345"/>
      <c r="F2096" s="346"/>
    </row>
    <row r="2097" spans="1:6" ht="20.25">
      <c r="A2097" s="343"/>
      <c r="B2097" s="344"/>
      <c r="C2097" s="344"/>
      <c r="D2097" s="344"/>
      <c r="E2097" s="345"/>
      <c r="F2097" s="346"/>
    </row>
    <row r="2098" spans="1:6" ht="20.25">
      <c r="A2098" s="343"/>
      <c r="B2098" s="344"/>
      <c r="C2098" s="344"/>
      <c r="D2098" s="344"/>
      <c r="E2098" s="345"/>
      <c r="F2098" s="346"/>
    </row>
    <row r="2099" spans="1:6" ht="20.25">
      <c r="A2099" s="343"/>
      <c r="B2099" s="344"/>
      <c r="C2099" s="344"/>
      <c r="D2099" s="344"/>
      <c r="E2099" s="345"/>
      <c r="F2099" s="346"/>
    </row>
    <row r="2100" spans="1:6" ht="20.25">
      <c r="A2100" s="343"/>
      <c r="B2100" s="344"/>
      <c r="C2100" s="344"/>
      <c r="D2100" s="344"/>
      <c r="E2100" s="345"/>
      <c r="F2100" s="346"/>
    </row>
    <row r="2101" spans="1:6" ht="20.25">
      <c r="A2101" s="343"/>
      <c r="B2101" s="344"/>
      <c r="C2101" s="344"/>
      <c r="D2101" s="344"/>
      <c r="E2101" s="345"/>
      <c r="F2101" s="346"/>
    </row>
    <row r="2102" spans="1:6" ht="20.25">
      <c r="A2102" s="343"/>
      <c r="B2102" s="344"/>
      <c r="C2102" s="344"/>
      <c r="D2102" s="344"/>
      <c r="E2102" s="345"/>
      <c r="F2102" s="346"/>
    </row>
    <row r="2103" spans="1:6" ht="20.25">
      <c r="A2103" s="343"/>
      <c r="B2103" s="344"/>
      <c r="C2103" s="344"/>
      <c r="D2103" s="344"/>
      <c r="E2103" s="345"/>
      <c r="F2103" s="346"/>
    </row>
    <row r="2104" spans="1:6" ht="20.25">
      <c r="A2104" s="343"/>
      <c r="B2104" s="344"/>
      <c r="C2104" s="344"/>
      <c r="D2104" s="344"/>
      <c r="E2104" s="345"/>
      <c r="F2104" s="346"/>
    </row>
    <row r="2105" spans="1:6" ht="20.25">
      <c r="A2105" s="343"/>
      <c r="B2105" s="344"/>
      <c r="C2105" s="344"/>
      <c r="D2105" s="344"/>
      <c r="E2105" s="345"/>
      <c r="F2105" s="346"/>
    </row>
    <row r="2106" spans="1:6" ht="20.25">
      <c r="A2106" s="343"/>
      <c r="B2106" s="344"/>
      <c r="C2106" s="344"/>
      <c r="D2106" s="344"/>
      <c r="E2106" s="345"/>
      <c r="F2106" s="346"/>
    </row>
    <row r="2107" spans="1:6" ht="20.25">
      <c r="A2107" s="343"/>
      <c r="B2107" s="344"/>
      <c r="C2107" s="344"/>
      <c r="D2107" s="344"/>
      <c r="E2107" s="345"/>
      <c r="F2107" s="346"/>
    </row>
    <row r="2108" spans="1:6" ht="20.25">
      <c r="A2108" s="343"/>
      <c r="B2108" s="344"/>
      <c r="C2108" s="344"/>
      <c r="D2108" s="344"/>
      <c r="E2108" s="345"/>
      <c r="F2108" s="346"/>
    </row>
    <row r="2109" spans="1:6" ht="20.25">
      <c r="A2109" s="343"/>
      <c r="B2109" s="344"/>
      <c r="C2109" s="344"/>
      <c r="D2109" s="344"/>
      <c r="E2109" s="345"/>
      <c r="F2109" s="346"/>
    </row>
    <row r="2110" spans="1:6" ht="20.25">
      <c r="A2110" s="343"/>
      <c r="B2110" s="344"/>
      <c r="C2110" s="344"/>
      <c r="D2110" s="344"/>
      <c r="E2110" s="345"/>
      <c r="F2110" s="346"/>
    </row>
    <row r="2111" spans="1:6" ht="20.25">
      <c r="A2111" s="343"/>
      <c r="B2111" s="344"/>
      <c r="C2111" s="344"/>
      <c r="D2111" s="344"/>
      <c r="E2111" s="345"/>
      <c r="F2111" s="346"/>
    </row>
    <row r="2112" spans="1:6" ht="20.25">
      <c r="A2112" s="343"/>
      <c r="B2112" s="344"/>
      <c r="C2112" s="344"/>
      <c r="D2112" s="344"/>
      <c r="E2112" s="345"/>
      <c r="F2112" s="346"/>
    </row>
    <row r="2113" spans="1:6" ht="20.25">
      <c r="A2113" s="343"/>
      <c r="B2113" s="344"/>
      <c r="C2113" s="344"/>
      <c r="D2113" s="344"/>
      <c r="E2113" s="345"/>
      <c r="F2113" s="346"/>
    </row>
    <row r="2114" spans="1:6" ht="20.25">
      <c r="A2114" s="343"/>
      <c r="B2114" s="344"/>
      <c r="C2114" s="344"/>
      <c r="D2114" s="344"/>
      <c r="E2114" s="345"/>
      <c r="F2114" s="346"/>
    </row>
    <row r="2115" spans="1:6" ht="20.25">
      <c r="A2115" s="343"/>
      <c r="B2115" s="344"/>
      <c r="C2115" s="344"/>
      <c r="D2115" s="344"/>
      <c r="E2115" s="345"/>
      <c r="F2115" s="346"/>
    </row>
    <row r="2116" spans="1:6" ht="20.25">
      <c r="A2116" s="343"/>
      <c r="B2116" s="344"/>
      <c r="C2116" s="344"/>
      <c r="D2116" s="344"/>
      <c r="E2116" s="345"/>
      <c r="F2116" s="346"/>
    </row>
    <row r="2117" spans="1:6" ht="20.25">
      <c r="A2117" s="343"/>
      <c r="B2117" s="344"/>
      <c r="C2117" s="344"/>
      <c r="D2117" s="344"/>
      <c r="E2117" s="345"/>
      <c r="F2117" s="346"/>
    </row>
    <row r="2118" spans="1:6" ht="20.25">
      <c r="A2118" s="343"/>
      <c r="B2118" s="344"/>
      <c r="C2118" s="344"/>
      <c r="D2118" s="344"/>
      <c r="E2118" s="345"/>
      <c r="F2118" s="346"/>
    </row>
    <row r="2119" spans="1:6" ht="20.25">
      <c r="A2119" s="343"/>
      <c r="B2119" s="344"/>
      <c r="C2119" s="344"/>
      <c r="D2119" s="344"/>
      <c r="E2119" s="345"/>
      <c r="F2119" s="346"/>
    </row>
    <row r="2120" spans="1:6" ht="20.25">
      <c r="A2120" s="343"/>
      <c r="B2120" s="344"/>
      <c r="C2120" s="344"/>
      <c r="D2120" s="344"/>
      <c r="E2120" s="345"/>
      <c r="F2120" s="346"/>
    </row>
    <row r="2121" spans="1:6" ht="20.25">
      <c r="A2121" s="343"/>
      <c r="B2121" s="344"/>
      <c r="C2121" s="344"/>
      <c r="D2121" s="344"/>
      <c r="E2121" s="345"/>
      <c r="F2121" s="346"/>
    </row>
    <row r="2122" spans="1:6" ht="20.25">
      <c r="A2122" s="343"/>
      <c r="B2122" s="344"/>
      <c r="C2122" s="344"/>
      <c r="D2122" s="344"/>
      <c r="E2122" s="345"/>
      <c r="F2122" s="346"/>
    </row>
    <row r="2123" spans="1:6" ht="20.25">
      <c r="A2123" s="343"/>
      <c r="B2123" s="344"/>
      <c r="C2123" s="344"/>
      <c r="D2123" s="344"/>
      <c r="E2123" s="345"/>
      <c r="F2123" s="346"/>
    </row>
    <row r="2124" spans="1:6" ht="20.25">
      <c r="A2124" s="343"/>
      <c r="B2124" s="344"/>
      <c r="C2124" s="344"/>
      <c r="D2124" s="344"/>
      <c r="E2124" s="345"/>
      <c r="F2124" s="346"/>
    </row>
    <row r="2125" spans="1:6" ht="20.25">
      <c r="A2125" s="343"/>
      <c r="B2125" s="344"/>
      <c r="C2125" s="344"/>
      <c r="D2125" s="344"/>
      <c r="E2125" s="345"/>
      <c r="F2125" s="346"/>
    </row>
    <row r="2126" spans="1:6" ht="20.25">
      <c r="A2126" s="343"/>
      <c r="B2126" s="344"/>
      <c r="C2126" s="344"/>
      <c r="D2126" s="344"/>
      <c r="E2126" s="345"/>
      <c r="F2126" s="346"/>
    </row>
    <row r="2127" spans="1:6" ht="20.25">
      <c r="A2127" s="343"/>
      <c r="B2127" s="344"/>
      <c r="C2127" s="344"/>
      <c r="D2127" s="344"/>
      <c r="E2127" s="345"/>
      <c r="F2127" s="346"/>
    </row>
    <row r="2128" spans="1:6" ht="20.25">
      <c r="A2128" s="343"/>
      <c r="B2128" s="344"/>
      <c r="C2128" s="344"/>
      <c r="D2128" s="344"/>
      <c r="E2128" s="345"/>
      <c r="F2128" s="346"/>
    </row>
    <row r="2129" spans="1:6" ht="20.25">
      <c r="A2129" s="343"/>
      <c r="B2129" s="344"/>
      <c r="C2129" s="344"/>
      <c r="D2129" s="344"/>
      <c r="E2129" s="345"/>
      <c r="F2129" s="346"/>
    </row>
    <row r="2130" spans="1:6" ht="20.25">
      <c r="A2130" s="343"/>
      <c r="B2130" s="344"/>
      <c r="C2130" s="344"/>
      <c r="D2130" s="344"/>
      <c r="E2130" s="345"/>
      <c r="F2130" s="346"/>
    </row>
    <row r="2131" spans="1:6" ht="20.25">
      <c r="A2131" s="343"/>
      <c r="B2131" s="344"/>
      <c r="C2131" s="344"/>
      <c r="D2131" s="344"/>
      <c r="E2131" s="345"/>
      <c r="F2131" s="346"/>
    </row>
    <row r="2132" spans="1:6" ht="20.25">
      <c r="A2132" s="343"/>
      <c r="B2132" s="344"/>
      <c r="C2132" s="344"/>
      <c r="D2132" s="344"/>
      <c r="E2132" s="345"/>
      <c r="F2132" s="346"/>
    </row>
    <row r="2133" spans="1:6" ht="20.25">
      <c r="A2133" s="343"/>
      <c r="B2133" s="344"/>
      <c r="C2133" s="344"/>
      <c r="D2133" s="344"/>
      <c r="E2133" s="345"/>
      <c r="F2133" s="346"/>
    </row>
    <row r="2134" spans="1:6" ht="20.25">
      <c r="A2134" s="343"/>
      <c r="B2134" s="344"/>
      <c r="C2134" s="344"/>
      <c r="D2134" s="344"/>
      <c r="E2134" s="345"/>
      <c r="F2134" s="346"/>
    </row>
    <row r="2135" spans="1:6" ht="20.25">
      <c r="A2135" s="343"/>
      <c r="B2135" s="344"/>
      <c r="C2135" s="344"/>
      <c r="D2135" s="344"/>
      <c r="E2135" s="345"/>
      <c r="F2135" s="346"/>
    </row>
    <row r="2136" spans="1:6" ht="20.25">
      <c r="A2136" s="343"/>
      <c r="B2136" s="344"/>
      <c r="C2136" s="344"/>
      <c r="D2136" s="344"/>
      <c r="E2136" s="345"/>
      <c r="F2136" s="346"/>
    </row>
    <row r="2137" spans="1:6" ht="20.25">
      <c r="A2137" s="343"/>
      <c r="B2137" s="344"/>
      <c r="C2137" s="344"/>
      <c r="D2137" s="344"/>
      <c r="E2137" s="345"/>
      <c r="F2137" s="346"/>
    </row>
    <row r="2138" spans="1:6" ht="20.25">
      <c r="A2138" s="343"/>
      <c r="B2138" s="344"/>
      <c r="C2138" s="344"/>
      <c r="D2138" s="344"/>
      <c r="E2138" s="345"/>
      <c r="F2138" s="346"/>
    </row>
    <row r="2139" spans="1:6" ht="20.25">
      <c r="A2139" s="343"/>
      <c r="B2139" s="344"/>
      <c r="C2139" s="344"/>
      <c r="D2139" s="344"/>
      <c r="E2139" s="345"/>
      <c r="F2139" s="346"/>
    </row>
    <row r="2140" spans="1:6" ht="20.25">
      <c r="A2140" s="343"/>
      <c r="B2140" s="344"/>
      <c r="C2140" s="344"/>
      <c r="D2140" s="344"/>
      <c r="E2140" s="345"/>
      <c r="F2140" s="346"/>
    </row>
    <row r="2141" spans="1:6" ht="20.25">
      <c r="A2141" s="343"/>
      <c r="B2141" s="344"/>
      <c r="C2141" s="344"/>
      <c r="D2141" s="344"/>
      <c r="E2141" s="345"/>
      <c r="F2141" s="346"/>
    </row>
    <row r="2142" spans="1:6" ht="20.25">
      <c r="A2142" s="343"/>
      <c r="B2142" s="344"/>
      <c r="C2142" s="344"/>
      <c r="D2142" s="344"/>
      <c r="E2142" s="345"/>
      <c r="F2142" s="346"/>
    </row>
    <row r="2143" spans="1:6" ht="20.25">
      <c r="A2143" s="343"/>
      <c r="B2143" s="344"/>
      <c r="C2143" s="344"/>
      <c r="D2143" s="344"/>
      <c r="E2143" s="345"/>
      <c r="F2143" s="346"/>
    </row>
    <row r="2144" spans="1:6" ht="20.25">
      <c r="A2144" s="343"/>
      <c r="B2144" s="344"/>
      <c r="C2144" s="344"/>
      <c r="D2144" s="344"/>
      <c r="E2144" s="345"/>
      <c r="F2144" s="346"/>
    </row>
    <row r="2145" spans="1:6" ht="20.25">
      <c r="A2145" s="343"/>
      <c r="B2145" s="344"/>
      <c r="C2145" s="344"/>
      <c r="D2145" s="344"/>
      <c r="E2145" s="345"/>
      <c r="F2145" s="346"/>
    </row>
    <row r="2146" spans="1:6" ht="20.25">
      <c r="A2146" s="343"/>
      <c r="B2146" s="344"/>
      <c r="C2146" s="344"/>
      <c r="D2146" s="344"/>
      <c r="E2146" s="345"/>
      <c r="F2146" s="346"/>
    </row>
    <row r="2147" spans="1:6" ht="20.25">
      <c r="A2147" s="343"/>
      <c r="B2147" s="344"/>
      <c r="C2147" s="344"/>
      <c r="D2147" s="344"/>
      <c r="E2147" s="345"/>
      <c r="F2147" s="346"/>
    </row>
    <row r="2148" spans="1:6" ht="20.25">
      <c r="A2148" s="343"/>
      <c r="B2148" s="344"/>
      <c r="C2148" s="344"/>
      <c r="D2148" s="344"/>
      <c r="E2148" s="345"/>
      <c r="F2148" s="346"/>
    </row>
    <row r="2149" spans="1:6" ht="20.25">
      <c r="A2149" s="343"/>
      <c r="B2149" s="344"/>
      <c r="C2149" s="344"/>
      <c r="D2149" s="344"/>
      <c r="E2149" s="345"/>
      <c r="F2149" s="346"/>
    </row>
    <row r="2150" spans="1:6" ht="20.25">
      <c r="A2150" s="343"/>
      <c r="B2150" s="344"/>
      <c r="C2150" s="344"/>
      <c r="D2150" s="344"/>
      <c r="E2150" s="345"/>
      <c r="F2150" s="346"/>
    </row>
    <row r="2151" spans="1:6" ht="20.25">
      <c r="A2151" s="343"/>
      <c r="B2151" s="344"/>
      <c r="C2151" s="344"/>
      <c r="D2151" s="344"/>
      <c r="E2151" s="345"/>
      <c r="F2151" s="346"/>
    </row>
    <row r="2152" spans="1:6" ht="20.25">
      <c r="A2152" s="343"/>
      <c r="B2152" s="344"/>
      <c r="C2152" s="344"/>
      <c r="D2152" s="344"/>
      <c r="E2152" s="345"/>
      <c r="F2152" s="346"/>
    </row>
    <row r="2153" spans="1:6" ht="20.25">
      <c r="A2153" s="343"/>
      <c r="B2153" s="344"/>
      <c r="C2153" s="344"/>
      <c r="D2153" s="344"/>
      <c r="E2153" s="345"/>
      <c r="F2153" s="346"/>
    </row>
    <row r="2154" spans="1:6" ht="20.25">
      <c r="A2154" s="343"/>
      <c r="B2154" s="344"/>
      <c r="C2154" s="344"/>
      <c r="D2154" s="344"/>
      <c r="E2154" s="345"/>
      <c r="F2154" s="346"/>
    </row>
    <row r="2155" spans="1:6" ht="20.25">
      <c r="A2155" s="343"/>
      <c r="B2155" s="344"/>
      <c r="C2155" s="344"/>
      <c r="D2155" s="344"/>
      <c r="E2155" s="345"/>
      <c r="F2155" s="346"/>
    </row>
    <row r="2156" spans="1:6" ht="20.25">
      <c r="A2156" s="343"/>
      <c r="B2156" s="344"/>
      <c r="C2156" s="344"/>
      <c r="D2156" s="344"/>
      <c r="E2156" s="345"/>
      <c r="F2156" s="346"/>
    </row>
    <row r="2157" spans="1:6" ht="20.25">
      <c r="A2157" s="343"/>
      <c r="B2157" s="344"/>
      <c r="C2157" s="344"/>
      <c r="D2157" s="344"/>
      <c r="E2157" s="345"/>
      <c r="F2157" s="346"/>
    </row>
    <row r="2158" spans="1:6" ht="20.25">
      <c r="A2158" s="343"/>
      <c r="B2158" s="344"/>
      <c r="C2158" s="344"/>
      <c r="D2158" s="344"/>
      <c r="E2158" s="345"/>
      <c r="F2158" s="346"/>
    </row>
    <row r="2159" spans="1:6" ht="20.25">
      <c r="A2159" s="343"/>
      <c r="B2159" s="344"/>
      <c r="C2159" s="344"/>
      <c r="D2159" s="344"/>
      <c r="E2159" s="345"/>
      <c r="F2159" s="346"/>
    </row>
    <row r="2160" spans="1:6" ht="20.25">
      <c r="A2160" s="343"/>
      <c r="B2160" s="344"/>
      <c r="C2160" s="344"/>
      <c r="D2160" s="344"/>
      <c r="E2160" s="345"/>
      <c r="F2160" s="346"/>
    </row>
    <row r="2161" spans="1:6" ht="20.25">
      <c r="A2161" s="343"/>
      <c r="B2161" s="344"/>
      <c r="C2161" s="344"/>
      <c r="D2161" s="344"/>
      <c r="E2161" s="345"/>
      <c r="F2161" s="346"/>
    </row>
    <row r="2162" spans="1:6" ht="20.25">
      <c r="A2162" s="343"/>
      <c r="B2162" s="344"/>
      <c r="C2162" s="344"/>
      <c r="D2162" s="344"/>
      <c r="E2162" s="345"/>
      <c r="F2162" s="346"/>
    </row>
    <row r="2163" spans="1:6" ht="20.25">
      <c r="A2163" s="343"/>
      <c r="B2163" s="344"/>
      <c r="C2163" s="344"/>
      <c r="D2163" s="344"/>
      <c r="E2163" s="345"/>
      <c r="F2163" s="346"/>
    </row>
    <row r="2164" spans="1:6" ht="20.25">
      <c r="A2164" s="343"/>
      <c r="B2164" s="344"/>
      <c r="C2164" s="344"/>
      <c r="D2164" s="344"/>
      <c r="E2164" s="345"/>
      <c r="F2164" s="346"/>
    </row>
    <row r="2165" spans="1:6" ht="20.25">
      <c r="A2165" s="343"/>
      <c r="B2165" s="344"/>
      <c r="C2165" s="344"/>
      <c r="D2165" s="344"/>
      <c r="E2165" s="345"/>
      <c r="F2165" s="346"/>
    </row>
    <row r="2166" spans="1:6" ht="20.25">
      <c r="A2166" s="343"/>
      <c r="B2166" s="344"/>
      <c r="C2166" s="344"/>
      <c r="D2166" s="344"/>
      <c r="E2166" s="345"/>
      <c r="F2166" s="346"/>
    </row>
    <row r="2167" spans="1:6" ht="20.25">
      <c r="A2167" s="343"/>
      <c r="B2167" s="344"/>
      <c r="C2167" s="344"/>
      <c r="D2167" s="344"/>
      <c r="E2167" s="345"/>
      <c r="F2167" s="346"/>
    </row>
    <row r="2168" spans="1:6" ht="20.25">
      <c r="A2168" s="343"/>
      <c r="B2168" s="344"/>
      <c r="C2168" s="344"/>
      <c r="D2168" s="344"/>
      <c r="E2168" s="345"/>
      <c r="F2168" s="346"/>
    </row>
    <row r="2169" spans="1:6" ht="20.25">
      <c r="A2169" s="343"/>
      <c r="B2169" s="344"/>
      <c r="C2169" s="344"/>
      <c r="D2169" s="344"/>
      <c r="E2169" s="345"/>
      <c r="F2169" s="346"/>
    </row>
    <row r="2170" spans="1:6" ht="20.25">
      <c r="A2170" s="343"/>
      <c r="B2170" s="344"/>
      <c r="C2170" s="344"/>
      <c r="D2170" s="344"/>
      <c r="E2170" s="345"/>
      <c r="F2170" s="346"/>
    </row>
    <row r="2171" spans="1:6" ht="20.25">
      <c r="A2171" s="343"/>
      <c r="B2171" s="344"/>
      <c r="C2171" s="344"/>
      <c r="D2171" s="344"/>
      <c r="E2171" s="345"/>
      <c r="F2171" s="346"/>
    </row>
    <row r="2172" spans="1:6" ht="20.25">
      <c r="A2172" s="343"/>
      <c r="B2172" s="344"/>
      <c r="C2172" s="344"/>
      <c r="D2172" s="344"/>
      <c r="E2172" s="345"/>
      <c r="F2172" s="346"/>
    </row>
    <row r="2173" spans="1:6" ht="20.25">
      <c r="A2173" s="343"/>
      <c r="B2173" s="344"/>
      <c r="C2173" s="344"/>
      <c r="D2173" s="344"/>
      <c r="E2173" s="345"/>
      <c r="F2173" s="346"/>
    </row>
    <row r="2174" spans="1:6" ht="20.25">
      <c r="A2174" s="343"/>
      <c r="B2174" s="344"/>
      <c r="C2174" s="344"/>
      <c r="D2174" s="344"/>
      <c r="E2174" s="345"/>
      <c r="F2174" s="346"/>
    </row>
    <row r="2175" spans="1:6" ht="20.25">
      <c r="A2175" s="343"/>
      <c r="B2175" s="344"/>
      <c r="C2175" s="344"/>
      <c r="D2175" s="344"/>
      <c r="E2175" s="345"/>
      <c r="F2175" s="346"/>
    </row>
    <row r="2176" spans="1:6" ht="20.25">
      <c r="A2176" s="343"/>
      <c r="B2176" s="344"/>
      <c r="C2176" s="344"/>
      <c r="D2176" s="344"/>
      <c r="E2176" s="345"/>
      <c r="F2176" s="346"/>
    </row>
    <row r="2177" spans="1:6" ht="20.25">
      <c r="A2177" s="343"/>
      <c r="B2177" s="344"/>
      <c r="C2177" s="344"/>
      <c r="D2177" s="344"/>
      <c r="E2177" s="345"/>
      <c r="F2177" s="346"/>
    </row>
    <row r="2178" spans="1:6" ht="20.25">
      <c r="A2178" s="343"/>
      <c r="B2178" s="344"/>
      <c r="C2178" s="344"/>
      <c r="D2178" s="344"/>
      <c r="E2178" s="345"/>
      <c r="F2178" s="346"/>
    </row>
    <row r="2179" spans="1:6" ht="20.25">
      <c r="A2179" s="343"/>
      <c r="B2179" s="344"/>
      <c r="C2179" s="344"/>
      <c r="D2179" s="344"/>
      <c r="E2179" s="345"/>
      <c r="F2179" s="346"/>
    </row>
    <row r="2180" spans="1:6" ht="20.25">
      <c r="A2180" s="343"/>
      <c r="B2180" s="344"/>
      <c r="C2180" s="344"/>
      <c r="D2180" s="344"/>
      <c r="E2180" s="345"/>
      <c r="F2180" s="346"/>
    </row>
    <row r="2181" spans="1:6" ht="20.25">
      <c r="A2181" s="343"/>
      <c r="B2181" s="344"/>
      <c r="C2181" s="344"/>
      <c r="D2181" s="344"/>
      <c r="E2181" s="345"/>
      <c r="F2181" s="346"/>
    </row>
    <row r="2182" spans="1:6" ht="20.25">
      <c r="A2182" s="343"/>
      <c r="B2182" s="344"/>
      <c r="C2182" s="344"/>
      <c r="D2182" s="344"/>
      <c r="E2182" s="345"/>
      <c r="F2182" s="346"/>
    </row>
    <row r="2183" spans="1:6" ht="20.25">
      <c r="A2183" s="343"/>
      <c r="B2183" s="344"/>
      <c r="C2183" s="344"/>
      <c r="D2183" s="344"/>
      <c r="E2183" s="345"/>
      <c r="F2183" s="346"/>
    </row>
    <row r="2184" spans="1:6" ht="20.25">
      <c r="A2184" s="343"/>
      <c r="B2184" s="344"/>
      <c r="C2184" s="344"/>
      <c r="D2184" s="344"/>
      <c r="E2184" s="345"/>
      <c r="F2184" s="346"/>
    </row>
    <row r="2185" spans="1:6" ht="20.25">
      <c r="A2185" s="343"/>
      <c r="B2185" s="344"/>
      <c r="C2185" s="344"/>
      <c r="D2185" s="344"/>
      <c r="E2185" s="345"/>
      <c r="F2185" s="346"/>
    </row>
    <row r="2186" spans="1:6" ht="20.25">
      <c r="A2186" s="343"/>
      <c r="B2186" s="344"/>
      <c r="C2186" s="344"/>
      <c r="D2186" s="344"/>
      <c r="E2186" s="345"/>
      <c r="F2186" s="346"/>
    </row>
    <row r="2187" spans="1:6" ht="20.25">
      <c r="A2187" s="343"/>
      <c r="B2187" s="344"/>
      <c r="C2187" s="344"/>
      <c r="D2187" s="344"/>
      <c r="E2187" s="345"/>
      <c r="F2187" s="346"/>
    </row>
    <row r="2188" spans="1:6" ht="20.25">
      <c r="A2188" s="343"/>
      <c r="B2188" s="344"/>
      <c r="C2188" s="344"/>
      <c r="D2188" s="344"/>
      <c r="E2188" s="345"/>
      <c r="F2188" s="346"/>
    </row>
    <row r="2189" spans="1:6" ht="20.25">
      <c r="A2189" s="343"/>
      <c r="B2189" s="344"/>
      <c r="C2189" s="344"/>
      <c r="D2189" s="344"/>
      <c r="E2189" s="345"/>
      <c r="F2189" s="346"/>
    </row>
    <row r="2190" spans="1:6" ht="20.25">
      <c r="A2190" s="343"/>
      <c r="B2190" s="344"/>
      <c r="C2190" s="344"/>
      <c r="D2190" s="344"/>
      <c r="E2190" s="345"/>
      <c r="F2190" s="346"/>
    </row>
    <row r="2191" spans="1:6" ht="20.25">
      <c r="A2191" s="343"/>
      <c r="B2191" s="344"/>
      <c r="C2191" s="344"/>
      <c r="D2191" s="344"/>
      <c r="E2191" s="345"/>
      <c r="F2191" s="346"/>
    </row>
    <row r="2192" spans="1:6" ht="20.25">
      <c r="A2192" s="343"/>
      <c r="B2192" s="344"/>
      <c r="C2192" s="344"/>
      <c r="D2192" s="344"/>
      <c r="E2192" s="345"/>
      <c r="F2192" s="346"/>
    </row>
    <row r="2193" spans="1:6" ht="20.25">
      <c r="A2193" s="343"/>
      <c r="B2193" s="344"/>
      <c r="C2193" s="344"/>
      <c r="D2193" s="344"/>
      <c r="E2193" s="345"/>
      <c r="F2193" s="346"/>
    </row>
    <row r="2194" spans="1:6" ht="20.25">
      <c r="A2194" s="343"/>
      <c r="B2194" s="344"/>
      <c r="C2194" s="344"/>
      <c r="D2194" s="344"/>
      <c r="E2194" s="345"/>
      <c r="F2194" s="346"/>
    </row>
    <row r="2195" spans="1:6" ht="20.25">
      <c r="A2195" s="343"/>
      <c r="B2195" s="344"/>
      <c r="C2195" s="344"/>
      <c r="D2195" s="344"/>
      <c r="E2195" s="345"/>
      <c r="F2195" s="346"/>
    </row>
    <row r="2196" spans="1:6" ht="20.25">
      <c r="A2196" s="343"/>
      <c r="B2196" s="344"/>
      <c r="C2196" s="344"/>
      <c r="D2196" s="344"/>
      <c r="E2196" s="345"/>
      <c r="F2196" s="346"/>
    </row>
    <row r="2197" spans="1:6" ht="20.25">
      <c r="A2197" s="343"/>
      <c r="B2197" s="344"/>
      <c r="C2197" s="344"/>
      <c r="D2197" s="344"/>
      <c r="E2197" s="345"/>
      <c r="F2197" s="346"/>
    </row>
    <row r="2198" spans="1:6" ht="20.25">
      <c r="A2198" s="343"/>
      <c r="B2198" s="344"/>
      <c r="C2198" s="344"/>
      <c r="D2198" s="344"/>
      <c r="E2198" s="345"/>
      <c r="F2198" s="346"/>
    </row>
    <row r="2199" spans="1:6" ht="20.25">
      <c r="A2199" s="343"/>
      <c r="B2199" s="344"/>
      <c r="C2199" s="344"/>
      <c r="D2199" s="344"/>
      <c r="E2199" s="345"/>
      <c r="F2199" s="346"/>
    </row>
    <row r="2200" spans="1:6" ht="20.25">
      <c r="A2200" s="343"/>
      <c r="B2200" s="344"/>
      <c r="C2200" s="344"/>
      <c r="D2200" s="344"/>
      <c r="E2200" s="345"/>
      <c r="F2200" s="346"/>
    </row>
    <row r="2201" spans="1:6" ht="20.25">
      <c r="A2201" s="343"/>
      <c r="B2201" s="344"/>
      <c r="C2201" s="344"/>
      <c r="D2201" s="344"/>
      <c r="E2201" s="345"/>
      <c r="F2201" s="346"/>
    </row>
    <row r="2202" spans="1:6" ht="20.25">
      <c r="A2202" s="343"/>
      <c r="B2202" s="344"/>
      <c r="C2202" s="344"/>
      <c r="D2202" s="344"/>
      <c r="E2202" s="345"/>
      <c r="F2202" s="346"/>
    </row>
    <row r="2203" spans="1:6" ht="20.25">
      <c r="A2203" s="343"/>
      <c r="B2203" s="344"/>
      <c r="C2203" s="344"/>
      <c r="D2203" s="344"/>
      <c r="E2203" s="345"/>
      <c r="F2203" s="346"/>
    </row>
    <row r="2204" spans="1:6" ht="20.25">
      <c r="A2204" s="343"/>
      <c r="B2204" s="344"/>
      <c r="C2204" s="344"/>
      <c r="D2204" s="344"/>
      <c r="E2204" s="345"/>
      <c r="F2204" s="346"/>
    </row>
    <row r="2205" spans="1:6" ht="20.25">
      <c r="A2205" s="343"/>
      <c r="B2205" s="344"/>
      <c r="C2205" s="344"/>
      <c r="D2205" s="344"/>
      <c r="E2205" s="345"/>
      <c r="F2205" s="346"/>
    </row>
    <row r="2206" spans="1:6" ht="20.25">
      <c r="A2206" s="343"/>
      <c r="B2206" s="344"/>
      <c r="C2206" s="344"/>
      <c r="D2206" s="344"/>
      <c r="E2206" s="345"/>
      <c r="F2206" s="346"/>
    </row>
    <row r="2207" spans="1:6" ht="20.25">
      <c r="A2207" s="343"/>
      <c r="B2207" s="344"/>
      <c r="C2207" s="344"/>
      <c r="D2207" s="344"/>
      <c r="E2207" s="345"/>
      <c r="F2207" s="346"/>
    </row>
    <row r="2208" spans="1:6" ht="20.25">
      <c r="A2208" s="343"/>
      <c r="B2208" s="344"/>
      <c r="C2208" s="344"/>
      <c r="D2208" s="344"/>
      <c r="E2208" s="345"/>
      <c r="F2208" s="346"/>
    </row>
    <row r="2209" spans="1:6" ht="20.25">
      <c r="A2209" s="343"/>
      <c r="B2209" s="344"/>
      <c r="C2209" s="344"/>
      <c r="D2209" s="344"/>
      <c r="E2209" s="345"/>
      <c r="F2209" s="346"/>
    </row>
    <row r="2210" spans="1:6" ht="20.25">
      <c r="A2210" s="343"/>
      <c r="B2210" s="344"/>
      <c r="C2210" s="344"/>
      <c r="D2210" s="344"/>
      <c r="E2210" s="345"/>
      <c r="F2210" s="346"/>
    </row>
    <row r="2211" spans="1:6" ht="20.25">
      <c r="A2211" s="343"/>
      <c r="B2211" s="344"/>
      <c r="C2211" s="344"/>
      <c r="D2211" s="344"/>
      <c r="E2211" s="345"/>
      <c r="F2211" s="346"/>
    </row>
    <row r="2212" spans="1:6" ht="20.25">
      <c r="A2212" s="343"/>
      <c r="B2212" s="344"/>
      <c r="C2212" s="344"/>
      <c r="D2212" s="344"/>
      <c r="E2212" s="345"/>
      <c r="F2212" s="346"/>
    </row>
    <row r="2213" spans="1:6" ht="20.25">
      <c r="A2213" s="343"/>
      <c r="B2213" s="344"/>
      <c r="C2213" s="344"/>
      <c r="D2213" s="344"/>
      <c r="E2213" s="345"/>
      <c r="F2213" s="346"/>
    </row>
    <row r="2214" spans="1:6" ht="20.25">
      <c r="A2214" s="343"/>
      <c r="B2214" s="344"/>
      <c r="C2214" s="344"/>
      <c r="D2214" s="344"/>
      <c r="E2214" s="345"/>
      <c r="F2214" s="346"/>
    </row>
    <row r="2215" spans="1:6" ht="20.25">
      <c r="A2215" s="343"/>
      <c r="B2215" s="344"/>
      <c r="C2215" s="344"/>
      <c r="D2215" s="344"/>
      <c r="E2215" s="345"/>
      <c r="F2215" s="346"/>
    </row>
    <row r="2216" spans="1:6" ht="20.25">
      <c r="A2216" s="343"/>
      <c r="B2216" s="344"/>
      <c r="C2216" s="344"/>
      <c r="D2216" s="344"/>
      <c r="E2216" s="345"/>
      <c r="F2216" s="346"/>
    </row>
    <row r="2217" spans="1:6" ht="20.25">
      <c r="A2217" s="343"/>
      <c r="B2217" s="344"/>
      <c r="C2217" s="344"/>
      <c r="D2217" s="344"/>
      <c r="E2217" s="345"/>
      <c r="F2217" s="346"/>
    </row>
    <row r="2218" spans="1:6" ht="20.25">
      <c r="A2218" s="343"/>
      <c r="B2218" s="344"/>
      <c r="C2218" s="344"/>
      <c r="D2218" s="344"/>
      <c r="E2218" s="345"/>
      <c r="F2218" s="346"/>
    </row>
    <row r="2219" spans="1:6" ht="20.25">
      <c r="A2219" s="343"/>
      <c r="B2219" s="344"/>
      <c r="C2219" s="344"/>
      <c r="D2219" s="344"/>
      <c r="E2219" s="345"/>
      <c r="F2219" s="346"/>
    </row>
    <row r="2220" spans="1:6" ht="20.25">
      <c r="A2220" s="343"/>
      <c r="B2220" s="344"/>
      <c r="C2220" s="344"/>
      <c r="D2220" s="344"/>
      <c r="E2220" s="345"/>
      <c r="F2220" s="346"/>
    </row>
    <row r="2221" spans="1:6" ht="20.25">
      <c r="A2221" s="343"/>
      <c r="B2221" s="344"/>
      <c r="C2221" s="344"/>
      <c r="D2221" s="344"/>
      <c r="E2221" s="345"/>
      <c r="F2221" s="346"/>
    </row>
    <row r="2222" spans="1:6" ht="20.25">
      <c r="A2222" s="343"/>
      <c r="B2222" s="344"/>
      <c r="C2222" s="344"/>
      <c r="D2222" s="344"/>
      <c r="E2222" s="345"/>
      <c r="F2222" s="346"/>
    </row>
    <row r="2223" spans="1:6" ht="20.25">
      <c r="A2223" s="343"/>
      <c r="B2223" s="344"/>
      <c r="C2223" s="344"/>
      <c r="D2223" s="344"/>
      <c r="E2223" s="345"/>
      <c r="F2223" s="346"/>
    </row>
    <row r="2224" spans="1:6" ht="20.25">
      <c r="A2224" s="343"/>
      <c r="B2224" s="344"/>
      <c r="C2224" s="344"/>
      <c r="D2224" s="344"/>
      <c r="E2224" s="345"/>
      <c r="F2224" s="346"/>
    </row>
    <row r="2225" spans="1:6" ht="20.25">
      <c r="A2225" s="343"/>
      <c r="B2225" s="344"/>
      <c r="C2225" s="344"/>
      <c r="D2225" s="344"/>
      <c r="E2225" s="345"/>
      <c r="F2225" s="346"/>
    </row>
    <row r="2226" spans="1:6" ht="20.25">
      <c r="A2226" s="343"/>
      <c r="B2226" s="344"/>
      <c r="C2226" s="344"/>
      <c r="D2226" s="344"/>
      <c r="E2226" s="345"/>
      <c r="F2226" s="346"/>
    </row>
    <row r="2227" spans="1:6" ht="20.25">
      <c r="A2227" s="343"/>
      <c r="B2227" s="344"/>
      <c r="C2227" s="344"/>
      <c r="D2227" s="344"/>
      <c r="E2227" s="345"/>
      <c r="F2227" s="346"/>
    </row>
    <row r="2228" spans="1:6" ht="20.25">
      <c r="A2228" s="343"/>
      <c r="B2228" s="344"/>
      <c r="C2228" s="344"/>
      <c r="D2228" s="344"/>
      <c r="E2228" s="345"/>
      <c r="F2228" s="346"/>
    </row>
    <row r="2229" spans="1:6" ht="20.25">
      <c r="A2229" s="343"/>
      <c r="B2229" s="344"/>
      <c r="C2229" s="344"/>
      <c r="D2229" s="344"/>
      <c r="E2229" s="345"/>
      <c r="F2229" s="346"/>
    </row>
    <row r="2230" spans="1:6" ht="20.25">
      <c r="A2230" s="343"/>
      <c r="B2230" s="344"/>
      <c r="C2230" s="344"/>
      <c r="D2230" s="344"/>
      <c r="E2230" s="345"/>
      <c r="F2230" s="346"/>
    </row>
    <row r="2231" spans="1:6" ht="20.25">
      <c r="A2231" s="343"/>
      <c r="B2231" s="344"/>
      <c r="C2231" s="344"/>
      <c r="D2231" s="344"/>
      <c r="E2231" s="345"/>
      <c r="F2231" s="346"/>
    </row>
    <row r="2232" spans="1:6" ht="20.25">
      <c r="A2232" s="343"/>
      <c r="B2232" s="344"/>
      <c r="C2232" s="344"/>
      <c r="D2232" s="344"/>
      <c r="E2232" s="345"/>
      <c r="F2232" s="346"/>
    </row>
    <row r="2233" spans="1:6" ht="20.25">
      <c r="A2233" s="343"/>
      <c r="B2233" s="344"/>
      <c r="C2233" s="344"/>
      <c r="D2233" s="344"/>
      <c r="E2233" s="345"/>
      <c r="F2233" s="346"/>
    </row>
    <row r="2234" spans="1:6" ht="20.25">
      <c r="A2234" s="343"/>
      <c r="B2234" s="344"/>
      <c r="C2234" s="344"/>
      <c r="D2234" s="344"/>
      <c r="E2234" s="345"/>
      <c r="F2234" s="346"/>
    </row>
    <row r="2235" spans="1:6" ht="20.25">
      <c r="A2235" s="343"/>
      <c r="B2235" s="344"/>
      <c r="C2235" s="344"/>
      <c r="D2235" s="344"/>
      <c r="E2235" s="345"/>
      <c r="F2235" s="346"/>
    </row>
    <row r="2236" spans="1:6" ht="20.25">
      <c r="A2236" s="343"/>
      <c r="B2236" s="344"/>
      <c r="C2236" s="344"/>
      <c r="D2236" s="344"/>
      <c r="E2236" s="345"/>
      <c r="F2236" s="346"/>
    </row>
    <row r="2237" spans="1:6" ht="20.25">
      <c r="A2237" s="343"/>
      <c r="B2237" s="344"/>
      <c r="C2237" s="344"/>
      <c r="D2237" s="344"/>
      <c r="E2237" s="345"/>
      <c r="F2237" s="346"/>
    </row>
    <row r="2238" spans="1:6" ht="20.25">
      <c r="A2238" s="343"/>
      <c r="B2238" s="344"/>
      <c r="C2238" s="344"/>
      <c r="D2238" s="344"/>
      <c r="E2238" s="345"/>
      <c r="F2238" s="346"/>
    </row>
    <row r="2239" spans="1:6" ht="20.25">
      <c r="A2239" s="343"/>
      <c r="B2239" s="344"/>
      <c r="C2239" s="344"/>
      <c r="D2239" s="344"/>
      <c r="E2239" s="345"/>
      <c r="F2239" s="346"/>
    </row>
    <row r="2240" spans="1:6" ht="20.25">
      <c r="A2240" s="343"/>
      <c r="B2240" s="344"/>
      <c r="C2240" s="344"/>
      <c r="D2240" s="344"/>
      <c r="E2240" s="345"/>
      <c r="F2240" s="346"/>
    </row>
    <row r="2241" spans="1:6" ht="20.25">
      <c r="A2241" s="343"/>
      <c r="B2241" s="344"/>
      <c r="C2241" s="344"/>
      <c r="D2241" s="344"/>
      <c r="E2241" s="345"/>
      <c r="F2241" s="346"/>
    </row>
    <row r="2242" spans="1:6" ht="20.25">
      <c r="A2242" s="343"/>
      <c r="B2242" s="344"/>
      <c r="C2242" s="344"/>
      <c r="D2242" s="344"/>
      <c r="E2242" s="345"/>
      <c r="F2242" s="346"/>
    </row>
    <row r="2243" spans="1:6" ht="20.25">
      <c r="A2243" s="343"/>
      <c r="B2243" s="344"/>
      <c r="C2243" s="344"/>
      <c r="D2243" s="344"/>
      <c r="E2243" s="345"/>
      <c r="F2243" s="346"/>
    </row>
    <row r="2244" spans="1:6" ht="20.25">
      <c r="A2244" s="343"/>
      <c r="B2244" s="344"/>
      <c r="C2244" s="344"/>
      <c r="D2244" s="344"/>
      <c r="E2244" s="345"/>
      <c r="F2244" s="346"/>
    </row>
    <row r="2245" spans="1:6" ht="20.25">
      <c r="A2245" s="343"/>
      <c r="B2245" s="344"/>
      <c r="C2245" s="344"/>
      <c r="D2245" s="344"/>
      <c r="E2245" s="345"/>
      <c r="F2245" s="346"/>
    </row>
    <row r="2246" spans="1:6" ht="20.25">
      <c r="A2246" s="343"/>
      <c r="B2246" s="344"/>
      <c r="C2246" s="344"/>
      <c r="D2246" s="344"/>
      <c r="E2246" s="345"/>
      <c r="F2246" s="346"/>
    </row>
    <row r="2247" spans="1:6" ht="20.25">
      <c r="A2247" s="343"/>
      <c r="B2247" s="344"/>
      <c r="C2247" s="344"/>
      <c r="D2247" s="344"/>
      <c r="E2247" s="345"/>
      <c r="F2247" s="346"/>
    </row>
    <row r="2248" spans="1:6" ht="20.25">
      <c r="A2248" s="343"/>
      <c r="B2248" s="344"/>
      <c r="C2248" s="344"/>
      <c r="D2248" s="344"/>
      <c r="E2248" s="345"/>
      <c r="F2248" s="346"/>
    </row>
    <row r="2249" spans="1:6" ht="20.25">
      <c r="A2249" s="343"/>
      <c r="B2249" s="344"/>
      <c r="C2249" s="344"/>
      <c r="D2249" s="344"/>
      <c r="E2249" s="345"/>
      <c r="F2249" s="346"/>
    </row>
    <row r="2250" spans="1:6" ht="20.25">
      <c r="A2250" s="343"/>
      <c r="B2250" s="344"/>
      <c r="C2250" s="344"/>
      <c r="D2250" s="344"/>
      <c r="E2250" s="345"/>
      <c r="F2250" s="346"/>
    </row>
    <row r="2251" spans="1:6" ht="20.25">
      <c r="A2251" s="343"/>
      <c r="B2251" s="344"/>
      <c r="C2251" s="344"/>
      <c r="D2251" s="344"/>
      <c r="E2251" s="345"/>
      <c r="F2251" s="346"/>
    </row>
    <row r="2252" spans="1:6" ht="20.25">
      <c r="A2252" s="343"/>
      <c r="B2252" s="344"/>
      <c r="C2252" s="344"/>
      <c r="D2252" s="344"/>
      <c r="E2252" s="345"/>
      <c r="F2252" s="346"/>
    </row>
    <row r="2253" spans="1:6" ht="20.25">
      <c r="A2253" s="343"/>
      <c r="B2253" s="344"/>
      <c r="C2253" s="344"/>
      <c r="D2253" s="344"/>
      <c r="E2253" s="345"/>
      <c r="F2253" s="346"/>
    </row>
    <row r="2254" spans="1:6" ht="20.25">
      <c r="A2254" s="343"/>
      <c r="B2254" s="344"/>
      <c r="C2254" s="344"/>
      <c r="D2254" s="344"/>
      <c r="E2254" s="345"/>
      <c r="F2254" s="346"/>
    </row>
    <row r="2255" spans="1:6" ht="20.25">
      <c r="A2255" s="343"/>
      <c r="B2255" s="344"/>
      <c r="C2255" s="344"/>
      <c r="D2255" s="344"/>
      <c r="E2255" s="345"/>
      <c r="F2255" s="346"/>
    </row>
    <row r="2256" spans="1:6" ht="20.25">
      <c r="A2256" s="343"/>
      <c r="B2256" s="344"/>
      <c r="C2256" s="344"/>
      <c r="D2256" s="344"/>
      <c r="E2256" s="345"/>
      <c r="F2256" s="346"/>
    </row>
    <row r="2257" spans="1:6" ht="20.25">
      <c r="A2257" s="343"/>
      <c r="B2257" s="344"/>
      <c r="C2257" s="344"/>
      <c r="D2257" s="344"/>
      <c r="E2257" s="345"/>
      <c r="F2257" s="346"/>
    </row>
    <row r="2258" spans="1:6" ht="20.25">
      <c r="A2258" s="343"/>
      <c r="B2258" s="344"/>
      <c r="C2258" s="344"/>
      <c r="D2258" s="344"/>
      <c r="E2258" s="345"/>
      <c r="F2258" s="346"/>
    </row>
    <row r="2259" spans="1:6" ht="20.25">
      <c r="A2259" s="343"/>
      <c r="B2259" s="344"/>
      <c r="C2259" s="344"/>
      <c r="D2259" s="344"/>
      <c r="E2259" s="345"/>
      <c r="F2259" s="346"/>
    </row>
    <row r="2260" spans="1:6" ht="20.25">
      <c r="A2260" s="343"/>
      <c r="B2260" s="344"/>
      <c r="C2260" s="344"/>
      <c r="D2260" s="344"/>
      <c r="E2260" s="345"/>
      <c r="F2260" s="346"/>
    </row>
    <row r="2261" spans="1:6" ht="20.25">
      <c r="A2261" s="343"/>
      <c r="B2261" s="344"/>
      <c r="C2261" s="344"/>
      <c r="D2261" s="344"/>
      <c r="E2261" s="345"/>
      <c r="F2261" s="346"/>
    </row>
    <row r="2262" spans="1:6" ht="20.25">
      <c r="A2262" s="343"/>
      <c r="B2262" s="344"/>
      <c r="C2262" s="344"/>
      <c r="D2262" s="344"/>
      <c r="E2262" s="345"/>
      <c r="F2262" s="346"/>
    </row>
    <row r="2263" spans="1:6" ht="20.25">
      <c r="A2263" s="343"/>
      <c r="B2263" s="344"/>
      <c r="C2263" s="344"/>
      <c r="D2263" s="344"/>
      <c r="E2263" s="345"/>
      <c r="F2263" s="346"/>
    </row>
    <row r="2264" spans="1:6" ht="20.25">
      <c r="A2264" s="343"/>
      <c r="B2264" s="344"/>
      <c r="C2264" s="344"/>
      <c r="D2264" s="344"/>
      <c r="E2264" s="345"/>
      <c r="F2264" s="346"/>
    </row>
    <row r="2265" spans="1:6" ht="20.25">
      <c r="A2265" s="343"/>
      <c r="B2265" s="344"/>
      <c r="C2265" s="344"/>
      <c r="D2265" s="344"/>
      <c r="E2265" s="345"/>
      <c r="F2265" s="346"/>
    </row>
    <row r="2266" spans="1:6" ht="20.25">
      <c r="A2266" s="343"/>
      <c r="B2266" s="344"/>
      <c r="C2266" s="344"/>
      <c r="D2266" s="344"/>
      <c r="E2266" s="345"/>
      <c r="F2266" s="346"/>
    </row>
    <row r="2267" spans="1:6" ht="20.25">
      <c r="A2267" s="343"/>
      <c r="B2267" s="344"/>
      <c r="C2267" s="344"/>
      <c r="D2267" s="344"/>
      <c r="E2267" s="345"/>
      <c r="F2267" s="346"/>
    </row>
    <row r="2268" spans="1:6" ht="20.25">
      <c r="A2268" s="343"/>
      <c r="B2268" s="344"/>
      <c r="C2268" s="344"/>
      <c r="D2268" s="344"/>
      <c r="E2268" s="345"/>
      <c r="F2268" s="346"/>
    </row>
    <row r="2269" spans="1:6" ht="20.25">
      <c r="A2269" s="343"/>
      <c r="B2269" s="344"/>
      <c r="C2269" s="344"/>
      <c r="D2269" s="344"/>
      <c r="E2269" s="345"/>
      <c r="F2269" s="346"/>
    </row>
    <row r="2270" spans="1:6" ht="20.25">
      <c r="A2270" s="343"/>
      <c r="B2270" s="344"/>
      <c r="C2270" s="344"/>
      <c r="D2270" s="344"/>
      <c r="E2270" s="345"/>
      <c r="F2270" s="346"/>
    </row>
    <row r="2271" spans="1:6" ht="20.25">
      <c r="A2271" s="343"/>
      <c r="B2271" s="344"/>
      <c r="C2271" s="344"/>
      <c r="D2271" s="344"/>
      <c r="E2271" s="345"/>
      <c r="F2271" s="346"/>
    </row>
    <row r="2272" spans="1:6" ht="20.25">
      <c r="A2272" s="343"/>
      <c r="B2272" s="344"/>
      <c r="C2272" s="344"/>
      <c r="D2272" s="344"/>
      <c r="E2272" s="345"/>
      <c r="F2272" s="346"/>
    </row>
    <row r="2273" spans="1:6" ht="20.25">
      <c r="A2273" s="343"/>
      <c r="B2273" s="344"/>
      <c r="C2273" s="344"/>
      <c r="D2273" s="344"/>
      <c r="E2273" s="345"/>
      <c r="F2273" s="346"/>
    </row>
    <row r="2274" spans="1:6" ht="20.25">
      <c r="A2274" s="343"/>
      <c r="B2274" s="344"/>
      <c r="C2274" s="344"/>
      <c r="D2274" s="344"/>
      <c r="E2274" s="345"/>
      <c r="F2274" s="346"/>
    </row>
    <row r="2275" spans="1:6" ht="20.25">
      <c r="A2275" s="343"/>
      <c r="B2275" s="344"/>
      <c r="C2275" s="344"/>
      <c r="D2275" s="344"/>
      <c r="E2275" s="345"/>
      <c r="F2275" s="346"/>
    </row>
    <row r="2276" spans="1:6" ht="20.25">
      <c r="A2276" s="343"/>
      <c r="B2276" s="344"/>
      <c r="C2276" s="344"/>
      <c r="D2276" s="344"/>
      <c r="E2276" s="345"/>
      <c r="F2276" s="346"/>
    </row>
    <row r="2277" spans="1:6" ht="20.25">
      <c r="A2277" s="343"/>
      <c r="B2277" s="344"/>
      <c r="C2277" s="344"/>
      <c r="D2277" s="344"/>
      <c r="E2277" s="345"/>
      <c r="F2277" s="346"/>
    </row>
    <row r="2278" spans="1:6" ht="20.25">
      <c r="A2278" s="343"/>
      <c r="B2278" s="344"/>
      <c r="C2278" s="344"/>
      <c r="D2278" s="344"/>
      <c r="E2278" s="345"/>
      <c r="F2278" s="346"/>
    </row>
    <row r="2279" spans="1:6" ht="20.25">
      <c r="A2279" s="343"/>
      <c r="B2279" s="344"/>
      <c r="C2279" s="344"/>
      <c r="D2279" s="344"/>
      <c r="E2279" s="345"/>
      <c r="F2279" s="346"/>
    </row>
    <row r="2280" spans="1:6" ht="20.25">
      <c r="A2280" s="343"/>
      <c r="B2280" s="344"/>
      <c r="C2280" s="344"/>
      <c r="D2280" s="344"/>
      <c r="E2280" s="345"/>
      <c r="F2280" s="346"/>
    </row>
    <row r="2281" spans="1:6" ht="20.25">
      <c r="A2281" s="343"/>
      <c r="B2281" s="344"/>
      <c r="C2281" s="344"/>
      <c r="D2281" s="344"/>
      <c r="E2281" s="345"/>
      <c r="F2281" s="346"/>
    </row>
    <row r="2282" spans="1:6" ht="20.25">
      <c r="A2282" s="343"/>
      <c r="B2282" s="344"/>
      <c r="C2282" s="344"/>
      <c r="D2282" s="344"/>
      <c r="E2282" s="345"/>
      <c r="F2282" s="346"/>
    </row>
    <row r="2283" spans="1:6" ht="20.25">
      <c r="A2283" s="343"/>
      <c r="B2283" s="344"/>
      <c r="C2283" s="344"/>
      <c r="D2283" s="344"/>
      <c r="E2283" s="345"/>
      <c r="F2283" s="346"/>
    </row>
    <row r="2284" spans="1:6" ht="20.25">
      <c r="A2284" s="343"/>
      <c r="B2284" s="344"/>
      <c r="C2284" s="344"/>
      <c r="D2284" s="344"/>
      <c r="E2284" s="345"/>
      <c r="F2284" s="346"/>
    </row>
    <row r="2285" spans="1:6" ht="20.25">
      <c r="A2285" s="343"/>
      <c r="B2285" s="344"/>
      <c r="C2285" s="344"/>
      <c r="D2285" s="344"/>
      <c r="E2285" s="345"/>
      <c r="F2285" s="346"/>
    </row>
    <row r="2286" spans="1:6" ht="20.25">
      <c r="A2286" s="343"/>
      <c r="B2286" s="344"/>
      <c r="C2286" s="344"/>
      <c r="D2286" s="344"/>
      <c r="E2286" s="345"/>
      <c r="F2286" s="346"/>
    </row>
    <row r="2287" spans="1:6" ht="20.25">
      <c r="A2287" s="343"/>
      <c r="B2287" s="344"/>
      <c r="C2287" s="344"/>
      <c r="D2287" s="344"/>
      <c r="E2287" s="345"/>
      <c r="F2287" s="346"/>
    </row>
    <row r="2288" spans="1:6" ht="20.25">
      <c r="A2288" s="343"/>
      <c r="B2288" s="344"/>
      <c r="C2288" s="344"/>
      <c r="D2288" s="344"/>
      <c r="E2288" s="345"/>
      <c r="F2288" s="346"/>
    </row>
    <row r="2289" spans="1:6" ht="20.25">
      <c r="A2289" s="343"/>
      <c r="B2289" s="344"/>
      <c r="C2289" s="344"/>
      <c r="D2289" s="344"/>
      <c r="E2289" s="345"/>
      <c r="F2289" s="346"/>
    </row>
    <row r="2290" spans="1:6" ht="20.25">
      <c r="A2290" s="343"/>
      <c r="B2290" s="344"/>
      <c r="C2290" s="344"/>
      <c r="D2290" s="344"/>
      <c r="E2290" s="345"/>
      <c r="F2290" s="346"/>
    </row>
    <row r="2291" spans="1:6" ht="20.25">
      <c r="A2291" s="343"/>
      <c r="B2291" s="344"/>
      <c r="C2291" s="344"/>
      <c r="D2291" s="344"/>
      <c r="E2291" s="345"/>
      <c r="F2291" s="346"/>
    </row>
    <row r="2292" spans="1:6" ht="20.25">
      <c r="A2292" s="343"/>
      <c r="B2292" s="344"/>
      <c r="C2292" s="344"/>
      <c r="D2292" s="344"/>
      <c r="E2292" s="345"/>
      <c r="F2292" s="346"/>
    </row>
    <row r="2293" spans="1:6" ht="20.25">
      <c r="A2293" s="343"/>
      <c r="B2293" s="344"/>
      <c r="C2293" s="344"/>
      <c r="D2293" s="344"/>
      <c r="E2293" s="345"/>
      <c r="F2293" s="346"/>
    </row>
    <row r="2294" spans="1:6" ht="20.25">
      <c r="A2294" s="343"/>
      <c r="B2294" s="344"/>
      <c r="C2294" s="344"/>
      <c r="D2294" s="344"/>
      <c r="E2294" s="345"/>
      <c r="F2294" s="346"/>
    </row>
    <row r="2295" spans="1:6" ht="20.25">
      <c r="A2295" s="343"/>
      <c r="B2295" s="344"/>
      <c r="C2295" s="344"/>
      <c r="D2295" s="344"/>
      <c r="E2295" s="345"/>
      <c r="F2295" s="346"/>
    </row>
    <row r="2296" spans="1:6" ht="20.25">
      <c r="A2296" s="343"/>
      <c r="B2296" s="344"/>
      <c r="C2296" s="344"/>
      <c r="D2296" s="344"/>
      <c r="E2296" s="345"/>
      <c r="F2296" s="346"/>
    </row>
    <row r="2297" spans="1:6" ht="20.25">
      <c r="A2297" s="343"/>
      <c r="B2297" s="344"/>
      <c r="C2297" s="344"/>
      <c r="D2297" s="344"/>
      <c r="E2297" s="345"/>
      <c r="F2297" s="346"/>
    </row>
    <row r="2298" spans="1:6" ht="20.25">
      <c r="A2298" s="343"/>
      <c r="B2298" s="344"/>
      <c r="C2298" s="344"/>
      <c r="D2298" s="344"/>
      <c r="E2298" s="345"/>
      <c r="F2298" s="346"/>
    </row>
    <row r="2299" spans="1:6" ht="20.25">
      <c r="A2299" s="343"/>
      <c r="B2299" s="344"/>
      <c r="C2299" s="344"/>
      <c r="D2299" s="344"/>
      <c r="E2299" s="345"/>
      <c r="F2299" s="346"/>
    </row>
    <row r="2300" spans="1:6" ht="20.25">
      <c r="A2300" s="343"/>
      <c r="B2300" s="344"/>
      <c r="C2300" s="344"/>
      <c r="D2300" s="344"/>
      <c r="E2300" s="345"/>
      <c r="F2300" s="346"/>
    </row>
    <row r="2301" spans="1:6" ht="20.25">
      <c r="A2301" s="343"/>
      <c r="B2301" s="344"/>
      <c r="C2301" s="344"/>
      <c r="D2301" s="344"/>
      <c r="E2301" s="345"/>
      <c r="F2301" s="346"/>
    </row>
    <row r="2302" spans="1:6" ht="20.25">
      <c r="A2302" s="343"/>
      <c r="B2302" s="344"/>
      <c r="C2302" s="344"/>
      <c r="D2302" s="344"/>
      <c r="E2302" s="345"/>
      <c r="F2302" s="346"/>
    </row>
    <row r="2303" spans="1:6" ht="20.25">
      <c r="A2303" s="343"/>
      <c r="B2303" s="344"/>
      <c r="C2303" s="344"/>
      <c r="D2303" s="344"/>
      <c r="E2303" s="345"/>
      <c r="F2303" s="346"/>
    </row>
    <row r="2304" spans="1:6" ht="20.25">
      <c r="A2304" s="343"/>
      <c r="B2304" s="344"/>
      <c r="C2304" s="344"/>
      <c r="D2304" s="344"/>
      <c r="E2304" s="345"/>
      <c r="F2304" s="346"/>
    </row>
    <row r="2305" spans="1:6" ht="20.25">
      <c r="A2305" s="343"/>
      <c r="B2305" s="344"/>
      <c r="C2305" s="344"/>
      <c r="D2305" s="344"/>
      <c r="E2305" s="345"/>
      <c r="F2305" s="346"/>
    </row>
    <row r="2306" spans="1:6" ht="20.25">
      <c r="A2306" s="343"/>
      <c r="B2306" s="344"/>
      <c r="C2306" s="344"/>
      <c r="D2306" s="344"/>
      <c r="E2306" s="345"/>
      <c r="F2306" s="346"/>
    </row>
    <row r="2307" spans="1:6" ht="20.25">
      <c r="A2307" s="343"/>
      <c r="B2307" s="344"/>
      <c r="C2307" s="344"/>
      <c r="D2307" s="344"/>
      <c r="E2307" s="345"/>
      <c r="F2307" s="346"/>
    </row>
    <row r="2308" spans="1:6" ht="20.25">
      <c r="A2308" s="343"/>
      <c r="B2308" s="344"/>
      <c r="C2308" s="344"/>
      <c r="D2308" s="344"/>
      <c r="E2308" s="345"/>
      <c r="F2308" s="346"/>
    </row>
    <row r="2309" spans="1:6" ht="20.25">
      <c r="A2309" s="343"/>
      <c r="B2309" s="344"/>
      <c r="C2309" s="344"/>
      <c r="D2309" s="344"/>
      <c r="E2309" s="345"/>
      <c r="F2309" s="346"/>
    </row>
    <row r="2310" spans="1:6" ht="20.25">
      <c r="A2310" s="343"/>
      <c r="B2310" s="344"/>
      <c r="C2310" s="344"/>
      <c r="D2310" s="344"/>
      <c r="E2310" s="345"/>
      <c r="F2310" s="346"/>
    </row>
    <row r="2311" spans="1:6" ht="20.25">
      <c r="A2311" s="343"/>
      <c r="B2311" s="344"/>
      <c r="C2311" s="344"/>
      <c r="D2311" s="344"/>
      <c r="E2311" s="345"/>
      <c r="F2311" s="346"/>
    </row>
    <row r="2312" spans="1:6" ht="20.25">
      <c r="A2312" s="343"/>
      <c r="B2312" s="344"/>
      <c r="C2312" s="344"/>
      <c r="D2312" s="344"/>
      <c r="E2312" s="345"/>
      <c r="F2312" s="346"/>
    </row>
    <row r="2313" spans="1:6" ht="20.25">
      <c r="A2313" s="343"/>
      <c r="B2313" s="344"/>
      <c r="C2313" s="344"/>
      <c r="D2313" s="344"/>
      <c r="E2313" s="345"/>
      <c r="F2313" s="346"/>
    </row>
    <row r="2314" spans="1:6" ht="20.25">
      <c r="A2314" s="343"/>
      <c r="B2314" s="344"/>
      <c r="C2314" s="344"/>
      <c r="D2314" s="344"/>
      <c r="E2314" s="345"/>
      <c r="F2314" s="346"/>
    </row>
    <row r="2315" spans="1:6" ht="20.25">
      <c r="A2315" s="343"/>
      <c r="B2315" s="344"/>
      <c r="C2315" s="344"/>
      <c r="D2315" s="344"/>
      <c r="E2315" s="345"/>
      <c r="F2315" s="346"/>
    </row>
    <row r="2316" spans="1:6" ht="20.25">
      <c r="A2316" s="343"/>
      <c r="B2316" s="344"/>
      <c r="C2316" s="344"/>
      <c r="D2316" s="344"/>
      <c r="E2316" s="345"/>
      <c r="F2316" s="346"/>
    </row>
    <row r="2317" spans="1:6" ht="20.25">
      <c r="A2317" s="343"/>
      <c r="B2317" s="344"/>
      <c r="C2317" s="344"/>
      <c r="D2317" s="344"/>
      <c r="E2317" s="345"/>
      <c r="F2317" s="346"/>
    </row>
    <row r="2318" spans="1:6" ht="20.25">
      <c r="A2318" s="343"/>
      <c r="B2318" s="344"/>
      <c r="C2318" s="344"/>
      <c r="D2318" s="344"/>
      <c r="E2318" s="345"/>
      <c r="F2318" s="346"/>
    </row>
    <row r="2319" spans="1:6" ht="20.25">
      <c r="A2319" s="343"/>
      <c r="B2319" s="344"/>
      <c r="C2319" s="344"/>
      <c r="D2319" s="344"/>
      <c r="E2319" s="345"/>
      <c r="F2319" s="346"/>
    </row>
    <row r="2320" spans="1:6" ht="20.25">
      <c r="A2320" s="343"/>
      <c r="B2320" s="344"/>
      <c r="C2320" s="344"/>
      <c r="D2320" s="344"/>
      <c r="E2320" s="345"/>
      <c r="F2320" s="346"/>
    </row>
    <row r="2321" spans="1:6" ht="20.25">
      <c r="A2321" s="343"/>
      <c r="B2321" s="344"/>
      <c r="C2321" s="344"/>
      <c r="D2321" s="344"/>
      <c r="E2321" s="345"/>
      <c r="F2321" s="346"/>
    </row>
    <row r="2322" spans="1:6" ht="20.25">
      <c r="A2322" s="343"/>
      <c r="B2322" s="344"/>
      <c r="C2322" s="344"/>
      <c r="D2322" s="344"/>
      <c r="E2322" s="345"/>
      <c r="F2322" s="346"/>
    </row>
    <row r="2323" spans="1:6" ht="20.25">
      <c r="A2323" s="343"/>
      <c r="B2323" s="344"/>
      <c r="C2323" s="344"/>
      <c r="D2323" s="344"/>
      <c r="E2323" s="345"/>
      <c r="F2323" s="346"/>
    </row>
    <row r="2324" spans="1:6" ht="20.25">
      <c r="A2324" s="343"/>
      <c r="B2324" s="344"/>
      <c r="C2324" s="344"/>
      <c r="D2324" s="344"/>
      <c r="E2324" s="345"/>
      <c r="F2324" s="346"/>
    </row>
    <row r="2325" spans="1:6" ht="20.25">
      <c r="A2325" s="343"/>
      <c r="B2325" s="344"/>
      <c r="C2325" s="344"/>
      <c r="D2325" s="344"/>
      <c r="E2325" s="345"/>
      <c r="F2325" s="346"/>
    </row>
    <row r="2326" spans="1:6" ht="20.25">
      <c r="A2326" s="343"/>
      <c r="B2326" s="344"/>
      <c r="C2326" s="344"/>
      <c r="D2326" s="344"/>
      <c r="E2326" s="345"/>
      <c r="F2326" s="346"/>
    </row>
    <row r="2327" spans="1:6" ht="20.25">
      <c r="A2327" s="343"/>
      <c r="B2327" s="344"/>
      <c r="C2327" s="344"/>
      <c r="D2327" s="344"/>
      <c r="E2327" s="345"/>
      <c r="F2327" s="346"/>
    </row>
    <row r="2328" spans="1:6" ht="20.25">
      <c r="A2328" s="343"/>
      <c r="B2328" s="344"/>
      <c r="C2328" s="344"/>
      <c r="D2328" s="344"/>
      <c r="E2328" s="345"/>
      <c r="F2328" s="346"/>
    </row>
    <row r="2329" spans="1:6" ht="20.25">
      <c r="A2329" s="343"/>
      <c r="B2329" s="344"/>
      <c r="C2329" s="344"/>
      <c r="D2329" s="344"/>
      <c r="E2329" s="345"/>
      <c r="F2329" s="346"/>
    </row>
    <row r="2330" spans="1:6" ht="20.25">
      <c r="A2330" s="343"/>
      <c r="B2330" s="344"/>
      <c r="C2330" s="344"/>
      <c r="D2330" s="344"/>
      <c r="E2330" s="345"/>
      <c r="F2330" s="346"/>
    </row>
    <row r="2331" spans="1:6" ht="20.25">
      <c r="A2331" s="343"/>
      <c r="B2331" s="344"/>
      <c r="C2331" s="344"/>
      <c r="D2331" s="344"/>
      <c r="E2331" s="345"/>
      <c r="F2331" s="346"/>
    </row>
    <row r="2332" spans="1:6" ht="20.25">
      <c r="A2332" s="343"/>
      <c r="B2332" s="344"/>
      <c r="C2332" s="344"/>
      <c r="D2332" s="344"/>
      <c r="E2332" s="345"/>
      <c r="F2332" s="346"/>
    </row>
    <row r="2333" spans="1:6" ht="20.25">
      <c r="A2333" s="343"/>
      <c r="B2333" s="344"/>
      <c r="C2333" s="344"/>
      <c r="D2333" s="344"/>
      <c r="E2333" s="345"/>
      <c r="F2333" s="346"/>
    </row>
    <row r="2334" spans="1:6" ht="20.25">
      <c r="A2334" s="343"/>
      <c r="B2334" s="344"/>
      <c r="C2334" s="344"/>
      <c r="D2334" s="344"/>
      <c r="E2334" s="345"/>
      <c r="F2334" s="346"/>
    </row>
    <row r="2335" spans="1:6" ht="20.25">
      <c r="A2335" s="343"/>
      <c r="B2335" s="344"/>
      <c r="C2335" s="344"/>
      <c r="D2335" s="344"/>
      <c r="E2335" s="345"/>
      <c r="F2335" s="346"/>
    </row>
    <row r="2336" spans="1:6" ht="20.25">
      <c r="A2336" s="343"/>
      <c r="B2336" s="344"/>
      <c r="C2336" s="344"/>
      <c r="D2336" s="344"/>
      <c r="E2336" s="345"/>
      <c r="F2336" s="346"/>
    </row>
    <row r="2337" spans="1:6" ht="20.25">
      <c r="A2337" s="343"/>
      <c r="B2337" s="344"/>
      <c r="C2337" s="344"/>
      <c r="D2337" s="344"/>
      <c r="E2337" s="345"/>
      <c r="F2337" s="346"/>
    </row>
    <row r="2338" spans="1:6" ht="20.25">
      <c r="A2338" s="343"/>
      <c r="B2338" s="344"/>
      <c r="C2338" s="344"/>
      <c r="D2338" s="344"/>
      <c r="E2338" s="345"/>
      <c r="F2338" s="346"/>
    </row>
    <row r="2339" spans="1:6" ht="20.25">
      <c r="A2339" s="343"/>
      <c r="B2339" s="344"/>
      <c r="C2339" s="344"/>
      <c r="D2339" s="344"/>
      <c r="E2339" s="345"/>
      <c r="F2339" s="346"/>
    </row>
    <row r="2340" spans="1:6" ht="20.25">
      <c r="A2340" s="343"/>
      <c r="B2340" s="344"/>
      <c r="C2340" s="344"/>
      <c r="D2340" s="344"/>
      <c r="E2340" s="345"/>
      <c r="F2340" s="346"/>
    </row>
    <row r="2341" spans="1:6" ht="20.25">
      <c r="A2341" s="343"/>
      <c r="B2341" s="344"/>
      <c r="C2341" s="344"/>
      <c r="D2341" s="344"/>
      <c r="E2341" s="345"/>
      <c r="F2341" s="346"/>
    </row>
    <row r="2342" spans="1:6" ht="20.25">
      <c r="A2342" s="343"/>
      <c r="B2342" s="344"/>
      <c r="C2342" s="344"/>
      <c r="D2342" s="344"/>
      <c r="E2342" s="345"/>
      <c r="F2342" s="346"/>
    </row>
    <row r="2343" spans="1:6" ht="20.25">
      <c r="A2343" s="343"/>
      <c r="B2343" s="344"/>
      <c r="C2343" s="344"/>
      <c r="D2343" s="344"/>
      <c r="E2343" s="345"/>
      <c r="F2343" s="346"/>
    </row>
    <row r="2344" spans="1:6" ht="20.25">
      <c r="A2344" s="343"/>
      <c r="B2344" s="344"/>
      <c r="C2344" s="344"/>
      <c r="D2344" s="344"/>
      <c r="E2344" s="345"/>
      <c r="F2344" s="346"/>
    </row>
    <row r="2345" spans="1:6" ht="20.25">
      <c r="A2345" s="343"/>
      <c r="B2345" s="344"/>
      <c r="C2345" s="344"/>
      <c r="D2345" s="344"/>
      <c r="E2345" s="345"/>
      <c r="F2345" s="346"/>
    </row>
    <row r="2346" spans="1:6" ht="20.25">
      <c r="A2346" s="343"/>
      <c r="B2346" s="344"/>
      <c r="C2346" s="344"/>
      <c r="D2346" s="344"/>
      <c r="E2346" s="345"/>
      <c r="F2346" s="346"/>
    </row>
    <row r="2347" spans="1:6" ht="20.25">
      <c r="A2347" s="343"/>
      <c r="B2347" s="344"/>
      <c r="C2347" s="344"/>
      <c r="D2347" s="344"/>
      <c r="E2347" s="345"/>
      <c r="F2347" s="346"/>
    </row>
    <row r="2348" spans="1:6" ht="20.25">
      <c r="A2348" s="343"/>
      <c r="B2348" s="344"/>
      <c r="C2348" s="344"/>
      <c r="D2348" s="344"/>
      <c r="E2348" s="345"/>
      <c r="F2348" s="346"/>
    </row>
    <row r="2349" spans="1:6" ht="20.25">
      <c r="A2349" s="343"/>
      <c r="B2349" s="344"/>
      <c r="C2349" s="344"/>
      <c r="D2349" s="344"/>
      <c r="E2349" s="345"/>
      <c r="F2349" s="346"/>
    </row>
    <row r="2350" spans="1:6" ht="20.25">
      <c r="A2350" s="343"/>
      <c r="B2350" s="344"/>
      <c r="C2350" s="344"/>
      <c r="D2350" s="344"/>
      <c r="E2350" s="345"/>
      <c r="F2350" s="346"/>
    </row>
    <row r="2351" spans="1:6" ht="20.25">
      <c r="A2351" s="343"/>
      <c r="B2351" s="344"/>
      <c r="C2351" s="344"/>
      <c r="D2351" s="344"/>
      <c r="E2351" s="345"/>
      <c r="F2351" s="346"/>
    </row>
    <row r="2352" spans="1:6" ht="20.25">
      <c r="A2352" s="343"/>
      <c r="B2352" s="344"/>
      <c r="C2352" s="344"/>
      <c r="D2352" s="344"/>
      <c r="E2352" s="345"/>
      <c r="F2352" s="346"/>
    </row>
    <row r="2353" spans="1:6" ht="20.25">
      <c r="A2353" s="343"/>
      <c r="B2353" s="344"/>
      <c r="C2353" s="344"/>
      <c r="D2353" s="344"/>
      <c r="E2353" s="345"/>
      <c r="F2353" s="346"/>
    </row>
    <row r="2354" spans="1:6" ht="20.25">
      <c r="A2354" s="343"/>
      <c r="B2354" s="344"/>
      <c r="C2354" s="344"/>
      <c r="D2354" s="344"/>
      <c r="E2354" s="345"/>
      <c r="F2354" s="346"/>
    </row>
    <row r="2355" spans="1:6" ht="20.25">
      <c r="A2355" s="343"/>
      <c r="B2355" s="344"/>
      <c r="C2355" s="344"/>
      <c r="D2355" s="344"/>
      <c r="E2355" s="345"/>
      <c r="F2355" s="346"/>
    </row>
    <row r="2356" spans="1:6" ht="20.25">
      <c r="A2356" s="343"/>
      <c r="B2356" s="344"/>
      <c r="C2356" s="344"/>
      <c r="D2356" s="344"/>
      <c r="E2356" s="345"/>
      <c r="F2356" s="346"/>
    </row>
    <row r="2357" spans="1:6" ht="20.25">
      <c r="A2357" s="343"/>
      <c r="B2357" s="344"/>
      <c r="C2357" s="344"/>
      <c r="D2357" s="344"/>
      <c r="E2357" s="345"/>
      <c r="F2357" s="346"/>
    </row>
    <row r="2358" spans="1:6" ht="20.25">
      <c r="A2358" s="343"/>
      <c r="B2358" s="344"/>
      <c r="C2358" s="344"/>
      <c r="D2358" s="344"/>
      <c r="E2358" s="345"/>
      <c r="F2358" s="346"/>
    </row>
    <row r="2359" spans="1:6" ht="20.25">
      <c r="A2359" s="343"/>
      <c r="B2359" s="344"/>
      <c r="C2359" s="344"/>
      <c r="D2359" s="344"/>
      <c r="E2359" s="345"/>
      <c r="F2359" s="346"/>
    </row>
    <row r="2360" spans="1:6" ht="20.25">
      <c r="A2360" s="343"/>
      <c r="B2360" s="344"/>
      <c r="C2360" s="344"/>
      <c r="D2360" s="344"/>
      <c r="E2360" s="345"/>
      <c r="F2360" s="346"/>
    </row>
    <row r="2361" spans="1:6" ht="20.25">
      <c r="A2361" s="343"/>
      <c r="B2361" s="344"/>
      <c r="C2361" s="344"/>
      <c r="D2361" s="344"/>
      <c r="E2361" s="345"/>
      <c r="F2361" s="346"/>
    </row>
    <row r="2362" spans="1:6" ht="20.25">
      <c r="A2362" s="343"/>
      <c r="B2362" s="344"/>
      <c r="C2362" s="344"/>
      <c r="D2362" s="344"/>
      <c r="E2362" s="345"/>
      <c r="F2362" s="346"/>
    </row>
    <row r="2363" spans="1:6" ht="20.25">
      <c r="A2363" s="343"/>
      <c r="B2363" s="344"/>
      <c r="C2363" s="344"/>
      <c r="D2363" s="344"/>
      <c r="E2363" s="345"/>
      <c r="F2363" s="346"/>
    </row>
    <row r="2364" spans="1:6" ht="20.25">
      <c r="A2364" s="343"/>
      <c r="B2364" s="344"/>
      <c r="C2364" s="344"/>
      <c r="D2364" s="344"/>
      <c r="E2364" s="345"/>
      <c r="F2364" s="346"/>
    </row>
    <row r="2365" spans="1:6" ht="20.25">
      <c r="A2365" s="343"/>
      <c r="B2365" s="344"/>
      <c r="C2365" s="344"/>
      <c r="D2365" s="344"/>
      <c r="E2365" s="345"/>
      <c r="F2365" s="346"/>
    </row>
    <row r="2366" spans="1:6" ht="20.25">
      <c r="A2366" s="343"/>
      <c r="B2366" s="344"/>
      <c r="C2366" s="344"/>
      <c r="D2366" s="344"/>
      <c r="E2366" s="345"/>
      <c r="F2366" s="346"/>
    </row>
    <row r="2367" spans="1:6" ht="20.25">
      <c r="A2367" s="343"/>
      <c r="B2367" s="344"/>
      <c r="C2367" s="344"/>
      <c r="D2367" s="344"/>
      <c r="E2367" s="345"/>
      <c r="F2367" s="346"/>
    </row>
    <row r="2368" spans="1:6" ht="20.25">
      <c r="A2368" s="343"/>
      <c r="B2368" s="344"/>
      <c r="C2368" s="344"/>
      <c r="D2368" s="344"/>
      <c r="E2368" s="345"/>
      <c r="F2368" s="346"/>
    </row>
    <row r="2369" spans="1:6" ht="20.25">
      <c r="A2369" s="343"/>
      <c r="B2369" s="344"/>
      <c r="C2369" s="344"/>
      <c r="D2369" s="344"/>
      <c r="E2369" s="345"/>
      <c r="F2369" s="346"/>
    </row>
    <row r="2370" spans="1:6" ht="20.25">
      <c r="A2370" s="343"/>
      <c r="B2370" s="344"/>
      <c r="C2370" s="344"/>
      <c r="D2370" s="344"/>
      <c r="E2370" s="345"/>
      <c r="F2370" s="346"/>
    </row>
    <row r="2371" spans="1:6" ht="20.25">
      <c r="A2371" s="343"/>
      <c r="B2371" s="344"/>
      <c r="C2371" s="344"/>
      <c r="D2371" s="344"/>
      <c r="E2371" s="345"/>
      <c r="F2371" s="346"/>
    </row>
    <row r="2372" spans="1:6" ht="20.25">
      <c r="A2372" s="343"/>
      <c r="B2372" s="344"/>
      <c r="C2372" s="344"/>
      <c r="D2372" s="344"/>
      <c r="E2372" s="345"/>
      <c r="F2372" s="346"/>
    </row>
    <row r="2373" spans="1:6" ht="20.25">
      <c r="A2373" s="343"/>
      <c r="B2373" s="344"/>
      <c r="C2373" s="344"/>
      <c r="D2373" s="344"/>
      <c r="E2373" s="345"/>
      <c r="F2373" s="346"/>
    </row>
    <row r="2374" spans="1:6" ht="20.25">
      <c r="A2374" s="343"/>
      <c r="B2374" s="344"/>
      <c r="C2374" s="344"/>
      <c r="D2374" s="344"/>
      <c r="E2374" s="345"/>
      <c r="F2374" s="346"/>
    </row>
    <row r="2375" spans="1:6" ht="20.25">
      <c r="A2375" s="343"/>
      <c r="B2375" s="344"/>
      <c r="C2375" s="344"/>
      <c r="D2375" s="344"/>
      <c r="E2375" s="345"/>
      <c r="F2375" s="346"/>
    </row>
    <row r="2376" spans="1:6" ht="20.25">
      <c r="A2376" s="343"/>
      <c r="B2376" s="344"/>
      <c r="C2376" s="344"/>
      <c r="D2376" s="344"/>
      <c r="E2376" s="345"/>
      <c r="F2376" s="346"/>
    </row>
    <row r="2377" spans="1:6" ht="20.25">
      <c r="A2377" s="343"/>
      <c r="B2377" s="344"/>
      <c r="C2377" s="344"/>
      <c r="D2377" s="344"/>
      <c r="E2377" s="345"/>
      <c r="F2377" s="346"/>
    </row>
    <row r="2378" spans="1:6" ht="20.25">
      <c r="A2378" s="343"/>
      <c r="B2378" s="344"/>
      <c r="C2378" s="344"/>
      <c r="D2378" s="344"/>
      <c r="E2378" s="345"/>
      <c r="F2378" s="346"/>
    </row>
    <row r="2379" spans="1:6" ht="20.25">
      <c r="A2379" s="343"/>
      <c r="B2379" s="344"/>
      <c r="C2379" s="344"/>
      <c r="D2379" s="344"/>
      <c r="E2379" s="345"/>
      <c r="F2379" s="346"/>
    </row>
    <row r="2380" spans="1:6" ht="20.25">
      <c r="A2380" s="343"/>
      <c r="B2380" s="344"/>
      <c r="C2380" s="344"/>
      <c r="D2380" s="344"/>
      <c r="E2380" s="345"/>
      <c r="F2380" s="346"/>
    </row>
    <row r="2381" spans="1:6" ht="20.25">
      <c r="A2381" s="343"/>
      <c r="B2381" s="344"/>
      <c r="C2381" s="344"/>
      <c r="D2381" s="344"/>
      <c r="E2381" s="345"/>
      <c r="F2381" s="346"/>
    </row>
    <row r="2382" spans="1:6" ht="20.25">
      <c r="A2382" s="343"/>
      <c r="B2382" s="344"/>
      <c r="C2382" s="344"/>
      <c r="D2382" s="344"/>
      <c r="E2382" s="345"/>
      <c r="F2382" s="346"/>
    </row>
    <row r="2383" spans="1:6" ht="20.25">
      <c r="A2383" s="343"/>
      <c r="B2383" s="344"/>
      <c r="C2383" s="344"/>
      <c r="D2383" s="344"/>
      <c r="E2383" s="345"/>
      <c r="F2383" s="346"/>
    </row>
    <row r="2384" spans="1:6" ht="20.25">
      <c r="A2384" s="343"/>
      <c r="B2384" s="344"/>
      <c r="C2384" s="344"/>
      <c r="D2384" s="344"/>
      <c r="E2384" s="345"/>
      <c r="F2384" s="346"/>
    </row>
    <row r="2385" spans="1:6" ht="20.25">
      <c r="A2385" s="343"/>
      <c r="B2385" s="344"/>
      <c r="C2385" s="344"/>
      <c r="D2385" s="344"/>
      <c r="E2385" s="345"/>
      <c r="F2385" s="346"/>
    </row>
    <row r="2386" spans="1:6" ht="20.25">
      <c r="A2386" s="343"/>
      <c r="B2386" s="344"/>
      <c r="C2386" s="344"/>
      <c r="D2386" s="344"/>
      <c r="E2386" s="345"/>
      <c r="F2386" s="346"/>
    </row>
    <row r="2387" spans="1:6" ht="20.25">
      <c r="A2387" s="343"/>
      <c r="B2387" s="344"/>
      <c r="C2387" s="344"/>
      <c r="D2387" s="344"/>
      <c r="E2387" s="345"/>
      <c r="F2387" s="346"/>
    </row>
    <row r="2388" spans="1:6" ht="20.25">
      <c r="A2388" s="343"/>
      <c r="B2388" s="344"/>
      <c r="C2388" s="344"/>
      <c r="D2388" s="344"/>
      <c r="E2388" s="345"/>
      <c r="F2388" s="346"/>
    </row>
    <row r="2389" spans="1:6" ht="20.25">
      <c r="A2389" s="343"/>
      <c r="B2389" s="344"/>
      <c r="C2389" s="344"/>
      <c r="D2389" s="344"/>
      <c r="E2389" s="345"/>
      <c r="F2389" s="346"/>
    </row>
    <row r="2390" spans="1:6" ht="20.25">
      <c r="A2390" s="343"/>
      <c r="B2390" s="344"/>
      <c r="C2390" s="344"/>
      <c r="D2390" s="344"/>
      <c r="E2390" s="345"/>
      <c r="F2390" s="346"/>
    </row>
    <row r="2391" spans="1:6" ht="20.25">
      <c r="A2391" s="343"/>
      <c r="B2391" s="344"/>
      <c r="C2391" s="344"/>
      <c r="D2391" s="344"/>
      <c r="E2391" s="345"/>
      <c r="F2391" s="346"/>
    </row>
    <row r="2392" spans="1:6" ht="20.25">
      <c r="A2392" s="343"/>
      <c r="B2392" s="344"/>
      <c r="C2392" s="344"/>
      <c r="D2392" s="344"/>
      <c r="E2392" s="345"/>
      <c r="F2392" s="346"/>
    </row>
    <row r="2393" spans="1:6" ht="20.25">
      <c r="A2393" s="343"/>
      <c r="B2393" s="344"/>
      <c r="C2393" s="344"/>
      <c r="D2393" s="344"/>
      <c r="E2393" s="345"/>
      <c r="F2393" s="346"/>
    </row>
    <row r="2394" spans="1:6" ht="20.25">
      <c r="A2394" s="343"/>
      <c r="B2394" s="344"/>
      <c r="C2394" s="344"/>
      <c r="D2394" s="344"/>
      <c r="E2394" s="345"/>
      <c r="F2394" s="346"/>
    </row>
    <row r="2395" spans="1:6" ht="20.25">
      <c r="A2395" s="343"/>
      <c r="B2395" s="344"/>
      <c r="C2395" s="344"/>
      <c r="D2395" s="344"/>
      <c r="E2395" s="345"/>
      <c r="F2395" s="346"/>
    </row>
    <row r="2396" spans="1:6" ht="20.25">
      <c r="A2396" s="343"/>
      <c r="B2396" s="344"/>
      <c r="C2396" s="344"/>
      <c r="D2396" s="344"/>
      <c r="E2396" s="345"/>
      <c r="F2396" s="346"/>
    </row>
    <row r="2397" spans="1:6" ht="20.25">
      <c r="A2397" s="343"/>
      <c r="B2397" s="344"/>
      <c r="C2397" s="344"/>
      <c r="D2397" s="344"/>
      <c r="E2397" s="345"/>
      <c r="F2397" s="346"/>
    </row>
    <row r="2398" spans="1:6" ht="20.25">
      <c r="A2398" s="343"/>
      <c r="B2398" s="344"/>
      <c r="C2398" s="344"/>
      <c r="D2398" s="344"/>
      <c r="E2398" s="345"/>
      <c r="F2398" s="346"/>
    </row>
    <row r="2399" spans="1:6" ht="20.25">
      <c r="A2399" s="343"/>
      <c r="B2399" s="344"/>
      <c r="C2399" s="344"/>
      <c r="D2399" s="344"/>
      <c r="E2399" s="345"/>
      <c r="F2399" s="346"/>
    </row>
    <row r="2400" spans="1:6" ht="20.25">
      <c r="A2400" s="343"/>
      <c r="B2400" s="344"/>
      <c r="C2400" s="344"/>
      <c r="D2400" s="344"/>
      <c r="E2400" s="345"/>
      <c r="F2400" s="346"/>
    </row>
    <row r="2401" spans="1:6" ht="20.25">
      <c r="A2401" s="343"/>
      <c r="B2401" s="344"/>
      <c r="C2401" s="344"/>
      <c r="D2401" s="344"/>
      <c r="E2401" s="345"/>
      <c r="F2401" s="346"/>
    </row>
    <row r="2402" spans="1:6" ht="20.25">
      <c r="A2402" s="343"/>
      <c r="B2402" s="344"/>
      <c r="C2402" s="344"/>
      <c r="D2402" s="344"/>
      <c r="E2402" s="345"/>
      <c r="F2402" s="346"/>
    </row>
    <row r="2403" spans="1:6" ht="20.25">
      <c r="A2403" s="343"/>
      <c r="B2403" s="344"/>
      <c r="C2403" s="344"/>
      <c r="D2403" s="344"/>
      <c r="E2403" s="345"/>
      <c r="F2403" s="346"/>
    </row>
    <row r="2404" spans="1:6" ht="20.25">
      <c r="A2404" s="343"/>
      <c r="B2404" s="344"/>
      <c r="C2404" s="344"/>
      <c r="D2404" s="344"/>
      <c r="E2404" s="345"/>
      <c r="F2404" s="346"/>
    </row>
    <row r="2405" spans="1:6" ht="20.25">
      <c r="A2405" s="343"/>
      <c r="B2405" s="344"/>
      <c r="C2405" s="344"/>
      <c r="D2405" s="344"/>
      <c r="E2405" s="345"/>
      <c r="F2405" s="346"/>
    </row>
    <row r="2406" spans="1:6" ht="20.25">
      <c r="A2406" s="343"/>
      <c r="B2406" s="344"/>
      <c r="C2406" s="344"/>
      <c r="D2406" s="344"/>
      <c r="E2406" s="345"/>
      <c r="F2406" s="346"/>
    </row>
    <row r="2407" spans="1:6" ht="20.25">
      <c r="A2407" s="343"/>
      <c r="B2407" s="344"/>
      <c r="C2407" s="344"/>
      <c r="D2407" s="344"/>
      <c r="E2407" s="345"/>
      <c r="F2407" s="346"/>
    </row>
    <row r="2408" spans="1:6" ht="20.25">
      <c r="A2408" s="343"/>
      <c r="B2408" s="344"/>
      <c r="C2408" s="344"/>
      <c r="D2408" s="344"/>
      <c r="E2408" s="345"/>
      <c r="F2408" s="346"/>
    </row>
    <row r="2409" spans="1:6" ht="20.25">
      <c r="A2409" s="343"/>
      <c r="B2409" s="344"/>
      <c r="C2409" s="344"/>
      <c r="D2409" s="344"/>
      <c r="E2409" s="345"/>
      <c r="F2409" s="346"/>
    </row>
    <row r="2410" spans="1:6" ht="20.25">
      <c r="A2410" s="343"/>
      <c r="B2410" s="344"/>
      <c r="C2410" s="344"/>
      <c r="D2410" s="344"/>
      <c r="E2410" s="345"/>
      <c r="F2410" s="346"/>
    </row>
    <row r="2411" spans="1:6" ht="20.25">
      <c r="A2411" s="343"/>
      <c r="B2411" s="344"/>
      <c r="C2411" s="344"/>
      <c r="D2411" s="344"/>
      <c r="E2411" s="345"/>
      <c r="F2411" s="346"/>
    </row>
    <row r="2412" spans="1:6" ht="20.25">
      <c r="A2412" s="343"/>
      <c r="B2412" s="344"/>
      <c r="C2412" s="344"/>
      <c r="D2412" s="344"/>
      <c r="E2412" s="345"/>
      <c r="F2412" s="346"/>
    </row>
    <row r="2413" spans="1:6" ht="20.25">
      <c r="A2413" s="343"/>
      <c r="B2413" s="344"/>
      <c r="C2413" s="344"/>
      <c r="D2413" s="344"/>
      <c r="E2413" s="345"/>
      <c r="F2413" s="346"/>
    </row>
    <row r="2414" spans="1:6" ht="20.25">
      <c r="A2414" s="343"/>
      <c r="B2414" s="344"/>
      <c r="C2414" s="344"/>
      <c r="D2414" s="344"/>
      <c r="E2414" s="345"/>
      <c r="F2414" s="346"/>
    </row>
    <row r="2415" spans="1:6" ht="20.25">
      <c r="A2415" s="343"/>
      <c r="B2415" s="344"/>
      <c r="C2415" s="344"/>
      <c r="D2415" s="344"/>
      <c r="E2415" s="345"/>
      <c r="F2415" s="346"/>
    </row>
    <row r="2416" spans="1:6" ht="20.25">
      <c r="A2416" s="343"/>
      <c r="B2416" s="344"/>
      <c r="C2416" s="344"/>
      <c r="D2416" s="344"/>
      <c r="E2416" s="345"/>
      <c r="F2416" s="346"/>
    </row>
    <row r="2417" spans="1:6" ht="20.25">
      <c r="A2417" s="343"/>
      <c r="B2417" s="344"/>
      <c r="C2417" s="344"/>
      <c r="D2417" s="344"/>
      <c r="E2417" s="345"/>
      <c r="F2417" s="346"/>
    </row>
    <row r="2418" spans="1:6" ht="20.25">
      <c r="A2418" s="343"/>
      <c r="B2418" s="344"/>
      <c r="C2418" s="344"/>
      <c r="D2418" s="344"/>
      <c r="E2418" s="345"/>
      <c r="F2418" s="346"/>
    </row>
    <row r="2419" spans="1:6" ht="20.25">
      <c r="A2419" s="343"/>
      <c r="B2419" s="344"/>
      <c r="C2419" s="344"/>
      <c r="D2419" s="344"/>
      <c r="E2419" s="345"/>
      <c r="F2419" s="346"/>
    </row>
    <row r="2420" spans="1:6" ht="20.25">
      <c r="A2420" s="343"/>
      <c r="B2420" s="344"/>
      <c r="C2420" s="344"/>
      <c r="D2420" s="344"/>
      <c r="E2420" s="345"/>
      <c r="F2420" s="346"/>
    </row>
    <row r="2421" spans="1:6" ht="20.25">
      <c r="A2421" s="343"/>
      <c r="B2421" s="344"/>
      <c r="C2421" s="344"/>
      <c r="D2421" s="344"/>
      <c r="E2421" s="345"/>
      <c r="F2421" s="346"/>
    </row>
    <row r="2422" spans="1:6" ht="20.25">
      <c r="A2422" s="343"/>
      <c r="B2422" s="344"/>
      <c r="C2422" s="344"/>
      <c r="D2422" s="344"/>
      <c r="E2422" s="345"/>
      <c r="F2422" s="346"/>
    </row>
    <row r="2423" spans="1:6" ht="20.25">
      <c r="A2423" s="343"/>
      <c r="B2423" s="344"/>
      <c r="C2423" s="344"/>
      <c r="D2423" s="344"/>
      <c r="E2423" s="345"/>
      <c r="F2423" s="346"/>
    </row>
    <row r="2424" spans="1:6" ht="20.25">
      <c r="A2424" s="343"/>
      <c r="B2424" s="344"/>
      <c r="C2424" s="344"/>
      <c r="D2424" s="344"/>
      <c r="E2424" s="345"/>
      <c r="F2424" s="346"/>
    </row>
    <row r="2425" spans="1:6" ht="20.25">
      <c r="A2425" s="343"/>
      <c r="B2425" s="344"/>
      <c r="C2425" s="344"/>
      <c r="D2425" s="344"/>
      <c r="E2425" s="345"/>
      <c r="F2425" s="346"/>
    </row>
    <row r="2426" spans="1:6" ht="20.25">
      <c r="A2426" s="343"/>
      <c r="B2426" s="344"/>
      <c r="C2426" s="344"/>
      <c r="D2426" s="344"/>
      <c r="E2426" s="345"/>
      <c r="F2426" s="346"/>
    </row>
    <row r="2427" spans="1:6" ht="20.25">
      <c r="A2427" s="343"/>
      <c r="B2427" s="344"/>
      <c r="C2427" s="344"/>
      <c r="D2427" s="344"/>
      <c r="E2427" s="345"/>
      <c r="F2427" s="346"/>
    </row>
    <row r="2428" spans="1:6" ht="20.25">
      <c r="A2428" s="343"/>
      <c r="B2428" s="344"/>
      <c r="C2428" s="344"/>
      <c r="D2428" s="344"/>
      <c r="E2428" s="345"/>
      <c r="F2428" s="346"/>
    </row>
    <row r="2429" spans="1:6" ht="20.25">
      <c r="A2429" s="343"/>
      <c r="B2429" s="344"/>
      <c r="C2429" s="344"/>
      <c r="D2429" s="344"/>
      <c r="E2429" s="345"/>
      <c r="F2429" s="346"/>
    </row>
    <row r="2430" spans="1:6" ht="20.25">
      <c r="A2430" s="343"/>
      <c r="B2430" s="344"/>
      <c r="C2430" s="344"/>
      <c r="D2430" s="344"/>
      <c r="E2430" s="345"/>
      <c r="F2430" s="346"/>
    </row>
    <row r="2431" spans="1:6" ht="20.25">
      <c r="A2431" s="343"/>
      <c r="B2431" s="344"/>
      <c r="C2431" s="344"/>
      <c r="D2431" s="344"/>
      <c r="E2431" s="345"/>
      <c r="F2431" s="346"/>
    </row>
    <row r="2432" spans="1:6" ht="20.25">
      <c r="A2432" s="343"/>
      <c r="B2432" s="344"/>
      <c r="C2432" s="344"/>
      <c r="D2432" s="344"/>
      <c r="E2432" s="345"/>
      <c r="F2432" s="346"/>
    </row>
    <row r="2433" spans="1:6" ht="20.25">
      <c r="A2433" s="343"/>
      <c r="B2433" s="344"/>
      <c r="C2433" s="344"/>
      <c r="D2433" s="344"/>
      <c r="E2433" s="345"/>
      <c r="F2433" s="346"/>
    </row>
    <row r="2434" spans="1:6" ht="20.25">
      <c r="A2434" s="343"/>
      <c r="B2434" s="344"/>
      <c r="C2434" s="344"/>
      <c r="D2434" s="344"/>
      <c r="E2434" s="345"/>
      <c r="F2434" s="346"/>
    </row>
    <row r="2435" spans="1:6" ht="20.25">
      <c r="A2435" s="343"/>
      <c r="B2435" s="344"/>
      <c r="C2435" s="344"/>
      <c r="D2435" s="344"/>
      <c r="E2435" s="345"/>
      <c r="F2435" s="346"/>
    </row>
    <row r="2436" spans="1:6" ht="20.25">
      <c r="A2436" s="343"/>
      <c r="B2436" s="344"/>
      <c r="C2436" s="344"/>
      <c r="D2436" s="344"/>
      <c r="E2436" s="345"/>
      <c r="F2436" s="346"/>
    </row>
    <row r="2437" spans="1:6" ht="20.25">
      <c r="A2437" s="343"/>
      <c r="B2437" s="344"/>
      <c r="C2437" s="344"/>
      <c r="D2437" s="344"/>
      <c r="E2437" s="345"/>
      <c r="F2437" s="346"/>
    </row>
    <row r="2438" spans="1:6" ht="20.25">
      <c r="A2438" s="343"/>
      <c r="B2438" s="344"/>
      <c r="C2438" s="344"/>
      <c r="D2438" s="344"/>
      <c r="E2438" s="345"/>
      <c r="F2438" s="346"/>
    </row>
    <row r="2439" spans="1:6" ht="20.25">
      <c r="A2439" s="343"/>
      <c r="B2439" s="344"/>
      <c r="C2439" s="344"/>
      <c r="D2439" s="344"/>
      <c r="E2439" s="345"/>
      <c r="F2439" s="346"/>
    </row>
    <row r="2440" spans="1:6" ht="20.25">
      <c r="A2440" s="343"/>
      <c r="B2440" s="344"/>
      <c r="C2440" s="344"/>
      <c r="D2440" s="344"/>
      <c r="E2440" s="345"/>
      <c r="F2440" s="346"/>
    </row>
    <row r="2441" spans="1:6" ht="20.25">
      <c r="A2441" s="343"/>
      <c r="B2441" s="344"/>
      <c r="C2441" s="344"/>
      <c r="D2441" s="344"/>
      <c r="E2441" s="345"/>
      <c r="F2441" s="346"/>
    </row>
    <row r="2442" spans="1:6" ht="20.25">
      <c r="A2442" s="343"/>
      <c r="B2442" s="344"/>
      <c r="C2442" s="344"/>
      <c r="D2442" s="344"/>
      <c r="E2442" s="345"/>
      <c r="F2442" s="346"/>
    </row>
    <row r="2443" spans="1:6" ht="20.25">
      <c r="A2443" s="343"/>
      <c r="B2443" s="344"/>
      <c r="C2443" s="344"/>
      <c r="D2443" s="344"/>
      <c r="E2443" s="345"/>
      <c r="F2443" s="346"/>
    </row>
    <row r="2444" spans="1:6" ht="20.25">
      <c r="A2444" s="343"/>
      <c r="B2444" s="344"/>
      <c r="C2444" s="344"/>
      <c r="D2444" s="344"/>
      <c r="E2444" s="345"/>
      <c r="F2444" s="346"/>
    </row>
    <row r="2445" spans="1:6" ht="20.25">
      <c r="A2445" s="343"/>
      <c r="B2445" s="344"/>
      <c r="C2445" s="344"/>
      <c r="D2445" s="344"/>
      <c r="E2445" s="345"/>
      <c r="F2445" s="346"/>
    </row>
    <row r="2446" spans="1:6" ht="20.25">
      <c r="A2446" s="343"/>
      <c r="B2446" s="344"/>
      <c r="C2446" s="344"/>
      <c r="D2446" s="344"/>
      <c r="E2446" s="345"/>
      <c r="F2446" s="346"/>
    </row>
    <row r="2447" spans="1:6" ht="20.25">
      <c r="A2447" s="343"/>
      <c r="B2447" s="344"/>
      <c r="C2447" s="344"/>
      <c r="D2447" s="344"/>
      <c r="E2447" s="345"/>
      <c r="F2447" s="346"/>
    </row>
    <row r="2448" spans="1:6" ht="20.25">
      <c r="A2448" s="343"/>
      <c r="B2448" s="344"/>
      <c r="C2448" s="344"/>
      <c r="D2448" s="344"/>
      <c r="E2448" s="345"/>
      <c r="F2448" s="346"/>
    </row>
    <row r="2449" spans="1:6" ht="20.25">
      <c r="A2449" s="343"/>
      <c r="B2449" s="344"/>
      <c r="C2449" s="344"/>
      <c r="D2449" s="344"/>
      <c r="E2449" s="345"/>
      <c r="F2449" s="346"/>
    </row>
    <row r="2450" spans="1:6" ht="20.25">
      <c r="A2450" s="343"/>
      <c r="B2450" s="344"/>
      <c r="C2450" s="344"/>
      <c r="D2450" s="344"/>
      <c r="E2450" s="345"/>
      <c r="F2450" s="346"/>
    </row>
    <row r="2451" spans="1:6" ht="20.25">
      <c r="A2451" s="343"/>
      <c r="B2451" s="344"/>
      <c r="C2451" s="344"/>
      <c r="D2451" s="344"/>
      <c r="E2451" s="345"/>
      <c r="F2451" s="346"/>
    </row>
    <row r="2452" spans="1:6" ht="20.25">
      <c r="A2452" s="343"/>
      <c r="B2452" s="344"/>
      <c r="C2452" s="344"/>
      <c r="D2452" s="344"/>
      <c r="E2452" s="345"/>
      <c r="F2452" s="346"/>
    </row>
    <row r="2453" spans="1:6" ht="20.25">
      <c r="A2453" s="343"/>
      <c r="B2453" s="344"/>
      <c r="C2453" s="344"/>
      <c r="D2453" s="344"/>
      <c r="E2453" s="345"/>
      <c r="F2453" s="346"/>
    </row>
    <row r="2454" spans="1:6" ht="20.25">
      <c r="A2454" s="343"/>
      <c r="B2454" s="344"/>
      <c r="C2454" s="344"/>
      <c r="D2454" s="344"/>
      <c r="E2454" s="345"/>
      <c r="F2454" s="346"/>
    </row>
    <row r="2455" spans="1:6" ht="20.25">
      <c r="A2455" s="343"/>
      <c r="B2455" s="344"/>
      <c r="C2455" s="344"/>
      <c r="D2455" s="344"/>
      <c r="E2455" s="345"/>
      <c r="F2455" s="346"/>
    </row>
    <row r="2456" spans="1:6" ht="20.25">
      <c r="A2456" s="343"/>
      <c r="B2456" s="344"/>
      <c r="C2456" s="344"/>
      <c r="D2456" s="344"/>
      <c r="E2456" s="345"/>
      <c r="F2456" s="346"/>
    </row>
    <row r="2457" spans="1:6" ht="20.25">
      <c r="A2457" s="343"/>
      <c r="B2457" s="344"/>
      <c r="C2457" s="344"/>
      <c r="D2457" s="344"/>
      <c r="E2457" s="345"/>
      <c r="F2457" s="346"/>
    </row>
    <row r="2458" spans="1:6" ht="20.25">
      <c r="A2458" s="343"/>
      <c r="B2458" s="344"/>
      <c r="C2458" s="344"/>
      <c r="D2458" s="344"/>
      <c r="E2458" s="345"/>
      <c r="F2458" s="346"/>
    </row>
    <row r="2459" spans="1:6" ht="20.25">
      <c r="A2459" s="343"/>
      <c r="B2459" s="344"/>
      <c r="C2459" s="344"/>
      <c r="D2459" s="344"/>
      <c r="E2459" s="345"/>
      <c r="F2459" s="346"/>
    </row>
    <row r="2460" spans="1:6" ht="20.25">
      <c r="A2460" s="343"/>
      <c r="B2460" s="344"/>
      <c r="C2460" s="344"/>
      <c r="D2460" s="344"/>
      <c r="E2460" s="345"/>
      <c r="F2460" s="346"/>
    </row>
    <row r="2461" spans="1:6" ht="20.25">
      <c r="A2461" s="343"/>
      <c r="B2461" s="344"/>
      <c r="C2461" s="344"/>
      <c r="D2461" s="344"/>
      <c r="E2461" s="345"/>
      <c r="F2461" s="346"/>
    </row>
    <row r="2462" spans="1:6" ht="20.25">
      <c r="A2462" s="343"/>
      <c r="B2462" s="344"/>
      <c r="C2462" s="344"/>
      <c r="D2462" s="344"/>
      <c r="E2462" s="345"/>
      <c r="F2462" s="346"/>
    </row>
    <row r="2463" spans="1:6" ht="20.25">
      <c r="A2463" s="343"/>
      <c r="B2463" s="344"/>
      <c r="C2463" s="344"/>
      <c r="D2463" s="344"/>
      <c r="E2463" s="345"/>
      <c r="F2463" s="346"/>
    </row>
    <row r="2464" spans="1:6" ht="20.25">
      <c r="A2464" s="343"/>
      <c r="B2464" s="344"/>
      <c r="C2464" s="344"/>
      <c r="D2464" s="344"/>
      <c r="E2464" s="345"/>
      <c r="F2464" s="346"/>
    </row>
    <row r="2465" spans="1:6" ht="20.25">
      <c r="A2465" s="343"/>
      <c r="B2465" s="344"/>
      <c r="C2465" s="344"/>
      <c r="D2465" s="344"/>
      <c r="E2465" s="345"/>
      <c r="F2465" s="346"/>
    </row>
    <row r="2466" spans="1:6" ht="20.25">
      <c r="A2466" s="343"/>
      <c r="B2466" s="344"/>
      <c r="C2466" s="344"/>
      <c r="D2466" s="344"/>
      <c r="E2466" s="345"/>
      <c r="F2466" s="346"/>
    </row>
    <row r="2467" spans="1:6" ht="20.25">
      <c r="A2467" s="343"/>
      <c r="B2467" s="344"/>
      <c r="C2467" s="344"/>
      <c r="D2467" s="344"/>
      <c r="E2467" s="345"/>
      <c r="F2467" s="346"/>
    </row>
    <row r="2468" spans="1:6" ht="20.25">
      <c r="A2468" s="343"/>
      <c r="B2468" s="344"/>
      <c r="C2468" s="344"/>
      <c r="D2468" s="344"/>
      <c r="E2468" s="345"/>
      <c r="F2468" s="346"/>
    </row>
    <row r="2469" spans="1:6" ht="20.25">
      <c r="A2469" s="343"/>
      <c r="B2469" s="344"/>
      <c r="C2469" s="344"/>
      <c r="D2469" s="344"/>
      <c r="E2469" s="345"/>
      <c r="F2469" s="346"/>
    </row>
    <row r="2470" spans="1:6" ht="20.25">
      <c r="A2470" s="343"/>
      <c r="B2470" s="344"/>
      <c r="C2470" s="344"/>
      <c r="D2470" s="344"/>
      <c r="E2470" s="345"/>
      <c r="F2470" s="346"/>
    </row>
    <row r="2471" spans="1:6" ht="20.25">
      <c r="A2471" s="343"/>
      <c r="B2471" s="344"/>
      <c r="C2471" s="344"/>
      <c r="D2471" s="344"/>
      <c r="E2471" s="345"/>
      <c r="F2471" s="346"/>
    </row>
    <row r="2472" spans="1:6" ht="20.25">
      <c r="A2472" s="343"/>
      <c r="B2472" s="344"/>
      <c r="C2472" s="344"/>
      <c r="D2472" s="344"/>
      <c r="E2472" s="345"/>
      <c r="F2472" s="346"/>
    </row>
    <row r="2473" spans="1:6" ht="20.25">
      <c r="A2473" s="343"/>
      <c r="B2473" s="344"/>
      <c r="C2473" s="344"/>
      <c r="D2473" s="344"/>
      <c r="E2473" s="345"/>
      <c r="F2473" s="346"/>
    </row>
    <row r="2474" spans="1:6" ht="20.25">
      <c r="A2474" s="343"/>
      <c r="B2474" s="344"/>
      <c r="C2474" s="344"/>
      <c r="D2474" s="344"/>
      <c r="E2474" s="345"/>
      <c r="F2474" s="346"/>
    </row>
    <row r="2475" spans="1:6" ht="20.25">
      <c r="A2475" s="343"/>
      <c r="B2475" s="344"/>
      <c r="C2475" s="344"/>
      <c r="D2475" s="344"/>
      <c r="E2475" s="345"/>
      <c r="F2475" s="346"/>
    </row>
    <row r="2476" spans="1:6" ht="20.25">
      <c r="A2476" s="343"/>
      <c r="B2476" s="344"/>
      <c r="C2476" s="344"/>
      <c r="D2476" s="344"/>
      <c r="E2476" s="345"/>
      <c r="F2476" s="346"/>
    </row>
    <row r="2477" spans="1:6" ht="20.25">
      <c r="A2477" s="343"/>
      <c r="B2477" s="344"/>
      <c r="C2477" s="344"/>
      <c r="D2477" s="344"/>
      <c r="E2477" s="345"/>
      <c r="F2477" s="346"/>
    </row>
    <row r="2478" spans="1:6" ht="20.25">
      <c r="A2478" s="343"/>
      <c r="B2478" s="344"/>
      <c r="C2478" s="344"/>
      <c r="D2478" s="344"/>
      <c r="E2478" s="345"/>
      <c r="F2478" s="346"/>
    </row>
    <row r="2479" spans="1:6" ht="20.25">
      <c r="A2479" s="343"/>
      <c r="B2479" s="344"/>
      <c r="C2479" s="344"/>
      <c r="D2479" s="344"/>
      <c r="E2479" s="345"/>
      <c r="F2479" s="346"/>
    </row>
    <row r="2480" spans="1:6" ht="20.25">
      <c r="A2480" s="343"/>
      <c r="B2480" s="344"/>
      <c r="C2480" s="344"/>
      <c r="D2480" s="344"/>
      <c r="E2480" s="345"/>
      <c r="F2480" s="346"/>
    </row>
    <row r="2481" spans="1:6" ht="20.25">
      <c r="A2481" s="343"/>
      <c r="B2481" s="344"/>
      <c r="C2481" s="344"/>
      <c r="D2481" s="344"/>
      <c r="E2481" s="345"/>
      <c r="F2481" s="346"/>
    </row>
    <row r="2482" spans="1:6" ht="20.25">
      <c r="A2482" s="343"/>
      <c r="B2482" s="344"/>
      <c r="C2482" s="344"/>
      <c r="D2482" s="344"/>
      <c r="E2482" s="345"/>
      <c r="F2482" s="346"/>
    </row>
    <row r="2483" spans="1:6" ht="20.25">
      <c r="A2483" s="343"/>
      <c r="B2483" s="344"/>
      <c r="C2483" s="344"/>
      <c r="D2483" s="344"/>
      <c r="E2483" s="345"/>
      <c r="F2483" s="346"/>
    </row>
    <row r="2484" spans="1:6" ht="20.25">
      <c r="A2484" s="343"/>
      <c r="B2484" s="344"/>
      <c r="C2484" s="344"/>
      <c r="D2484" s="344"/>
      <c r="E2484" s="345"/>
      <c r="F2484" s="346"/>
    </row>
    <row r="2485" spans="1:6" ht="20.25">
      <c r="A2485" s="343"/>
      <c r="B2485" s="344"/>
      <c r="C2485" s="344"/>
      <c r="D2485" s="344"/>
      <c r="E2485" s="345"/>
      <c r="F2485" s="346"/>
    </row>
    <row r="2486" spans="1:6" ht="20.25">
      <c r="A2486" s="343"/>
      <c r="B2486" s="344"/>
      <c r="C2486" s="344"/>
      <c r="D2486" s="344"/>
      <c r="E2486" s="345"/>
      <c r="F2486" s="346"/>
    </row>
    <row r="2487" spans="1:6" ht="20.25">
      <c r="A2487" s="343"/>
      <c r="B2487" s="344"/>
      <c r="C2487" s="344"/>
      <c r="D2487" s="344"/>
      <c r="E2487" s="345"/>
      <c r="F2487" s="346"/>
    </row>
    <row r="2488" spans="1:6" ht="20.25">
      <c r="A2488" s="343"/>
      <c r="B2488" s="344"/>
      <c r="C2488" s="344"/>
      <c r="D2488" s="344"/>
      <c r="E2488" s="345"/>
      <c r="F2488" s="346"/>
    </row>
    <row r="2489" spans="1:6" ht="20.25">
      <c r="A2489" s="343"/>
      <c r="B2489" s="344"/>
      <c r="C2489" s="344"/>
      <c r="D2489" s="344"/>
      <c r="E2489" s="345"/>
      <c r="F2489" s="346"/>
    </row>
    <row r="2490" spans="1:6" ht="20.25">
      <c r="A2490" s="343"/>
      <c r="B2490" s="344"/>
      <c r="C2490" s="344"/>
      <c r="D2490" s="344"/>
      <c r="E2490" s="345"/>
      <c r="F2490" s="346"/>
    </row>
    <row r="2491" spans="1:6" ht="20.25">
      <c r="A2491" s="343"/>
      <c r="B2491" s="344"/>
      <c r="C2491" s="344"/>
      <c r="D2491" s="344"/>
      <c r="E2491" s="345"/>
      <c r="F2491" s="346"/>
    </row>
    <row r="2492" spans="1:6" ht="20.25">
      <c r="A2492" s="343"/>
      <c r="B2492" s="344"/>
      <c r="C2492" s="344"/>
      <c r="D2492" s="344"/>
      <c r="E2492" s="345"/>
      <c r="F2492" s="346"/>
    </row>
    <row r="2493" spans="1:6" ht="20.25">
      <c r="A2493" s="343"/>
      <c r="B2493" s="344"/>
      <c r="C2493" s="344"/>
      <c r="D2493" s="344"/>
      <c r="E2493" s="345"/>
      <c r="F2493" s="346"/>
    </row>
    <row r="2494" spans="1:6" ht="20.25">
      <c r="A2494" s="343"/>
      <c r="B2494" s="344"/>
      <c r="C2494" s="344"/>
      <c r="D2494" s="344"/>
      <c r="E2494" s="345"/>
      <c r="F2494" s="346"/>
    </row>
    <row r="2495" spans="1:6" ht="20.25">
      <c r="A2495" s="343"/>
      <c r="B2495" s="344"/>
      <c r="C2495" s="344"/>
      <c r="D2495" s="344"/>
      <c r="E2495" s="345"/>
      <c r="F2495" s="346"/>
    </row>
    <row r="2496" spans="1:6" ht="20.25">
      <c r="A2496" s="343"/>
      <c r="B2496" s="344"/>
      <c r="C2496" s="344"/>
      <c r="D2496" s="344"/>
      <c r="E2496" s="345"/>
      <c r="F2496" s="346"/>
    </row>
    <row r="2497" spans="1:6" ht="20.25">
      <c r="A2497" s="343"/>
      <c r="B2497" s="344"/>
      <c r="C2497" s="344"/>
      <c r="D2497" s="344"/>
      <c r="E2497" s="345"/>
      <c r="F2497" s="346"/>
    </row>
    <row r="2498" spans="1:6" ht="20.25">
      <c r="A2498" s="343"/>
      <c r="B2498" s="344"/>
      <c r="C2498" s="344"/>
      <c r="D2498" s="344"/>
      <c r="E2498" s="345"/>
      <c r="F2498" s="346"/>
    </row>
    <row r="2499" spans="1:6" ht="20.25">
      <c r="A2499" s="343"/>
      <c r="B2499" s="344"/>
      <c r="C2499" s="344"/>
      <c r="D2499" s="344"/>
      <c r="E2499" s="345"/>
      <c r="F2499" s="346"/>
    </row>
    <row r="2500" spans="1:6" ht="20.25">
      <c r="A2500" s="343"/>
      <c r="B2500" s="344"/>
      <c r="C2500" s="344"/>
      <c r="D2500" s="344"/>
      <c r="E2500" s="345"/>
      <c r="F2500" s="346"/>
    </row>
    <row r="2501" spans="1:6" ht="20.25">
      <c r="A2501" s="343"/>
      <c r="B2501" s="344"/>
      <c r="C2501" s="344"/>
      <c r="D2501" s="344"/>
      <c r="E2501" s="345"/>
      <c r="F2501" s="346"/>
    </row>
    <row r="2502" spans="1:6" ht="20.25">
      <c r="A2502" s="343"/>
      <c r="B2502" s="344"/>
      <c r="C2502" s="344"/>
      <c r="D2502" s="344"/>
      <c r="E2502" s="345"/>
      <c r="F2502" s="346"/>
    </row>
    <row r="2503" spans="1:6" ht="20.25">
      <c r="A2503" s="343"/>
      <c r="B2503" s="344"/>
      <c r="C2503" s="344"/>
      <c r="D2503" s="344"/>
      <c r="E2503" s="345"/>
      <c r="F2503" s="346"/>
    </row>
    <row r="2504" spans="1:6" ht="20.25">
      <c r="A2504" s="343"/>
      <c r="B2504" s="344"/>
      <c r="C2504" s="344"/>
      <c r="D2504" s="344"/>
      <c r="E2504" s="345"/>
      <c r="F2504" s="346"/>
    </row>
    <row r="2505" spans="1:6" ht="20.25">
      <c r="A2505" s="343"/>
      <c r="B2505" s="344"/>
      <c r="C2505" s="344"/>
      <c r="D2505" s="344"/>
      <c r="E2505" s="345"/>
      <c r="F2505" s="346"/>
    </row>
    <row r="2506" spans="1:6" ht="20.25">
      <c r="A2506" s="343"/>
      <c r="B2506" s="344"/>
      <c r="C2506" s="344"/>
      <c r="D2506" s="344"/>
      <c r="E2506" s="345"/>
      <c r="F2506" s="346"/>
    </row>
    <row r="2507" spans="1:6" ht="20.25">
      <c r="A2507" s="343"/>
      <c r="B2507" s="344"/>
      <c r="C2507" s="344"/>
      <c r="D2507" s="344"/>
      <c r="E2507" s="345"/>
      <c r="F2507" s="346"/>
    </row>
    <row r="2508" spans="1:6" ht="20.25">
      <c r="A2508" s="343"/>
      <c r="B2508" s="344"/>
      <c r="C2508" s="344"/>
      <c r="D2508" s="344"/>
      <c r="E2508" s="345"/>
      <c r="F2508" s="346"/>
    </row>
    <row r="2509" spans="1:6" ht="20.25">
      <c r="A2509" s="343"/>
      <c r="B2509" s="344"/>
      <c r="C2509" s="344"/>
      <c r="D2509" s="344"/>
      <c r="E2509" s="345"/>
      <c r="F2509" s="346"/>
    </row>
    <row r="2510" spans="1:6" ht="20.25">
      <c r="A2510" s="343"/>
      <c r="B2510" s="344"/>
      <c r="C2510" s="344"/>
      <c r="D2510" s="344"/>
      <c r="E2510" s="345"/>
      <c r="F2510" s="346"/>
    </row>
    <row r="2511" spans="1:6" ht="20.25">
      <c r="A2511" s="343"/>
      <c r="B2511" s="344"/>
      <c r="C2511" s="344"/>
      <c r="D2511" s="344"/>
      <c r="E2511" s="345"/>
      <c r="F2511" s="346"/>
    </row>
    <row r="2512" spans="1:6" ht="20.25">
      <c r="A2512" s="343"/>
      <c r="B2512" s="344"/>
      <c r="C2512" s="344"/>
      <c r="D2512" s="344"/>
      <c r="E2512" s="345"/>
      <c r="F2512" s="346"/>
    </row>
    <row r="2513" spans="1:6" ht="20.25">
      <c r="A2513" s="343"/>
      <c r="B2513" s="344"/>
      <c r="C2513" s="344"/>
      <c r="D2513" s="344"/>
      <c r="E2513" s="345"/>
      <c r="F2513" s="346"/>
    </row>
    <row r="2514" spans="1:6" ht="20.25">
      <c r="A2514" s="343"/>
      <c r="B2514" s="344"/>
      <c r="C2514" s="344"/>
      <c r="D2514" s="344"/>
      <c r="E2514" s="345"/>
      <c r="F2514" s="346"/>
    </row>
    <row r="2515" spans="1:6" ht="20.25">
      <c r="A2515" s="343"/>
      <c r="B2515" s="344"/>
      <c r="C2515" s="344"/>
      <c r="D2515" s="344"/>
      <c r="E2515" s="345"/>
      <c r="F2515" s="346"/>
    </row>
    <row r="2516" spans="1:6" ht="20.25">
      <c r="A2516" s="343"/>
      <c r="B2516" s="344"/>
      <c r="C2516" s="344"/>
      <c r="D2516" s="344"/>
      <c r="E2516" s="345"/>
      <c r="F2516" s="346"/>
    </row>
    <row r="2517" spans="1:6" ht="20.25">
      <c r="A2517" s="343"/>
      <c r="B2517" s="344"/>
      <c r="C2517" s="344"/>
      <c r="D2517" s="344"/>
      <c r="E2517" s="345"/>
      <c r="F2517" s="346"/>
    </row>
    <row r="2518" spans="1:6" ht="20.25">
      <c r="A2518" s="343"/>
      <c r="B2518" s="344"/>
      <c r="C2518" s="344"/>
      <c r="D2518" s="344"/>
      <c r="E2518" s="345"/>
      <c r="F2518" s="346"/>
    </row>
    <row r="2519" spans="1:6" ht="20.25">
      <c r="A2519" s="343"/>
      <c r="B2519" s="344"/>
      <c r="C2519" s="344"/>
      <c r="D2519" s="344"/>
      <c r="E2519" s="345"/>
      <c r="F2519" s="346"/>
    </row>
    <row r="2520" spans="1:6" ht="20.25">
      <c r="A2520" s="343"/>
      <c r="B2520" s="344"/>
      <c r="C2520" s="344"/>
      <c r="D2520" s="344"/>
      <c r="E2520" s="345"/>
      <c r="F2520" s="346"/>
    </row>
    <row r="2521" spans="1:6" ht="20.25">
      <c r="A2521" s="343"/>
      <c r="B2521" s="344"/>
      <c r="C2521" s="344"/>
      <c r="D2521" s="344"/>
      <c r="E2521" s="345"/>
      <c r="F2521" s="346"/>
    </row>
    <row r="2522" spans="1:6" ht="20.25">
      <c r="A2522" s="343"/>
      <c r="B2522" s="344"/>
      <c r="C2522" s="344"/>
      <c r="D2522" s="344"/>
      <c r="E2522" s="345"/>
      <c r="F2522" s="346"/>
    </row>
    <row r="2523" spans="1:6" ht="20.25">
      <c r="A2523" s="343"/>
      <c r="B2523" s="344"/>
      <c r="C2523" s="344"/>
      <c r="D2523" s="344"/>
      <c r="E2523" s="345"/>
      <c r="F2523" s="346"/>
    </row>
    <row r="2524" spans="1:6" ht="20.25">
      <c r="A2524" s="343"/>
      <c r="B2524" s="344"/>
      <c r="C2524" s="344"/>
      <c r="D2524" s="344"/>
      <c r="E2524" s="345"/>
      <c r="F2524" s="346"/>
    </row>
    <row r="2525" spans="1:6" ht="20.25">
      <c r="A2525" s="343"/>
      <c r="B2525" s="344"/>
      <c r="C2525" s="344"/>
      <c r="D2525" s="344"/>
      <c r="E2525" s="345"/>
      <c r="F2525" s="346"/>
    </row>
    <row r="2526" spans="1:6" ht="20.25">
      <c r="A2526" s="343"/>
      <c r="B2526" s="344"/>
      <c r="C2526" s="344"/>
      <c r="D2526" s="344"/>
      <c r="E2526" s="345"/>
      <c r="F2526" s="346"/>
    </row>
    <row r="2527" spans="1:6" ht="20.25">
      <c r="A2527" s="343"/>
      <c r="B2527" s="344"/>
      <c r="C2527" s="344"/>
      <c r="D2527" s="344"/>
      <c r="E2527" s="345"/>
      <c r="F2527" s="346"/>
    </row>
    <row r="2528" spans="1:6" ht="20.25">
      <c r="A2528" s="343"/>
      <c r="B2528" s="344"/>
      <c r="C2528" s="344"/>
      <c r="D2528" s="344"/>
      <c r="E2528" s="345"/>
      <c r="F2528" s="346"/>
    </row>
    <row r="2529" spans="1:6" ht="20.25">
      <c r="A2529" s="343"/>
      <c r="B2529" s="344"/>
      <c r="C2529" s="344"/>
      <c r="D2529" s="344"/>
      <c r="E2529" s="345"/>
      <c r="F2529" s="346"/>
    </row>
    <row r="2530" spans="1:6" ht="20.25">
      <c r="A2530" s="343"/>
      <c r="B2530" s="344"/>
      <c r="C2530" s="344"/>
      <c r="D2530" s="344"/>
      <c r="E2530" s="345"/>
      <c r="F2530" s="346"/>
    </row>
    <row r="2531" spans="1:6" ht="20.25">
      <c r="A2531" s="343"/>
      <c r="B2531" s="344"/>
      <c r="C2531" s="344"/>
      <c r="D2531" s="344"/>
      <c r="E2531" s="345"/>
      <c r="F2531" s="346"/>
    </row>
    <row r="2532" spans="1:6" ht="20.25">
      <c r="A2532" s="343"/>
      <c r="B2532" s="344"/>
      <c r="C2532" s="344"/>
      <c r="D2532" s="344"/>
      <c r="E2532" s="345"/>
      <c r="F2532" s="346"/>
    </row>
    <row r="2533" spans="1:6" ht="20.25">
      <c r="A2533" s="343"/>
      <c r="B2533" s="344"/>
      <c r="C2533" s="344"/>
      <c r="D2533" s="344"/>
      <c r="E2533" s="345"/>
      <c r="F2533" s="346"/>
    </row>
    <row r="2534" spans="1:6" ht="20.25">
      <c r="A2534" s="343"/>
      <c r="B2534" s="344"/>
      <c r="C2534" s="344"/>
      <c r="D2534" s="344"/>
      <c r="E2534" s="345"/>
      <c r="F2534" s="346"/>
    </row>
    <row r="2535" spans="1:6" ht="20.25">
      <c r="A2535" s="343"/>
      <c r="B2535" s="344"/>
      <c r="C2535" s="344"/>
      <c r="D2535" s="344"/>
      <c r="E2535" s="345"/>
      <c r="F2535" s="346"/>
    </row>
    <row r="2536" spans="1:6" ht="20.25">
      <c r="A2536" s="343"/>
      <c r="B2536" s="344"/>
      <c r="C2536" s="344"/>
      <c r="D2536" s="344"/>
      <c r="E2536" s="345"/>
      <c r="F2536" s="346"/>
    </row>
    <row r="2537" spans="1:6" ht="20.25">
      <c r="A2537" s="343"/>
      <c r="B2537" s="344"/>
      <c r="C2537" s="344"/>
      <c r="D2537" s="344"/>
      <c r="E2537" s="345"/>
      <c r="F2537" s="346"/>
    </row>
    <row r="2538" spans="1:6" ht="20.25">
      <c r="A2538" s="343"/>
      <c r="B2538" s="344"/>
      <c r="C2538" s="344"/>
      <c r="D2538" s="344"/>
      <c r="E2538" s="345"/>
      <c r="F2538" s="346"/>
    </row>
    <row r="2539" spans="1:6" ht="20.25">
      <c r="A2539" s="343"/>
      <c r="B2539" s="344"/>
      <c r="C2539" s="344"/>
      <c r="D2539" s="344"/>
      <c r="E2539" s="345"/>
      <c r="F2539" s="346"/>
    </row>
    <row r="2540" spans="1:6" ht="20.25">
      <c r="A2540" s="343"/>
      <c r="B2540" s="344"/>
      <c r="C2540" s="344"/>
      <c r="D2540" s="344"/>
      <c r="E2540" s="345"/>
      <c r="F2540" s="346"/>
    </row>
    <row r="2541" spans="1:6" ht="20.25">
      <c r="A2541" s="343"/>
      <c r="B2541" s="344"/>
      <c r="C2541" s="344"/>
      <c r="D2541" s="344"/>
      <c r="E2541" s="345"/>
      <c r="F2541" s="346"/>
    </row>
    <row r="2542" spans="1:6" ht="20.25">
      <c r="A2542" s="343"/>
      <c r="B2542" s="344"/>
      <c r="C2542" s="344"/>
      <c r="D2542" s="344"/>
      <c r="E2542" s="345"/>
      <c r="F2542" s="346"/>
    </row>
    <row r="2543" spans="1:6" ht="20.25">
      <c r="A2543" s="343"/>
      <c r="B2543" s="344"/>
      <c r="C2543" s="344"/>
      <c r="D2543" s="344"/>
      <c r="E2543" s="345"/>
      <c r="F2543" s="346"/>
    </row>
    <row r="2544" spans="1:6" ht="20.25">
      <c r="A2544" s="343"/>
      <c r="B2544" s="344"/>
      <c r="C2544" s="344"/>
      <c r="D2544" s="344"/>
      <c r="E2544" s="345"/>
      <c r="F2544" s="346"/>
    </row>
    <row r="2545" spans="1:6" ht="20.25">
      <c r="A2545" s="343"/>
      <c r="B2545" s="344"/>
      <c r="C2545" s="344"/>
      <c r="D2545" s="344"/>
      <c r="E2545" s="345"/>
      <c r="F2545" s="346"/>
    </row>
    <row r="2546" spans="1:6" ht="20.25">
      <c r="A2546" s="343"/>
      <c r="B2546" s="344"/>
      <c r="C2546" s="344"/>
      <c r="D2546" s="344"/>
      <c r="E2546" s="345"/>
      <c r="F2546" s="346"/>
    </row>
    <row r="2547" spans="1:6" ht="20.25">
      <c r="A2547" s="343"/>
      <c r="B2547" s="344"/>
      <c r="C2547" s="344"/>
      <c r="D2547" s="344"/>
      <c r="E2547" s="345"/>
      <c r="F2547" s="346"/>
    </row>
    <row r="2548" spans="1:6" ht="20.25">
      <c r="A2548" s="343"/>
      <c r="B2548" s="344"/>
      <c r="C2548" s="344"/>
      <c r="D2548" s="344"/>
      <c r="E2548" s="345"/>
      <c r="F2548" s="346"/>
    </row>
    <row r="2549" spans="1:6" ht="20.25">
      <c r="A2549" s="343"/>
      <c r="B2549" s="344"/>
      <c r="C2549" s="344"/>
      <c r="D2549" s="344"/>
      <c r="E2549" s="345"/>
      <c r="F2549" s="346"/>
    </row>
    <row r="2550" spans="1:6" ht="20.25">
      <c r="A2550" s="343"/>
      <c r="B2550" s="344"/>
      <c r="C2550" s="344"/>
      <c r="D2550" s="344"/>
      <c r="E2550" s="345"/>
      <c r="F2550" s="346"/>
    </row>
    <row r="2551" spans="1:6" ht="20.25">
      <c r="A2551" s="343"/>
      <c r="B2551" s="344"/>
      <c r="C2551" s="344"/>
      <c r="D2551" s="344"/>
      <c r="E2551" s="345"/>
      <c r="F2551" s="346"/>
    </row>
    <row r="2552" spans="1:6" ht="20.25">
      <c r="A2552" s="343"/>
      <c r="B2552" s="344"/>
      <c r="C2552" s="344"/>
      <c r="D2552" s="344"/>
      <c r="E2552" s="345"/>
      <c r="F2552" s="346"/>
    </row>
    <row r="2553" spans="1:6" ht="20.25">
      <c r="A2553" s="343"/>
      <c r="B2553" s="344"/>
      <c r="C2553" s="344"/>
      <c r="D2553" s="344"/>
      <c r="E2553" s="345"/>
      <c r="F2553" s="346"/>
    </row>
    <row r="2554" spans="1:6" ht="20.25">
      <c r="A2554" s="343"/>
      <c r="B2554" s="344"/>
      <c r="C2554" s="344"/>
      <c r="D2554" s="344"/>
      <c r="E2554" s="345"/>
      <c r="F2554" s="346"/>
    </row>
    <row r="2555" spans="1:6" ht="20.25">
      <c r="A2555" s="343"/>
      <c r="B2555" s="344"/>
      <c r="C2555" s="344"/>
      <c r="D2555" s="344"/>
      <c r="E2555" s="345"/>
      <c r="F2555" s="346"/>
    </row>
    <row r="2556" spans="1:6" ht="20.25">
      <c r="A2556" s="343"/>
      <c r="B2556" s="344"/>
      <c r="C2556" s="344"/>
      <c r="D2556" s="344"/>
      <c r="E2556" s="345"/>
      <c r="F2556" s="346"/>
    </row>
    <row r="2557" spans="1:6" ht="20.25">
      <c r="A2557" s="343"/>
      <c r="B2557" s="344"/>
      <c r="C2557" s="344"/>
      <c r="D2557" s="344"/>
      <c r="E2557" s="345"/>
      <c r="F2557" s="346"/>
    </row>
    <row r="2558" spans="1:6" ht="20.25">
      <c r="A2558" s="343"/>
      <c r="B2558" s="344"/>
      <c r="C2558" s="344"/>
      <c r="D2558" s="344"/>
      <c r="E2558" s="345"/>
      <c r="F2558" s="346"/>
    </row>
    <row r="2559" spans="1:6" ht="20.25">
      <c r="A2559" s="343"/>
      <c r="B2559" s="344"/>
      <c r="C2559" s="344"/>
      <c r="D2559" s="344"/>
      <c r="E2559" s="345"/>
      <c r="F2559" s="346"/>
    </row>
    <row r="2560" spans="1:6" ht="20.25">
      <c r="A2560" s="343"/>
      <c r="B2560" s="344"/>
      <c r="C2560" s="344"/>
      <c r="D2560" s="344"/>
      <c r="E2560" s="345"/>
      <c r="F2560" s="346"/>
    </row>
    <row r="2561" spans="1:6" ht="20.25">
      <c r="A2561" s="343"/>
      <c r="B2561" s="344"/>
      <c r="C2561" s="344"/>
      <c r="D2561" s="344"/>
      <c r="E2561" s="345"/>
      <c r="F2561" s="346"/>
    </row>
    <row r="2562" spans="1:6" ht="20.25">
      <c r="A2562" s="343"/>
      <c r="B2562" s="344"/>
      <c r="C2562" s="344"/>
      <c r="D2562" s="344"/>
      <c r="E2562" s="345"/>
      <c r="F2562" s="346"/>
    </row>
    <row r="2563" spans="1:6" ht="20.25">
      <c r="A2563" s="343"/>
      <c r="B2563" s="344"/>
      <c r="C2563" s="344"/>
      <c r="D2563" s="344"/>
      <c r="E2563" s="345"/>
      <c r="F2563" s="346"/>
    </row>
    <row r="2564" spans="1:6" ht="20.25">
      <c r="A2564" s="343"/>
      <c r="B2564" s="344"/>
      <c r="C2564" s="344"/>
      <c r="D2564" s="344"/>
      <c r="E2564" s="345"/>
      <c r="F2564" s="346"/>
    </row>
    <row r="2565" spans="1:6" ht="20.25">
      <c r="A2565" s="343"/>
      <c r="B2565" s="344"/>
      <c r="C2565" s="344"/>
      <c r="D2565" s="344"/>
      <c r="E2565" s="345"/>
      <c r="F2565" s="346"/>
    </row>
    <row r="2566" spans="1:6" ht="20.25">
      <c r="A2566" s="343"/>
      <c r="B2566" s="344"/>
      <c r="C2566" s="344"/>
      <c r="D2566" s="344"/>
      <c r="E2566" s="345"/>
      <c r="F2566" s="346"/>
    </row>
    <row r="2567" spans="1:6" ht="20.25">
      <c r="A2567" s="343"/>
      <c r="B2567" s="344"/>
      <c r="C2567" s="344"/>
      <c r="D2567" s="344"/>
      <c r="E2567" s="345"/>
      <c r="F2567" s="346"/>
    </row>
    <row r="2568" spans="1:6" ht="20.25">
      <c r="A2568" s="343"/>
      <c r="B2568" s="344"/>
      <c r="C2568" s="344"/>
      <c r="D2568" s="344"/>
      <c r="E2568" s="345"/>
      <c r="F2568" s="346"/>
    </row>
    <row r="2569" spans="1:6" ht="20.25">
      <c r="A2569" s="343"/>
      <c r="B2569" s="344"/>
      <c r="C2569" s="344"/>
      <c r="D2569" s="344"/>
      <c r="E2569" s="345"/>
      <c r="F2569" s="346"/>
    </row>
    <row r="2570" spans="1:6" ht="20.25">
      <c r="A2570" s="343"/>
      <c r="B2570" s="344"/>
      <c r="C2570" s="344"/>
      <c r="D2570" s="344"/>
      <c r="E2570" s="345"/>
      <c r="F2570" s="346"/>
    </row>
    <row r="2571" spans="1:6" ht="20.25">
      <c r="A2571" s="343"/>
      <c r="B2571" s="344"/>
      <c r="C2571" s="344"/>
      <c r="D2571" s="344"/>
      <c r="E2571" s="345"/>
      <c r="F2571" s="346"/>
    </row>
    <row r="2572" spans="1:6" ht="20.25">
      <c r="A2572" s="343"/>
      <c r="B2572" s="344"/>
      <c r="C2572" s="344"/>
      <c r="D2572" s="344"/>
      <c r="E2572" s="345"/>
      <c r="F2572" s="346"/>
    </row>
    <row r="2573" spans="1:6" ht="20.25">
      <c r="A2573" s="343"/>
      <c r="B2573" s="344"/>
      <c r="C2573" s="344"/>
      <c r="D2573" s="344"/>
      <c r="E2573" s="345"/>
      <c r="F2573" s="346"/>
    </row>
    <row r="2574" spans="1:6" ht="20.25">
      <c r="A2574" s="343"/>
      <c r="B2574" s="344"/>
      <c r="C2574" s="344"/>
      <c r="D2574" s="344"/>
      <c r="E2574" s="345"/>
      <c r="F2574" s="346"/>
    </row>
    <row r="2575" spans="1:6" ht="20.25">
      <c r="A2575" s="343"/>
      <c r="B2575" s="344"/>
      <c r="C2575" s="344"/>
      <c r="D2575" s="344"/>
      <c r="E2575" s="345"/>
      <c r="F2575" s="346"/>
    </row>
    <row r="2576" spans="1:6" ht="20.25">
      <c r="A2576" s="343"/>
      <c r="B2576" s="344"/>
      <c r="C2576" s="344"/>
      <c r="D2576" s="344"/>
      <c r="E2576" s="345"/>
      <c r="F2576" s="346"/>
    </row>
    <row r="2577" spans="1:6" ht="20.25">
      <c r="A2577" s="343"/>
      <c r="B2577" s="344"/>
      <c r="C2577" s="344"/>
      <c r="D2577" s="344"/>
      <c r="E2577" s="345"/>
      <c r="F2577" s="346"/>
    </row>
    <row r="2578" spans="1:6" ht="20.25">
      <c r="A2578" s="343"/>
      <c r="B2578" s="344"/>
      <c r="C2578" s="344"/>
      <c r="D2578" s="344"/>
      <c r="E2578" s="345"/>
      <c r="F2578" s="346"/>
    </row>
    <row r="2579" spans="1:6" ht="20.25">
      <c r="A2579" s="343"/>
      <c r="B2579" s="344"/>
      <c r="C2579" s="344"/>
      <c r="D2579" s="344"/>
      <c r="E2579" s="345"/>
      <c r="F2579" s="346"/>
    </row>
    <row r="2580" spans="1:6" ht="20.25">
      <c r="A2580" s="343"/>
      <c r="B2580" s="344"/>
      <c r="C2580" s="344"/>
      <c r="D2580" s="344"/>
      <c r="E2580" s="345"/>
      <c r="F2580" s="346"/>
    </row>
    <row r="2581" spans="1:6" ht="20.25">
      <c r="A2581" s="343"/>
      <c r="B2581" s="344"/>
      <c r="C2581" s="344"/>
      <c r="D2581" s="344"/>
      <c r="E2581" s="345"/>
      <c r="F2581" s="346"/>
    </row>
    <row r="2582" spans="1:6" ht="20.25">
      <c r="A2582" s="343"/>
      <c r="B2582" s="344"/>
      <c r="C2582" s="344"/>
      <c r="D2582" s="344"/>
      <c r="E2582" s="345"/>
      <c r="F2582" s="346"/>
    </row>
    <row r="2583" spans="1:6" ht="20.25">
      <c r="A2583" s="343"/>
      <c r="B2583" s="344"/>
      <c r="C2583" s="344"/>
      <c r="D2583" s="344"/>
      <c r="E2583" s="345"/>
      <c r="F2583" s="346"/>
    </row>
    <row r="2584" spans="1:6" ht="20.25">
      <c r="A2584" s="343"/>
      <c r="B2584" s="344"/>
      <c r="C2584" s="344"/>
      <c r="D2584" s="344"/>
      <c r="E2584" s="345"/>
      <c r="F2584" s="346"/>
    </row>
    <row r="2585" spans="1:6" ht="20.25">
      <c r="A2585" s="343"/>
      <c r="B2585" s="344"/>
      <c r="C2585" s="344"/>
      <c r="D2585" s="344"/>
      <c r="E2585" s="345"/>
      <c r="F2585" s="346"/>
    </row>
    <row r="2586" spans="1:6" ht="20.25">
      <c r="A2586" s="343"/>
      <c r="B2586" s="344"/>
      <c r="C2586" s="344"/>
      <c r="D2586" s="344"/>
      <c r="E2586" s="345"/>
      <c r="F2586" s="346"/>
    </row>
    <row r="2587" spans="1:6" ht="20.25">
      <c r="A2587" s="343"/>
      <c r="B2587" s="344"/>
      <c r="C2587" s="344"/>
      <c r="D2587" s="344"/>
      <c r="E2587" s="345"/>
      <c r="F2587" s="346"/>
    </row>
    <row r="2588" spans="1:6" ht="20.25">
      <c r="A2588" s="343"/>
      <c r="B2588" s="344"/>
      <c r="C2588" s="344"/>
      <c r="D2588" s="344"/>
      <c r="E2588" s="345"/>
      <c r="F2588" s="346"/>
    </row>
    <row r="2589" spans="1:6" ht="20.25">
      <c r="A2589" s="343"/>
      <c r="B2589" s="344"/>
      <c r="C2589" s="344"/>
      <c r="D2589" s="344"/>
      <c r="E2589" s="345"/>
      <c r="F2589" s="346"/>
    </row>
    <row r="2590" spans="1:6" ht="20.25">
      <c r="A2590" s="343"/>
      <c r="B2590" s="344"/>
      <c r="C2590" s="344"/>
      <c r="D2590" s="344"/>
      <c r="E2590" s="345"/>
      <c r="F2590" s="346"/>
    </row>
    <row r="2591" spans="1:6" ht="20.25">
      <c r="A2591" s="343"/>
      <c r="B2591" s="344"/>
      <c r="C2591" s="344"/>
      <c r="D2591" s="344"/>
      <c r="E2591" s="345"/>
      <c r="F2591" s="346"/>
    </row>
    <row r="2592" spans="1:6" ht="20.25">
      <c r="A2592" s="343"/>
      <c r="B2592" s="344"/>
      <c r="C2592" s="344"/>
      <c r="D2592" s="344"/>
      <c r="E2592" s="345"/>
      <c r="F2592" s="346"/>
    </row>
    <row r="2593" spans="1:6" ht="20.25">
      <c r="A2593" s="343"/>
      <c r="B2593" s="344"/>
      <c r="C2593" s="344"/>
      <c r="D2593" s="344"/>
      <c r="E2593" s="345"/>
      <c r="F2593" s="346"/>
    </row>
    <row r="2594" spans="1:6" ht="20.25">
      <c r="A2594" s="343"/>
      <c r="B2594" s="344"/>
      <c r="C2594" s="344"/>
      <c r="D2594" s="344"/>
      <c r="E2594" s="345"/>
      <c r="F2594" s="346"/>
    </row>
    <row r="2595" spans="1:6" ht="20.25">
      <c r="A2595" s="343"/>
      <c r="B2595" s="344"/>
      <c r="C2595" s="344"/>
      <c r="D2595" s="344"/>
      <c r="E2595" s="345"/>
      <c r="F2595" s="346"/>
    </row>
    <row r="2596" spans="1:6" ht="20.25">
      <c r="A2596" s="343"/>
      <c r="B2596" s="344"/>
      <c r="C2596" s="344"/>
      <c r="D2596" s="344"/>
      <c r="E2596" s="345"/>
      <c r="F2596" s="346"/>
    </row>
    <row r="2597" spans="1:6" ht="20.25">
      <c r="A2597" s="343"/>
      <c r="B2597" s="344"/>
      <c r="C2597" s="344"/>
      <c r="D2597" s="344"/>
      <c r="E2597" s="345"/>
      <c r="F2597" s="346"/>
    </row>
    <row r="2598" spans="1:6" ht="20.25">
      <c r="A2598" s="343"/>
      <c r="B2598" s="344"/>
      <c r="C2598" s="344"/>
      <c r="D2598" s="344"/>
      <c r="E2598" s="345"/>
      <c r="F2598" s="346"/>
    </row>
    <row r="2599" spans="1:6" ht="20.25">
      <c r="A2599" s="343"/>
      <c r="B2599" s="344"/>
      <c r="C2599" s="344"/>
      <c r="D2599" s="344"/>
      <c r="E2599" s="345"/>
      <c r="F2599" s="346"/>
    </row>
    <row r="2600" spans="1:6" ht="20.25">
      <c r="A2600" s="343"/>
      <c r="B2600" s="344"/>
      <c r="C2600" s="344"/>
      <c r="D2600" s="344"/>
      <c r="E2600" s="345"/>
      <c r="F2600" s="346"/>
    </row>
    <row r="2601" spans="1:6" ht="20.25">
      <c r="A2601" s="343"/>
      <c r="B2601" s="344"/>
      <c r="C2601" s="344"/>
      <c r="D2601" s="344"/>
      <c r="E2601" s="345"/>
      <c r="F2601" s="346"/>
    </row>
    <row r="2602" spans="1:6" ht="20.25">
      <c r="A2602" s="343"/>
      <c r="B2602" s="344"/>
      <c r="C2602" s="344"/>
      <c r="D2602" s="344"/>
      <c r="E2602" s="345"/>
      <c r="F2602" s="346"/>
    </row>
    <row r="2603" spans="1:6" ht="20.25">
      <c r="A2603" s="343"/>
      <c r="B2603" s="344"/>
      <c r="C2603" s="344"/>
      <c r="D2603" s="344"/>
      <c r="E2603" s="345"/>
      <c r="F2603" s="346"/>
    </row>
    <row r="2604" spans="1:6" ht="20.25">
      <c r="A2604" s="343"/>
      <c r="B2604" s="344"/>
      <c r="C2604" s="344"/>
      <c r="D2604" s="344"/>
      <c r="E2604" s="345"/>
      <c r="F2604" s="346"/>
    </row>
    <row r="2605" spans="1:6" ht="20.25">
      <c r="A2605" s="343"/>
      <c r="B2605" s="344"/>
      <c r="C2605" s="344"/>
      <c r="D2605" s="344"/>
      <c r="E2605" s="345"/>
      <c r="F2605" s="346"/>
    </row>
    <row r="2606" spans="1:6" ht="20.25">
      <c r="A2606" s="343"/>
      <c r="B2606" s="344"/>
      <c r="C2606" s="344"/>
      <c r="D2606" s="344"/>
      <c r="E2606" s="345"/>
      <c r="F2606" s="346"/>
    </row>
    <row r="2607" spans="1:6" ht="20.25">
      <c r="A2607" s="343"/>
      <c r="B2607" s="344"/>
      <c r="C2607" s="344"/>
      <c r="D2607" s="344"/>
      <c r="E2607" s="345"/>
      <c r="F2607" s="346"/>
    </row>
    <row r="2608" spans="1:6" ht="20.25">
      <c r="A2608" s="343"/>
      <c r="B2608" s="344"/>
      <c r="C2608" s="344"/>
      <c r="D2608" s="344"/>
      <c r="E2608" s="345"/>
      <c r="F2608" s="346"/>
    </row>
    <row r="2609" spans="1:6" ht="20.25">
      <c r="A2609" s="343"/>
      <c r="B2609" s="344"/>
      <c r="C2609" s="344"/>
      <c r="D2609" s="344"/>
      <c r="E2609" s="345"/>
      <c r="F2609" s="346"/>
    </row>
    <row r="2610" spans="1:6" ht="20.25">
      <c r="A2610" s="343"/>
      <c r="B2610" s="344"/>
      <c r="C2610" s="344"/>
      <c r="D2610" s="344"/>
      <c r="E2610" s="345"/>
      <c r="F2610" s="346"/>
    </row>
    <row r="2611" spans="1:6" ht="20.25">
      <c r="A2611" s="343"/>
      <c r="B2611" s="344"/>
      <c r="C2611" s="344"/>
      <c r="D2611" s="344"/>
      <c r="E2611" s="345"/>
      <c r="F2611" s="346"/>
    </row>
    <row r="2612" spans="1:6" ht="20.25">
      <c r="A2612" s="343"/>
      <c r="B2612" s="344"/>
      <c r="C2612" s="344"/>
      <c r="D2612" s="344"/>
      <c r="E2612" s="345"/>
      <c r="F2612" s="346"/>
    </row>
    <row r="2613" spans="1:6" ht="20.25">
      <c r="A2613" s="343"/>
      <c r="B2613" s="344"/>
      <c r="C2613" s="344"/>
      <c r="D2613" s="344"/>
      <c r="E2613" s="345"/>
      <c r="F2613" s="346"/>
    </row>
    <row r="2614" spans="1:6" ht="20.25">
      <c r="A2614" s="343"/>
      <c r="B2614" s="344"/>
      <c r="C2614" s="344"/>
      <c r="D2614" s="344"/>
      <c r="E2614" s="345"/>
      <c r="F2614" s="346"/>
    </row>
    <row r="2615" spans="1:6" ht="20.25">
      <c r="A2615" s="343"/>
      <c r="B2615" s="344"/>
      <c r="C2615" s="344"/>
      <c r="D2615" s="344"/>
      <c r="E2615" s="345"/>
      <c r="F2615" s="346"/>
    </row>
    <row r="2616" spans="1:6" ht="20.25">
      <c r="A2616" s="343"/>
      <c r="B2616" s="344"/>
      <c r="C2616" s="344"/>
      <c r="D2616" s="344"/>
      <c r="E2616" s="345"/>
      <c r="F2616" s="346"/>
    </row>
    <row r="2617" spans="1:6" ht="20.25">
      <c r="A2617" s="343"/>
      <c r="B2617" s="344"/>
      <c r="C2617" s="344"/>
      <c r="D2617" s="344"/>
      <c r="E2617" s="345"/>
      <c r="F2617" s="346"/>
    </row>
    <row r="2618" spans="1:6" ht="20.25">
      <c r="A2618" s="343"/>
      <c r="B2618" s="344"/>
      <c r="C2618" s="344"/>
      <c r="D2618" s="344"/>
      <c r="E2618" s="345"/>
      <c r="F2618" s="346"/>
    </row>
    <row r="2619" spans="1:6" ht="20.25">
      <c r="A2619" s="343"/>
      <c r="B2619" s="344"/>
      <c r="C2619" s="344"/>
      <c r="D2619" s="344"/>
      <c r="E2619" s="345"/>
      <c r="F2619" s="346"/>
    </row>
    <row r="2620" spans="1:6" ht="20.25">
      <c r="A2620" s="343"/>
      <c r="B2620" s="344"/>
      <c r="C2620" s="344"/>
      <c r="D2620" s="344"/>
      <c r="E2620" s="345"/>
      <c r="F2620" s="346"/>
    </row>
    <row r="2621" spans="1:6" ht="20.25">
      <c r="A2621" s="343"/>
      <c r="B2621" s="344"/>
      <c r="C2621" s="344"/>
      <c r="D2621" s="344"/>
      <c r="E2621" s="345"/>
      <c r="F2621" s="346"/>
    </row>
    <row r="2622" spans="1:6" ht="20.25">
      <c r="A2622" s="343"/>
      <c r="B2622" s="344"/>
      <c r="C2622" s="344"/>
      <c r="D2622" s="344"/>
      <c r="E2622" s="345"/>
      <c r="F2622" s="346"/>
    </row>
    <row r="2623" spans="1:6" ht="20.25">
      <c r="A2623" s="343"/>
      <c r="B2623" s="344"/>
      <c r="C2623" s="344"/>
      <c r="D2623" s="344"/>
      <c r="E2623" s="345"/>
      <c r="F2623" s="346"/>
    </row>
    <row r="2624" spans="1:6" ht="20.25">
      <c r="A2624" s="343"/>
      <c r="B2624" s="344"/>
      <c r="C2624" s="344"/>
      <c r="D2624" s="344"/>
      <c r="E2624" s="345"/>
      <c r="F2624" s="346"/>
    </row>
    <row r="2625" spans="1:6" ht="20.25">
      <c r="A2625" s="343"/>
      <c r="B2625" s="344"/>
      <c r="C2625" s="344"/>
      <c r="D2625" s="344"/>
      <c r="E2625" s="345"/>
      <c r="F2625" s="346"/>
    </row>
    <row r="2626" spans="1:6" ht="20.25">
      <c r="A2626" s="343"/>
      <c r="B2626" s="344"/>
      <c r="C2626" s="344"/>
      <c r="D2626" s="344"/>
      <c r="E2626" s="345"/>
      <c r="F2626" s="346"/>
    </row>
    <row r="2627" spans="1:6" ht="20.25">
      <c r="A2627" s="343"/>
      <c r="B2627" s="344"/>
      <c r="C2627" s="344"/>
      <c r="D2627" s="344"/>
      <c r="E2627" s="345"/>
      <c r="F2627" s="346"/>
    </row>
    <row r="2628" spans="1:6" ht="20.25">
      <c r="A2628" s="343"/>
      <c r="B2628" s="344"/>
      <c r="C2628" s="344"/>
      <c r="D2628" s="344"/>
      <c r="E2628" s="345"/>
      <c r="F2628" s="346"/>
    </row>
    <row r="2629" spans="1:6" ht="20.25">
      <c r="A2629" s="343"/>
      <c r="B2629" s="344"/>
      <c r="C2629" s="344"/>
      <c r="D2629" s="344"/>
      <c r="E2629" s="345"/>
      <c r="F2629" s="346"/>
    </row>
    <row r="2630" spans="1:6" ht="20.25">
      <c r="A2630" s="343"/>
      <c r="B2630" s="344"/>
      <c r="C2630" s="344"/>
      <c r="D2630" s="344"/>
      <c r="E2630" s="345"/>
      <c r="F2630" s="346"/>
    </row>
    <row r="2631" spans="1:6" ht="20.25">
      <c r="A2631" s="343"/>
      <c r="B2631" s="344"/>
      <c r="C2631" s="344"/>
      <c r="D2631" s="344"/>
      <c r="E2631" s="345"/>
      <c r="F2631" s="346"/>
    </row>
    <row r="2632" spans="1:6" ht="20.25">
      <c r="A2632" s="343"/>
      <c r="B2632" s="344"/>
      <c r="C2632" s="344"/>
      <c r="D2632" s="344"/>
      <c r="E2632" s="345"/>
      <c r="F2632" s="346"/>
    </row>
    <row r="2633" spans="1:6" ht="20.25">
      <c r="A2633" s="343"/>
      <c r="B2633" s="344"/>
      <c r="C2633" s="344"/>
      <c r="D2633" s="344"/>
      <c r="E2633" s="345"/>
      <c r="F2633" s="346"/>
    </row>
    <row r="2634" spans="1:6" ht="20.25">
      <c r="A2634" s="343"/>
      <c r="B2634" s="344"/>
      <c r="C2634" s="344"/>
      <c r="D2634" s="344"/>
      <c r="E2634" s="345"/>
      <c r="F2634" s="346"/>
    </row>
    <row r="2635" spans="1:6" ht="20.25">
      <c r="A2635" s="343"/>
      <c r="B2635" s="344"/>
      <c r="C2635" s="344"/>
      <c r="D2635" s="344"/>
      <c r="E2635" s="345"/>
      <c r="F2635" s="346"/>
    </row>
    <row r="2636" spans="1:6" ht="20.25">
      <c r="A2636" s="343"/>
      <c r="B2636" s="344"/>
      <c r="C2636" s="344"/>
      <c r="D2636" s="344"/>
      <c r="E2636" s="345"/>
      <c r="F2636" s="346"/>
    </row>
    <row r="2637" spans="1:6" ht="20.25">
      <c r="A2637" s="343"/>
      <c r="B2637" s="344"/>
      <c r="C2637" s="344"/>
      <c r="D2637" s="344"/>
      <c r="E2637" s="345"/>
      <c r="F2637" s="346"/>
    </row>
    <row r="2638" spans="1:6" ht="20.25">
      <c r="A2638" s="343"/>
      <c r="B2638" s="344"/>
      <c r="C2638" s="344"/>
      <c r="D2638" s="344"/>
      <c r="E2638" s="345"/>
      <c r="F2638" s="346"/>
    </row>
    <row r="2639" spans="1:6" ht="20.25">
      <c r="A2639" s="343"/>
      <c r="B2639" s="344"/>
      <c r="C2639" s="344"/>
      <c r="D2639" s="344"/>
      <c r="E2639" s="345"/>
      <c r="F2639" s="346"/>
    </row>
    <row r="2640" spans="1:6" ht="20.25">
      <c r="A2640" s="343"/>
      <c r="B2640" s="344"/>
      <c r="C2640" s="344"/>
      <c r="D2640" s="344"/>
      <c r="E2640" s="345"/>
      <c r="F2640" s="346"/>
    </row>
    <row r="2641" spans="1:6" ht="20.25">
      <c r="A2641" s="343"/>
      <c r="B2641" s="344"/>
      <c r="C2641" s="344"/>
      <c r="D2641" s="344"/>
      <c r="E2641" s="345"/>
      <c r="F2641" s="346"/>
    </row>
    <row r="2642" spans="1:6" ht="20.25">
      <c r="A2642" s="343"/>
      <c r="B2642" s="344"/>
      <c r="C2642" s="344"/>
      <c r="D2642" s="344"/>
      <c r="E2642" s="345"/>
      <c r="F2642" s="346"/>
    </row>
    <row r="2643" spans="1:6" ht="20.25">
      <c r="A2643" s="343"/>
      <c r="B2643" s="344"/>
      <c r="C2643" s="344"/>
      <c r="D2643" s="344"/>
      <c r="E2643" s="345"/>
      <c r="F2643" s="346"/>
    </row>
    <row r="2644" spans="1:6" ht="20.25">
      <c r="A2644" s="343"/>
      <c r="B2644" s="344"/>
      <c r="C2644" s="344"/>
      <c r="D2644" s="344"/>
      <c r="E2644" s="345"/>
      <c r="F2644" s="346"/>
    </row>
    <row r="2645" spans="1:6" ht="20.25">
      <c r="A2645" s="343"/>
      <c r="B2645" s="344"/>
      <c r="C2645" s="344"/>
      <c r="D2645" s="344"/>
      <c r="E2645" s="345"/>
      <c r="F2645" s="346"/>
    </row>
    <row r="2646" spans="1:6" ht="20.25">
      <c r="A2646" s="343"/>
      <c r="B2646" s="344"/>
      <c r="C2646" s="344"/>
      <c r="D2646" s="344"/>
      <c r="E2646" s="345"/>
      <c r="F2646" s="346"/>
    </row>
    <row r="2647" spans="1:6" ht="20.25">
      <c r="A2647" s="343"/>
      <c r="B2647" s="344"/>
      <c r="C2647" s="344"/>
      <c r="D2647" s="344"/>
      <c r="E2647" s="345"/>
      <c r="F2647" s="346"/>
    </row>
    <row r="2648" spans="1:6" ht="20.25">
      <c r="A2648" s="343"/>
      <c r="B2648" s="344"/>
      <c r="C2648" s="344"/>
      <c r="D2648" s="344"/>
      <c r="E2648" s="345"/>
      <c r="F2648" s="346"/>
    </row>
    <row r="2649" spans="1:6" ht="20.25">
      <c r="A2649" s="343"/>
      <c r="B2649" s="344"/>
      <c r="C2649" s="344"/>
      <c r="D2649" s="344"/>
      <c r="E2649" s="345"/>
      <c r="F2649" s="346"/>
    </row>
    <row r="2650" spans="1:6" ht="20.25">
      <c r="A2650" s="343"/>
      <c r="B2650" s="344"/>
      <c r="C2650" s="344"/>
      <c r="D2650" s="344"/>
      <c r="E2650" s="345"/>
      <c r="F2650" s="346"/>
    </row>
    <row r="2651" spans="1:6" ht="20.25">
      <c r="A2651" s="343"/>
      <c r="B2651" s="344"/>
      <c r="C2651" s="344"/>
      <c r="D2651" s="344"/>
      <c r="E2651" s="345"/>
      <c r="F2651" s="346"/>
    </row>
    <row r="2652" spans="1:6" ht="20.25">
      <c r="A2652" s="343"/>
      <c r="B2652" s="344"/>
      <c r="C2652" s="344"/>
      <c r="D2652" s="344"/>
      <c r="E2652" s="345"/>
      <c r="F2652" s="346"/>
    </row>
    <row r="2653" spans="1:6" ht="20.25">
      <c r="A2653" s="343"/>
      <c r="B2653" s="344"/>
      <c r="C2653" s="344"/>
      <c r="D2653" s="344"/>
      <c r="E2653" s="345"/>
      <c r="F2653" s="346"/>
    </row>
    <row r="2654" spans="1:6" ht="20.25">
      <c r="A2654" s="343"/>
      <c r="B2654" s="344"/>
      <c r="C2654" s="344"/>
      <c r="D2654" s="344"/>
      <c r="E2654" s="345"/>
      <c r="F2654" s="346"/>
    </row>
    <row r="2655" spans="1:6" ht="20.25">
      <c r="A2655" s="343"/>
      <c r="B2655" s="344"/>
      <c r="C2655" s="344"/>
      <c r="D2655" s="344"/>
      <c r="E2655" s="345"/>
      <c r="F2655" s="346"/>
    </row>
    <row r="2656" spans="1:6" ht="20.25">
      <c r="A2656" s="343"/>
      <c r="B2656" s="344"/>
      <c r="C2656" s="344"/>
      <c r="D2656" s="344"/>
      <c r="E2656" s="345"/>
      <c r="F2656" s="346"/>
    </row>
    <row r="2657" spans="1:6" ht="20.25">
      <c r="A2657" s="343"/>
      <c r="B2657" s="344"/>
      <c r="C2657" s="344"/>
      <c r="D2657" s="344"/>
      <c r="E2657" s="345"/>
      <c r="F2657" s="346"/>
    </row>
    <row r="2658" spans="1:6" ht="20.25">
      <c r="A2658" s="343"/>
      <c r="B2658" s="344"/>
      <c r="C2658" s="344"/>
      <c r="D2658" s="344"/>
      <c r="E2658" s="345"/>
      <c r="F2658" s="346"/>
    </row>
    <row r="2659" spans="1:6" ht="20.25">
      <c r="A2659" s="343"/>
      <c r="B2659" s="344"/>
      <c r="C2659" s="344"/>
      <c r="D2659" s="344"/>
      <c r="E2659" s="345"/>
      <c r="F2659" s="346"/>
    </row>
    <row r="2660" spans="1:6" ht="20.25">
      <c r="A2660" s="343"/>
      <c r="B2660" s="344"/>
      <c r="C2660" s="344"/>
      <c r="D2660" s="344"/>
      <c r="E2660" s="345"/>
      <c r="F2660" s="346"/>
    </row>
    <row r="2661" spans="1:6" ht="20.25">
      <c r="A2661" s="343"/>
      <c r="B2661" s="344"/>
      <c r="C2661" s="344"/>
      <c r="D2661" s="344"/>
      <c r="E2661" s="345"/>
      <c r="F2661" s="346"/>
    </row>
    <row r="2662" spans="1:6" ht="20.25">
      <c r="A2662" s="343"/>
      <c r="B2662" s="344"/>
      <c r="C2662" s="344"/>
      <c r="D2662" s="344"/>
      <c r="E2662" s="345"/>
      <c r="F2662" s="346"/>
    </row>
    <row r="2663" spans="1:6" ht="20.25">
      <c r="A2663" s="343"/>
      <c r="B2663" s="344"/>
      <c r="C2663" s="344"/>
      <c r="D2663" s="344"/>
      <c r="E2663" s="345"/>
      <c r="F2663" s="346"/>
    </row>
    <row r="2664" spans="1:6" ht="20.25">
      <c r="A2664" s="343"/>
      <c r="B2664" s="344"/>
      <c r="C2664" s="344"/>
      <c r="D2664" s="344"/>
      <c r="E2664" s="345"/>
      <c r="F2664" s="346"/>
    </row>
    <row r="2665" spans="1:6" ht="20.25">
      <c r="A2665" s="343"/>
      <c r="B2665" s="344"/>
      <c r="C2665" s="344"/>
      <c r="D2665" s="344"/>
      <c r="E2665" s="345"/>
      <c r="F2665" s="346"/>
    </row>
    <row r="2666" spans="1:6" ht="20.25">
      <c r="A2666" s="343"/>
      <c r="B2666" s="344"/>
      <c r="C2666" s="344"/>
      <c r="D2666" s="344"/>
      <c r="E2666" s="345"/>
      <c r="F2666" s="346"/>
    </row>
    <row r="2667" spans="1:6" ht="20.25">
      <c r="A2667" s="343"/>
      <c r="B2667" s="344"/>
      <c r="C2667" s="344"/>
      <c r="D2667" s="344"/>
      <c r="E2667" s="345"/>
      <c r="F2667" s="346"/>
    </row>
    <row r="2668" spans="1:6" ht="20.25">
      <c r="A2668" s="343"/>
      <c r="B2668" s="344"/>
      <c r="C2668" s="344"/>
      <c r="D2668" s="344"/>
      <c r="E2668" s="345"/>
      <c r="F2668" s="346"/>
    </row>
    <row r="2669" spans="1:6" ht="20.25">
      <c r="A2669" s="343"/>
      <c r="B2669" s="344"/>
      <c r="C2669" s="344"/>
      <c r="D2669" s="344"/>
      <c r="E2669" s="345"/>
      <c r="F2669" s="346"/>
    </row>
    <row r="2670" spans="1:6" ht="20.25">
      <c r="A2670" s="343"/>
      <c r="B2670" s="344"/>
      <c r="C2670" s="344"/>
      <c r="D2670" s="344"/>
      <c r="E2670" s="345"/>
      <c r="F2670" s="346"/>
    </row>
    <row r="2671" spans="1:6" ht="20.25">
      <c r="A2671" s="343"/>
      <c r="B2671" s="344"/>
      <c r="C2671" s="344"/>
      <c r="D2671" s="344"/>
      <c r="E2671" s="345"/>
      <c r="F2671" s="346"/>
    </row>
    <row r="2672" spans="1:6" ht="20.25">
      <c r="A2672" s="343"/>
      <c r="B2672" s="344"/>
      <c r="C2672" s="344"/>
      <c r="D2672" s="344"/>
      <c r="E2672" s="345"/>
      <c r="F2672" s="346"/>
    </row>
    <row r="2673" spans="1:6" ht="20.25">
      <c r="A2673" s="343"/>
      <c r="B2673" s="344"/>
      <c r="C2673" s="344"/>
      <c r="D2673" s="344"/>
      <c r="E2673" s="345"/>
      <c r="F2673" s="346"/>
    </row>
    <row r="2674" spans="1:6" ht="20.25">
      <c r="A2674" s="343"/>
      <c r="B2674" s="344"/>
      <c r="C2674" s="344"/>
      <c r="D2674" s="344"/>
      <c r="E2674" s="345"/>
      <c r="F2674" s="346"/>
    </row>
    <row r="2675" spans="1:6" ht="20.25">
      <c r="A2675" s="343"/>
      <c r="B2675" s="344"/>
      <c r="C2675" s="344"/>
      <c r="D2675" s="344"/>
      <c r="E2675" s="345"/>
      <c r="F2675" s="346"/>
    </row>
    <row r="2676" spans="1:6" ht="20.25">
      <c r="A2676" s="343"/>
      <c r="B2676" s="344"/>
      <c r="C2676" s="344"/>
      <c r="D2676" s="344"/>
      <c r="E2676" s="345"/>
      <c r="F2676" s="346"/>
    </row>
    <row r="2677" spans="1:6" ht="20.25">
      <c r="A2677" s="343"/>
      <c r="B2677" s="344"/>
      <c r="C2677" s="344"/>
      <c r="D2677" s="344"/>
      <c r="E2677" s="345"/>
      <c r="F2677" s="346"/>
    </row>
    <row r="2678" spans="1:6" ht="20.25">
      <c r="A2678" s="343"/>
      <c r="B2678" s="344"/>
      <c r="C2678" s="344"/>
      <c r="D2678" s="344"/>
      <c r="E2678" s="345"/>
      <c r="F2678" s="346"/>
    </row>
    <row r="2679" spans="1:6" ht="20.25">
      <c r="A2679" s="343"/>
      <c r="B2679" s="344"/>
      <c r="C2679" s="344"/>
      <c r="D2679" s="344"/>
      <c r="E2679" s="345"/>
      <c r="F2679" s="346"/>
    </row>
    <row r="2680" spans="1:6" ht="20.25">
      <c r="A2680" s="343"/>
      <c r="B2680" s="344"/>
      <c r="C2680" s="344"/>
      <c r="D2680" s="344"/>
      <c r="E2680" s="345"/>
      <c r="F2680" s="346"/>
    </row>
    <row r="2681" spans="1:6" ht="20.25">
      <c r="A2681" s="343"/>
      <c r="B2681" s="344"/>
      <c r="C2681" s="344"/>
      <c r="D2681" s="344"/>
      <c r="E2681" s="345"/>
      <c r="F2681" s="346"/>
    </row>
    <row r="2682" spans="1:6" ht="20.25">
      <c r="A2682" s="343"/>
      <c r="B2682" s="344"/>
      <c r="C2682" s="344"/>
      <c r="D2682" s="344"/>
      <c r="E2682" s="345"/>
      <c r="F2682" s="346"/>
    </row>
    <row r="2683" spans="1:6" ht="20.25">
      <c r="A2683" s="343"/>
      <c r="B2683" s="344"/>
      <c r="C2683" s="344"/>
      <c r="D2683" s="344"/>
      <c r="E2683" s="345"/>
      <c r="F2683" s="346"/>
    </row>
    <row r="2684" spans="1:6" ht="20.25">
      <c r="A2684" s="343"/>
      <c r="B2684" s="344"/>
      <c r="C2684" s="344"/>
      <c r="D2684" s="344"/>
      <c r="E2684" s="345"/>
      <c r="F2684" s="346"/>
    </row>
    <row r="2685" spans="1:6" ht="20.25">
      <c r="A2685" s="343"/>
      <c r="B2685" s="344"/>
      <c r="C2685" s="344"/>
      <c r="D2685" s="344"/>
      <c r="E2685" s="345"/>
      <c r="F2685" s="346"/>
    </row>
    <row r="2686" spans="1:6" ht="20.25">
      <c r="A2686" s="343"/>
      <c r="B2686" s="344"/>
      <c r="C2686" s="344"/>
      <c r="D2686" s="344"/>
      <c r="E2686" s="345"/>
      <c r="F2686" s="346"/>
    </row>
    <row r="2687" spans="1:6" ht="20.25">
      <c r="A2687" s="343"/>
      <c r="B2687" s="344"/>
      <c r="C2687" s="344"/>
      <c r="D2687" s="344"/>
      <c r="E2687" s="345"/>
      <c r="F2687" s="346"/>
    </row>
    <row r="2688" spans="1:6" ht="20.25">
      <c r="A2688" s="343"/>
      <c r="B2688" s="344"/>
      <c r="C2688" s="344"/>
      <c r="D2688" s="344"/>
      <c r="E2688" s="345"/>
      <c r="F2688" s="346"/>
    </row>
    <row r="2689" spans="1:6" ht="20.25">
      <c r="A2689" s="343"/>
      <c r="B2689" s="344"/>
      <c r="C2689" s="344"/>
      <c r="D2689" s="344"/>
      <c r="E2689" s="345"/>
      <c r="F2689" s="346"/>
    </row>
    <row r="2690" spans="1:6" ht="20.25">
      <c r="A2690" s="343"/>
      <c r="B2690" s="344"/>
      <c r="C2690" s="344"/>
      <c r="D2690" s="344"/>
      <c r="E2690" s="345"/>
      <c r="F2690" s="346"/>
    </row>
    <row r="2691" spans="1:6" ht="20.25">
      <c r="A2691" s="343"/>
      <c r="B2691" s="344"/>
      <c r="C2691" s="344"/>
      <c r="D2691" s="344"/>
      <c r="E2691" s="345"/>
      <c r="F2691" s="346"/>
    </row>
    <row r="2692" spans="1:6" ht="20.25">
      <c r="A2692" s="343"/>
      <c r="B2692" s="344"/>
      <c r="C2692" s="344"/>
      <c r="D2692" s="344"/>
      <c r="E2692" s="345"/>
      <c r="F2692" s="346"/>
    </row>
    <row r="2693" spans="1:6" ht="20.25">
      <c r="A2693" s="343"/>
      <c r="B2693" s="344"/>
      <c r="C2693" s="344"/>
      <c r="D2693" s="344"/>
      <c r="E2693" s="345"/>
      <c r="F2693" s="346"/>
    </row>
    <row r="2694" spans="1:6" ht="20.25">
      <c r="A2694" s="343"/>
      <c r="B2694" s="344"/>
      <c r="C2694" s="344"/>
      <c r="D2694" s="344"/>
      <c r="E2694" s="345"/>
      <c r="F2694" s="346"/>
    </row>
    <row r="2695" spans="1:6" ht="20.25">
      <c r="A2695" s="343"/>
      <c r="B2695" s="344"/>
      <c r="C2695" s="344"/>
      <c r="D2695" s="344"/>
      <c r="E2695" s="345"/>
      <c r="F2695" s="346"/>
    </row>
    <row r="2696" spans="1:6" ht="20.25">
      <c r="A2696" s="343"/>
      <c r="B2696" s="344"/>
      <c r="C2696" s="344"/>
      <c r="D2696" s="344"/>
      <c r="E2696" s="345"/>
      <c r="F2696" s="346"/>
    </row>
    <row r="2697" spans="1:6" ht="20.25">
      <c r="A2697" s="343"/>
      <c r="B2697" s="344"/>
      <c r="C2697" s="344"/>
      <c r="D2697" s="344"/>
      <c r="E2697" s="345"/>
      <c r="F2697" s="346"/>
    </row>
    <row r="2698" spans="1:6" ht="20.25">
      <c r="A2698" s="343"/>
      <c r="B2698" s="344"/>
      <c r="C2698" s="344"/>
      <c r="D2698" s="344"/>
      <c r="E2698" s="345"/>
      <c r="F2698" s="346"/>
    </row>
    <row r="2699" spans="1:6" ht="20.25">
      <c r="A2699" s="343"/>
      <c r="B2699" s="344"/>
      <c r="C2699" s="344"/>
      <c r="D2699" s="344"/>
      <c r="E2699" s="345"/>
      <c r="F2699" s="346"/>
    </row>
    <row r="2700" spans="1:6" ht="20.25">
      <c r="A2700" s="343"/>
      <c r="B2700" s="344"/>
      <c r="C2700" s="344"/>
      <c r="D2700" s="344"/>
      <c r="E2700" s="345"/>
      <c r="F2700" s="346"/>
    </row>
    <row r="2701" spans="1:6" ht="20.25">
      <c r="A2701" s="343"/>
      <c r="B2701" s="344"/>
      <c r="C2701" s="344"/>
      <c r="D2701" s="344"/>
      <c r="E2701" s="345"/>
      <c r="F2701" s="346"/>
    </row>
    <row r="2702" spans="1:6" ht="20.25">
      <c r="A2702" s="343"/>
      <c r="B2702" s="344"/>
      <c r="C2702" s="344"/>
      <c r="D2702" s="344"/>
      <c r="E2702" s="345"/>
      <c r="F2702" s="346"/>
    </row>
    <row r="2703" spans="1:6" ht="20.25">
      <c r="A2703" s="343"/>
      <c r="B2703" s="344"/>
      <c r="C2703" s="344"/>
      <c r="D2703" s="344"/>
      <c r="E2703" s="345"/>
      <c r="F2703" s="346"/>
    </row>
    <row r="2704" spans="1:6" ht="20.25">
      <c r="A2704" s="343"/>
      <c r="B2704" s="344"/>
      <c r="C2704" s="344"/>
      <c r="D2704" s="344"/>
      <c r="E2704" s="345"/>
      <c r="F2704" s="346"/>
    </row>
    <row r="2705" spans="1:6" ht="20.25">
      <c r="A2705" s="343"/>
      <c r="B2705" s="344"/>
      <c r="C2705" s="344"/>
      <c r="D2705" s="344"/>
      <c r="E2705" s="345"/>
      <c r="F2705" s="346"/>
    </row>
    <row r="2706" spans="1:6" ht="20.25">
      <c r="A2706" s="343"/>
      <c r="B2706" s="344"/>
      <c r="C2706" s="344"/>
      <c r="D2706" s="344"/>
      <c r="E2706" s="345"/>
      <c r="F2706" s="346"/>
    </row>
    <row r="2707" spans="1:6" ht="20.25">
      <c r="A2707" s="343"/>
      <c r="B2707" s="344"/>
      <c r="C2707" s="344"/>
      <c r="D2707" s="344"/>
      <c r="E2707" s="345"/>
      <c r="F2707" s="346"/>
    </row>
    <row r="2708" spans="1:6" ht="20.25">
      <c r="A2708" s="343"/>
      <c r="B2708" s="344"/>
      <c r="C2708" s="344"/>
      <c r="D2708" s="344"/>
      <c r="E2708" s="345"/>
      <c r="F2708" s="346"/>
    </row>
    <row r="2709" spans="1:6" ht="20.25">
      <c r="A2709" s="343"/>
      <c r="B2709" s="344"/>
      <c r="C2709" s="344"/>
      <c r="D2709" s="344"/>
      <c r="E2709" s="345"/>
      <c r="F2709" s="346"/>
    </row>
    <row r="2710" spans="1:6" ht="20.25">
      <c r="A2710" s="343"/>
      <c r="B2710" s="344"/>
      <c r="C2710" s="344"/>
      <c r="D2710" s="344"/>
      <c r="E2710" s="345"/>
      <c r="F2710" s="346"/>
    </row>
    <row r="2711" spans="1:6" ht="20.25">
      <c r="A2711" s="343"/>
      <c r="B2711" s="344"/>
      <c r="C2711" s="344"/>
      <c r="D2711" s="344"/>
      <c r="E2711" s="345"/>
      <c r="F2711" s="346"/>
    </row>
    <row r="2712" spans="1:6" ht="20.25">
      <c r="A2712" s="343"/>
      <c r="B2712" s="344"/>
      <c r="C2712" s="344"/>
      <c r="D2712" s="344"/>
      <c r="E2712" s="345"/>
      <c r="F2712" s="346"/>
    </row>
    <row r="2713" spans="1:6" ht="20.25">
      <c r="A2713" s="343"/>
      <c r="B2713" s="344"/>
      <c r="C2713" s="344"/>
      <c r="D2713" s="344"/>
      <c r="E2713" s="345"/>
      <c r="F2713" s="346"/>
    </row>
    <row r="2714" spans="1:6" ht="20.25">
      <c r="A2714" s="343"/>
      <c r="B2714" s="344"/>
      <c r="C2714" s="344"/>
      <c r="D2714" s="344"/>
      <c r="E2714" s="345"/>
      <c r="F2714" s="346"/>
    </row>
    <row r="2715" spans="1:6" ht="20.25">
      <c r="A2715" s="343"/>
      <c r="B2715" s="344"/>
      <c r="C2715" s="344"/>
      <c r="D2715" s="344"/>
      <c r="E2715" s="345"/>
      <c r="F2715" s="346"/>
    </row>
    <row r="2716" spans="1:6" ht="20.25">
      <c r="A2716" s="343"/>
      <c r="B2716" s="344"/>
      <c r="C2716" s="344"/>
      <c r="D2716" s="344"/>
      <c r="E2716" s="345"/>
      <c r="F2716" s="346"/>
    </row>
    <row r="2717" spans="1:6" ht="20.25">
      <c r="A2717" s="343"/>
      <c r="B2717" s="344"/>
      <c r="C2717" s="344"/>
      <c r="D2717" s="344"/>
      <c r="E2717" s="345"/>
      <c r="F2717" s="346"/>
    </row>
    <row r="2718" spans="1:6" ht="20.25">
      <c r="A2718" s="343"/>
      <c r="B2718" s="344"/>
      <c r="C2718" s="344"/>
      <c r="D2718" s="344"/>
      <c r="E2718" s="345"/>
      <c r="F2718" s="346"/>
    </row>
    <row r="2719" spans="1:6" ht="20.25">
      <c r="A2719" s="343"/>
      <c r="B2719" s="344"/>
      <c r="C2719" s="344"/>
      <c r="D2719" s="344"/>
      <c r="E2719" s="345"/>
      <c r="F2719" s="346"/>
    </row>
    <row r="2720" spans="1:6" ht="20.25">
      <c r="A2720" s="343"/>
      <c r="B2720" s="344"/>
      <c r="C2720" s="344"/>
      <c r="D2720" s="344"/>
      <c r="E2720" s="345"/>
      <c r="F2720" s="346"/>
    </row>
    <row r="2721" spans="1:6" ht="20.25">
      <c r="A2721" s="343"/>
      <c r="B2721" s="344"/>
      <c r="C2721" s="344"/>
      <c r="D2721" s="344"/>
      <c r="E2721" s="345"/>
      <c r="F2721" s="346"/>
    </row>
    <row r="2722" spans="1:6" ht="20.25">
      <c r="A2722" s="343"/>
      <c r="B2722" s="344"/>
      <c r="C2722" s="344"/>
      <c r="D2722" s="344"/>
      <c r="E2722" s="345"/>
      <c r="F2722" s="346"/>
    </row>
    <row r="2723" spans="1:6" ht="20.25">
      <c r="A2723" s="343"/>
      <c r="B2723" s="344"/>
      <c r="C2723" s="344"/>
      <c r="D2723" s="344"/>
      <c r="E2723" s="345"/>
      <c r="F2723" s="346"/>
    </row>
    <row r="2724" spans="1:6" ht="20.25">
      <c r="A2724" s="343"/>
      <c r="B2724" s="344"/>
      <c r="C2724" s="344"/>
      <c r="D2724" s="344"/>
      <c r="E2724" s="345"/>
      <c r="F2724" s="346"/>
    </row>
    <row r="2725" spans="1:6" ht="20.25">
      <c r="A2725" s="343"/>
      <c r="B2725" s="344"/>
      <c r="C2725" s="344"/>
      <c r="D2725" s="344"/>
      <c r="E2725" s="345"/>
      <c r="F2725" s="346"/>
    </row>
    <row r="2726" spans="1:6" ht="20.25">
      <c r="A2726" s="343"/>
      <c r="B2726" s="344"/>
      <c r="C2726" s="344"/>
      <c r="D2726" s="344"/>
      <c r="E2726" s="345"/>
      <c r="F2726" s="346"/>
    </row>
    <row r="2727" spans="1:6" ht="20.25">
      <c r="A2727" s="343"/>
      <c r="B2727" s="344"/>
      <c r="C2727" s="344"/>
      <c r="D2727" s="344"/>
      <c r="E2727" s="345"/>
      <c r="F2727" s="346"/>
    </row>
    <row r="2728" spans="1:6" ht="20.25">
      <c r="A2728" s="343"/>
      <c r="B2728" s="344"/>
      <c r="C2728" s="344"/>
      <c r="D2728" s="344"/>
      <c r="E2728" s="345"/>
      <c r="F2728" s="346"/>
    </row>
    <row r="2729" spans="1:6" ht="20.25">
      <c r="A2729" s="343"/>
      <c r="B2729" s="344"/>
      <c r="C2729" s="344"/>
      <c r="D2729" s="344"/>
      <c r="E2729" s="345"/>
      <c r="F2729" s="346"/>
    </row>
    <row r="2730" spans="1:6" ht="20.25">
      <c r="A2730" s="343"/>
      <c r="B2730" s="344"/>
      <c r="C2730" s="344"/>
      <c r="D2730" s="344"/>
      <c r="E2730" s="345"/>
      <c r="F2730" s="346"/>
    </row>
    <row r="2731" spans="1:6" ht="20.25">
      <c r="A2731" s="343"/>
      <c r="B2731" s="344"/>
      <c r="C2731" s="344"/>
      <c r="D2731" s="344"/>
      <c r="E2731" s="345"/>
      <c r="F2731" s="346"/>
    </row>
    <row r="2732" spans="1:6" ht="20.25">
      <c r="A2732" s="343"/>
      <c r="B2732" s="344"/>
      <c r="C2732" s="344"/>
      <c r="D2732" s="344"/>
      <c r="E2732" s="345"/>
      <c r="F2732" s="346"/>
    </row>
    <row r="2733" spans="1:6" ht="20.25">
      <c r="A2733" s="343"/>
      <c r="B2733" s="344"/>
      <c r="C2733" s="344"/>
      <c r="D2733" s="344"/>
      <c r="E2733" s="345"/>
      <c r="F2733" s="346"/>
    </row>
    <row r="2734" spans="1:6" ht="20.25">
      <c r="A2734" s="343"/>
      <c r="B2734" s="344"/>
      <c r="C2734" s="344"/>
      <c r="D2734" s="344"/>
      <c r="E2734" s="345"/>
      <c r="F2734" s="346"/>
    </row>
    <row r="2735" spans="1:6" ht="20.25">
      <c r="A2735" s="343"/>
      <c r="B2735" s="344"/>
      <c r="C2735" s="344"/>
      <c r="D2735" s="344"/>
      <c r="E2735" s="345"/>
      <c r="F2735" s="346"/>
    </row>
    <row r="2736" spans="1:6" ht="20.25">
      <c r="A2736" s="343"/>
      <c r="B2736" s="344"/>
      <c r="C2736" s="344"/>
      <c r="D2736" s="344"/>
      <c r="E2736" s="345"/>
      <c r="F2736" s="346"/>
    </row>
    <row r="2737" spans="1:6" ht="20.25">
      <c r="A2737" s="343"/>
      <c r="B2737" s="344"/>
      <c r="C2737" s="344"/>
      <c r="D2737" s="344"/>
      <c r="E2737" s="345"/>
      <c r="F2737" s="346"/>
    </row>
    <row r="2738" spans="1:6" ht="20.25">
      <c r="A2738" s="343"/>
      <c r="B2738" s="344"/>
      <c r="C2738" s="344"/>
      <c r="D2738" s="344"/>
      <c r="E2738" s="345"/>
      <c r="F2738" s="346"/>
    </row>
    <row r="2739" spans="1:6" ht="20.25">
      <c r="A2739" s="343"/>
      <c r="B2739" s="344"/>
      <c r="C2739" s="344"/>
      <c r="D2739" s="344"/>
      <c r="E2739" s="345"/>
      <c r="F2739" s="346"/>
    </row>
    <row r="2740" spans="1:6" ht="20.25">
      <c r="A2740" s="343"/>
      <c r="B2740" s="344"/>
      <c r="C2740" s="344"/>
      <c r="D2740" s="344"/>
      <c r="E2740" s="345"/>
      <c r="F2740" s="346"/>
    </row>
    <row r="2741" spans="1:6" ht="20.25">
      <c r="A2741" s="343"/>
      <c r="B2741" s="344"/>
      <c r="C2741" s="344"/>
      <c r="D2741" s="344"/>
      <c r="E2741" s="345"/>
      <c r="F2741" s="346"/>
    </row>
    <row r="2742" spans="1:6" ht="20.25">
      <c r="A2742" s="343"/>
      <c r="B2742" s="344"/>
      <c r="C2742" s="344"/>
      <c r="D2742" s="344"/>
      <c r="E2742" s="345"/>
      <c r="F2742" s="346"/>
    </row>
    <row r="2743" spans="1:6" ht="20.25">
      <c r="A2743" s="343"/>
      <c r="B2743" s="344"/>
      <c r="C2743" s="344"/>
      <c r="D2743" s="344"/>
      <c r="E2743" s="345"/>
      <c r="F2743" s="346"/>
    </row>
    <row r="2744" spans="1:6" ht="20.25">
      <c r="A2744" s="343"/>
      <c r="B2744" s="344"/>
      <c r="C2744" s="344"/>
      <c r="D2744" s="344"/>
      <c r="E2744" s="345"/>
      <c r="F2744" s="346"/>
    </row>
    <row r="2745" spans="1:6" ht="20.25">
      <c r="A2745" s="343"/>
      <c r="B2745" s="344"/>
      <c r="C2745" s="344"/>
      <c r="D2745" s="344"/>
      <c r="E2745" s="345"/>
      <c r="F2745" s="346"/>
    </row>
    <row r="2746" spans="1:6" ht="20.25">
      <c r="A2746" s="343"/>
      <c r="B2746" s="344"/>
      <c r="C2746" s="344"/>
      <c r="D2746" s="344"/>
      <c r="E2746" s="345"/>
      <c r="F2746" s="346"/>
    </row>
    <row r="2747" spans="1:6" ht="20.25">
      <c r="A2747" s="343"/>
      <c r="B2747" s="344"/>
      <c r="C2747" s="344"/>
      <c r="D2747" s="344"/>
      <c r="E2747" s="345"/>
      <c r="F2747" s="346"/>
    </row>
    <row r="2748" spans="1:6" ht="20.25">
      <c r="A2748" s="343"/>
      <c r="B2748" s="344"/>
      <c r="C2748" s="344"/>
      <c r="D2748" s="344"/>
      <c r="E2748" s="345"/>
      <c r="F2748" s="346"/>
    </row>
    <row r="2749" spans="1:6" ht="20.25">
      <c r="A2749" s="343"/>
      <c r="B2749" s="344"/>
      <c r="C2749" s="344"/>
      <c r="D2749" s="344"/>
      <c r="E2749" s="345"/>
      <c r="F2749" s="346"/>
    </row>
    <row r="2750" spans="1:6" ht="20.25">
      <c r="A2750" s="343"/>
      <c r="B2750" s="344"/>
      <c r="C2750" s="344"/>
      <c r="D2750" s="344"/>
      <c r="E2750" s="345"/>
      <c r="F2750" s="346"/>
    </row>
    <row r="2751" spans="1:6" ht="20.25">
      <c r="A2751" s="343"/>
      <c r="B2751" s="344"/>
      <c r="C2751" s="344"/>
      <c r="D2751" s="344"/>
      <c r="E2751" s="345"/>
      <c r="F2751" s="346"/>
    </row>
    <row r="2752" spans="1:6" ht="20.25">
      <c r="A2752" s="343"/>
      <c r="B2752" s="344"/>
      <c r="C2752" s="344"/>
      <c r="D2752" s="344"/>
      <c r="E2752" s="345"/>
      <c r="F2752" s="346"/>
    </row>
    <row r="2753" spans="1:6" ht="20.25">
      <c r="A2753" s="343"/>
      <c r="B2753" s="344"/>
      <c r="C2753" s="344"/>
      <c r="D2753" s="344"/>
      <c r="E2753" s="345"/>
      <c r="F2753" s="346"/>
    </row>
    <row r="2754" spans="1:6" ht="20.25">
      <c r="A2754" s="343"/>
      <c r="B2754" s="344"/>
      <c r="C2754" s="344"/>
      <c r="D2754" s="344"/>
      <c r="E2754" s="345"/>
      <c r="F2754" s="346"/>
    </row>
    <row r="2755" spans="1:6" ht="20.25">
      <c r="A2755" s="343"/>
      <c r="B2755" s="344"/>
      <c r="C2755" s="344"/>
      <c r="D2755" s="344"/>
      <c r="E2755" s="345"/>
      <c r="F2755" s="346"/>
    </row>
    <row r="2756" spans="1:6" ht="20.25">
      <c r="A2756" s="343"/>
      <c r="B2756" s="344"/>
      <c r="C2756" s="344"/>
      <c r="D2756" s="344"/>
      <c r="E2756" s="345"/>
      <c r="F2756" s="346"/>
    </row>
    <row r="2757" spans="1:6" ht="20.25">
      <c r="A2757" s="343"/>
      <c r="B2757" s="344"/>
      <c r="C2757" s="344"/>
      <c r="D2757" s="344"/>
      <c r="E2757" s="345"/>
      <c r="F2757" s="346"/>
    </row>
    <row r="2758" spans="1:6" ht="20.25">
      <c r="A2758" s="343"/>
      <c r="B2758" s="344"/>
      <c r="C2758" s="344"/>
      <c r="D2758" s="344"/>
      <c r="E2758" s="345"/>
      <c r="F2758" s="346"/>
    </row>
    <row r="2759" spans="1:6" ht="20.25">
      <c r="A2759" s="343"/>
      <c r="B2759" s="344"/>
      <c r="C2759" s="344"/>
      <c r="D2759" s="344"/>
      <c r="E2759" s="345"/>
      <c r="F2759" s="346"/>
    </row>
    <row r="2760" spans="1:6" ht="20.25">
      <c r="A2760" s="343"/>
      <c r="B2760" s="344"/>
      <c r="C2760" s="344"/>
      <c r="D2760" s="344"/>
      <c r="E2760" s="345"/>
      <c r="F2760" s="346"/>
    </row>
    <row r="2761" spans="1:6" ht="20.25">
      <c r="A2761" s="343"/>
      <c r="B2761" s="344"/>
      <c r="C2761" s="344"/>
      <c r="D2761" s="344"/>
      <c r="E2761" s="345"/>
      <c r="F2761" s="346"/>
    </row>
    <row r="2762" spans="1:6" ht="20.25">
      <c r="A2762" s="343"/>
      <c r="B2762" s="344"/>
      <c r="C2762" s="344"/>
      <c r="D2762" s="344"/>
      <c r="E2762" s="345"/>
      <c r="F2762" s="346"/>
    </row>
    <row r="2763" spans="1:6" ht="20.25">
      <c r="A2763" s="343"/>
      <c r="B2763" s="344"/>
      <c r="C2763" s="344"/>
      <c r="D2763" s="344"/>
      <c r="E2763" s="345"/>
      <c r="F2763" s="346"/>
    </row>
    <row r="2764" spans="1:6" ht="20.25">
      <c r="A2764" s="343"/>
      <c r="B2764" s="344"/>
      <c r="C2764" s="344"/>
      <c r="D2764" s="344"/>
      <c r="E2764" s="345"/>
      <c r="F2764" s="346"/>
    </row>
    <row r="2765" spans="1:6" ht="20.25">
      <c r="A2765" s="343"/>
      <c r="B2765" s="344"/>
      <c r="C2765" s="344"/>
      <c r="D2765" s="344"/>
      <c r="E2765" s="345"/>
      <c r="F2765" s="346"/>
    </row>
    <row r="2766" spans="1:6" ht="20.25">
      <c r="A2766" s="343"/>
      <c r="B2766" s="344"/>
      <c r="C2766" s="344"/>
      <c r="D2766" s="344"/>
      <c r="E2766" s="345"/>
      <c r="F2766" s="346"/>
    </row>
    <row r="2767" spans="1:6" ht="20.25">
      <c r="A2767" s="343"/>
      <c r="B2767" s="344"/>
      <c r="C2767" s="344"/>
      <c r="D2767" s="344"/>
      <c r="E2767" s="345"/>
      <c r="F2767" s="346"/>
    </row>
    <row r="2768" spans="1:6" ht="20.25">
      <c r="A2768" s="343"/>
      <c r="B2768" s="344"/>
      <c r="C2768" s="344"/>
      <c r="D2768" s="344"/>
      <c r="E2768" s="345"/>
      <c r="F2768" s="346"/>
    </row>
    <row r="2769" spans="1:6" ht="20.25">
      <c r="A2769" s="343"/>
      <c r="B2769" s="344"/>
      <c r="C2769" s="344"/>
      <c r="D2769" s="344"/>
      <c r="E2769" s="345"/>
      <c r="F2769" s="346"/>
    </row>
    <row r="2770" spans="1:6" ht="20.25">
      <c r="A2770" s="343"/>
      <c r="B2770" s="344"/>
      <c r="C2770" s="344"/>
      <c r="D2770" s="344"/>
      <c r="E2770" s="345"/>
      <c r="F2770" s="346"/>
    </row>
    <row r="2771" spans="1:6" ht="20.25">
      <c r="A2771" s="343"/>
      <c r="B2771" s="344"/>
      <c r="C2771" s="344"/>
      <c r="D2771" s="344"/>
      <c r="E2771" s="345"/>
      <c r="F2771" s="346"/>
    </row>
    <row r="2772" spans="1:6" ht="20.25">
      <c r="A2772" s="343"/>
      <c r="B2772" s="344"/>
      <c r="C2772" s="344"/>
      <c r="D2772" s="344"/>
      <c r="E2772" s="345"/>
      <c r="F2772" s="346"/>
    </row>
    <row r="2773" spans="1:6" ht="20.25">
      <c r="A2773" s="343"/>
      <c r="B2773" s="344"/>
      <c r="C2773" s="344"/>
      <c r="D2773" s="344"/>
      <c r="E2773" s="345"/>
      <c r="F2773" s="346"/>
    </row>
    <row r="2774" spans="1:6" ht="20.25">
      <c r="A2774" s="343"/>
      <c r="B2774" s="344"/>
      <c r="C2774" s="344"/>
      <c r="D2774" s="344"/>
      <c r="E2774" s="345"/>
      <c r="F2774" s="346"/>
    </row>
    <row r="2775" spans="1:6" ht="20.25">
      <c r="A2775" s="343"/>
      <c r="B2775" s="344"/>
      <c r="C2775" s="344"/>
      <c r="D2775" s="344"/>
      <c r="E2775" s="345"/>
      <c r="F2775" s="346"/>
    </row>
    <row r="2776" spans="1:6" ht="20.25">
      <c r="A2776" s="343"/>
      <c r="B2776" s="344"/>
      <c r="C2776" s="344"/>
      <c r="D2776" s="344"/>
      <c r="E2776" s="345"/>
      <c r="F2776" s="346"/>
    </row>
    <row r="2777" spans="1:6" ht="20.25">
      <c r="A2777" s="343"/>
      <c r="B2777" s="344"/>
      <c r="C2777" s="344"/>
      <c r="D2777" s="344"/>
      <c r="E2777" s="345"/>
      <c r="F2777" s="346"/>
    </row>
    <row r="2778" spans="1:6" ht="20.25">
      <c r="A2778" s="343"/>
      <c r="B2778" s="344"/>
      <c r="C2778" s="344"/>
      <c r="D2778" s="344"/>
      <c r="E2778" s="345"/>
      <c r="F2778" s="346"/>
    </row>
    <row r="2779" spans="1:6" ht="20.25">
      <c r="A2779" s="343"/>
      <c r="B2779" s="344"/>
      <c r="C2779" s="344"/>
      <c r="D2779" s="344"/>
      <c r="E2779" s="345"/>
      <c r="F2779" s="346"/>
    </row>
    <row r="2780" spans="1:6" ht="20.25">
      <c r="A2780" s="343"/>
      <c r="B2780" s="344"/>
      <c r="C2780" s="344"/>
      <c r="D2780" s="344"/>
      <c r="E2780" s="345"/>
      <c r="F2780" s="346"/>
    </row>
    <row r="2781" spans="1:6" ht="20.25">
      <c r="A2781" s="343"/>
      <c r="B2781" s="344"/>
      <c r="C2781" s="344"/>
      <c r="D2781" s="344"/>
      <c r="E2781" s="345"/>
      <c r="F2781" s="346"/>
    </row>
    <row r="2782" spans="1:6" ht="20.25">
      <c r="A2782" s="343"/>
      <c r="B2782" s="344"/>
      <c r="C2782" s="344"/>
      <c r="D2782" s="344"/>
      <c r="E2782" s="345"/>
      <c r="F2782" s="346"/>
    </row>
    <row r="2783" spans="1:6" ht="20.25">
      <c r="A2783" s="343"/>
      <c r="B2783" s="344"/>
      <c r="C2783" s="344"/>
      <c r="D2783" s="344"/>
      <c r="E2783" s="345"/>
      <c r="F2783" s="346"/>
    </row>
    <row r="2784" spans="1:6" ht="20.25">
      <c r="A2784" s="343"/>
      <c r="B2784" s="344"/>
      <c r="C2784" s="344"/>
      <c r="D2784" s="344"/>
      <c r="E2784" s="345"/>
      <c r="F2784" s="346"/>
    </row>
    <row r="2785" spans="1:6" ht="20.25">
      <c r="A2785" s="343"/>
      <c r="B2785" s="344"/>
      <c r="C2785" s="344"/>
      <c r="D2785" s="344"/>
      <c r="E2785" s="345"/>
      <c r="F2785" s="346"/>
    </row>
    <row r="2786" spans="1:6" ht="20.25">
      <c r="A2786" s="343"/>
      <c r="B2786" s="344"/>
      <c r="C2786" s="344"/>
      <c r="D2786" s="344"/>
      <c r="E2786" s="345"/>
      <c r="F2786" s="346"/>
    </row>
    <row r="2787" spans="1:6" ht="20.25">
      <c r="A2787" s="343"/>
      <c r="B2787" s="344"/>
      <c r="C2787" s="344"/>
      <c r="D2787" s="344"/>
      <c r="E2787" s="345"/>
      <c r="F2787" s="346"/>
    </row>
    <row r="2788" spans="1:6" ht="20.25">
      <c r="A2788" s="343"/>
      <c r="B2788" s="344"/>
      <c r="C2788" s="344"/>
      <c r="D2788" s="344"/>
      <c r="E2788" s="345"/>
      <c r="F2788" s="346"/>
    </row>
    <row r="2789" spans="1:6" ht="20.25">
      <c r="A2789" s="343"/>
      <c r="B2789" s="344"/>
      <c r="C2789" s="344"/>
      <c r="D2789" s="344"/>
      <c r="E2789" s="345"/>
      <c r="F2789" s="346"/>
    </row>
    <row r="2790" spans="1:6" ht="20.25">
      <c r="A2790" s="343"/>
      <c r="B2790" s="344"/>
      <c r="C2790" s="344"/>
      <c r="D2790" s="344"/>
      <c r="E2790" s="345"/>
      <c r="F2790" s="346"/>
    </row>
    <row r="2791" spans="1:6" ht="20.25">
      <c r="A2791" s="343"/>
      <c r="B2791" s="344"/>
      <c r="C2791" s="344"/>
      <c r="D2791" s="344"/>
      <c r="E2791" s="345"/>
      <c r="F2791" s="346"/>
    </row>
    <row r="2792" spans="1:6" ht="20.25">
      <c r="A2792" s="343"/>
      <c r="B2792" s="344"/>
      <c r="C2792" s="344"/>
      <c r="D2792" s="344"/>
      <c r="E2792" s="345"/>
      <c r="F2792" s="346"/>
    </row>
    <row r="2793" spans="1:6" ht="20.25">
      <c r="A2793" s="343"/>
      <c r="B2793" s="344"/>
      <c r="C2793" s="344"/>
      <c r="D2793" s="344"/>
      <c r="E2793" s="345"/>
      <c r="F2793" s="346"/>
    </row>
    <row r="2794" spans="1:6" ht="20.25">
      <c r="A2794" s="343"/>
      <c r="B2794" s="344"/>
      <c r="C2794" s="344"/>
      <c r="D2794" s="344"/>
      <c r="E2794" s="345"/>
      <c r="F2794" s="346"/>
    </row>
    <row r="2795" spans="1:6" ht="20.25">
      <c r="A2795" s="343"/>
      <c r="B2795" s="344"/>
      <c r="C2795" s="344"/>
      <c r="D2795" s="344"/>
      <c r="E2795" s="345"/>
      <c r="F2795" s="346"/>
    </row>
    <row r="2796" spans="1:6" ht="20.25">
      <c r="A2796" s="343"/>
      <c r="B2796" s="344"/>
      <c r="C2796" s="344"/>
      <c r="D2796" s="344"/>
      <c r="E2796" s="345"/>
      <c r="F2796" s="346"/>
    </row>
    <row r="2797" spans="1:6" ht="20.25">
      <c r="A2797" s="343"/>
      <c r="B2797" s="344"/>
      <c r="C2797" s="344"/>
      <c r="D2797" s="344"/>
      <c r="E2797" s="345"/>
      <c r="F2797" s="346"/>
    </row>
    <row r="2798" spans="1:6" ht="20.25">
      <c r="A2798" s="343"/>
      <c r="B2798" s="344"/>
      <c r="C2798" s="344"/>
      <c r="D2798" s="344"/>
      <c r="E2798" s="345"/>
      <c r="F2798" s="346"/>
    </row>
    <row r="2799" spans="1:6" ht="20.25">
      <c r="A2799" s="343"/>
      <c r="B2799" s="344"/>
      <c r="C2799" s="344"/>
      <c r="D2799" s="344"/>
      <c r="E2799" s="345"/>
      <c r="F2799" s="346"/>
    </row>
    <row r="2800" spans="1:6" ht="20.25">
      <c r="A2800" s="343"/>
      <c r="B2800" s="344"/>
      <c r="C2800" s="344"/>
      <c r="D2800" s="344"/>
      <c r="E2800" s="345"/>
      <c r="F2800" s="346"/>
    </row>
    <row r="2801" spans="1:6" ht="20.25">
      <c r="A2801" s="343"/>
      <c r="B2801" s="344"/>
      <c r="C2801" s="344"/>
      <c r="D2801" s="344"/>
      <c r="E2801" s="345"/>
      <c r="F2801" s="346"/>
    </row>
    <row r="2802" spans="1:6" ht="20.25">
      <c r="A2802" s="343"/>
      <c r="B2802" s="344"/>
      <c r="C2802" s="344"/>
      <c r="D2802" s="344"/>
      <c r="E2802" s="345"/>
      <c r="F2802" s="346"/>
    </row>
    <row r="2803" spans="1:6" ht="20.25">
      <c r="A2803" s="343"/>
      <c r="B2803" s="344"/>
      <c r="C2803" s="344"/>
      <c r="D2803" s="344"/>
      <c r="E2803" s="345"/>
      <c r="F2803" s="346"/>
    </row>
    <row r="2804" spans="1:6" ht="20.25">
      <c r="A2804" s="343"/>
      <c r="B2804" s="344"/>
      <c r="C2804" s="344"/>
      <c r="D2804" s="344"/>
      <c r="E2804" s="345"/>
      <c r="F2804" s="346"/>
    </row>
    <row r="2805" spans="1:6" ht="20.25">
      <c r="A2805" s="343"/>
      <c r="B2805" s="344"/>
      <c r="C2805" s="344"/>
      <c r="D2805" s="344"/>
      <c r="E2805" s="345"/>
      <c r="F2805" s="346"/>
    </row>
    <row r="2806" spans="1:6" ht="20.25">
      <c r="A2806" s="343"/>
      <c r="B2806" s="344"/>
      <c r="C2806" s="344"/>
      <c r="D2806" s="344"/>
      <c r="E2806" s="345"/>
      <c r="F2806" s="346"/>
    </row>
    <row r="2807" spans="1:6" ht="20.25">
      <c r="A2807" s="343"/>
      <c r="B2807" s="344"/>
      <c r="C2807" s="344"/>
      <c r="D2807" s="344"/>
      <c r="E2807" s="345"/>
      <c r="F2807" s="346"/>
    </row>
    <row r="2808" spans="1:6" ht="20.25">
      <c r="A2808" s="343"/>
      <c r="B2808" s="344"/>
      <c r="C2808" s="344"/>
      <c r="D2808" s="344"/>
      <c r="E2808" s="345"/>
      <c r="F2808" s="346"/>
    </row>
    <row r="2809" spans="1:6" ht="20.25">
      <c r="A2809" s="343"/>
      <c r="B2809" s="344"/>
      <c r="C2809" s="344"/>
      <c r="D2809" s="344"/>
      <c r="E2809" s="345"/>
      <c r="F2809" s="346"/>
    </row>
    <row r="2810" spans="1:6" ht="20.25">
      <c r="A2810" s="343"/>
      <c r="B2810" s="344"/>
      <c r="C2810" s="344"/>
      <c r="D2810" s="344"/>
      <c r="E2810" s="345"/>
      <c r="F2810" s="346"/>
    </row>
    <row r="2811" spans="1:6" ht="20.25">
      <c r="A2811" s="343"/>
      <c r="B2811" s="344"/>
      <c r="C2811" s="344"/>
      <c r="D2811" s="344"/>
      <c r="E2811" s="345"/>
      <c r="F2811" s="346"/>
    </row>
    <row r="2812" spans="1:6" ht="20.25">
      <c r="A2812" s="343"/>
      <c r="B2812" s="344"/>
      <c r="C2812" s="344"/>
      <c r="D2812" s="344"/>
      <c r="E2812" s="345"/>
      <c r="F2812" s="346"/>
    </row>
    <row r="2813" spans="1:6" ht="20.25">
      <c r="A2813" s="343"/>
      <c r="B2813" s="344"/>
      <c r="C2813" s="344"/>
      <c r="D2813" s="344"/>
      <c r="E2813" s="345"/>
      <c r="F2813" s="346"/>
    </row>
    <row r="2814" spans="1:6" ht="20.25">
      <c r="A2814" s="343"/>
      <c r="B2814" s="344"/>
      <c r="C2814" s="344"/>
      <c r="D2814" s="344"/>
      <c r="E2814" s="345"/>
      <c r="F2814" s="346"/>
    </row>
    <row r="2815" spans="1:6" ht="20.25">
      <c r="A2815" s="343"/>
      <c r="B2815" s="344"/>
      <c r="C2815" s="344"/>
      <c r="D2815" s="344"/>
      <c r="E2815" s="345"/>
      <c r="F2815" s="346"/>
    </row>
    <row r="2816" spans="1:6" ht="20.25">
      <c r="A2816" s="343"/>
      <c r="B2816" s="344"/>
      <c r="C2816" s="344"/>
      <c r="D2816" s="344"/>
      <c r="E2816" s="345"/>
      <c r="F2816" s="346"/>
    </row>
    <row r="2817" spans="1:6" ht="20.25">
      <c r="A2817" s="343"/>
      <c r="B2817" s="344"/>
      <c r="C2817" s="344"/>
      <c r="D2817" s="344"/>
      <c r="E2817" s="345"/>
      <c r="F2817" s="346"/>
    </row>
    <row r="2818" spans="1:6" ht="20.25">
      <c r="A2818" s="343"/>
      <c r="B2818" s="344"/>
      <c r="C2818" s="344"/>
      <c r="D2818" s="344"/>
      <c r="E2818" s="345"/>
      <c r="F2818" s="346"/>
    </row>
    <row r="2819" spans="1:6" ht="20.25">
      <c r="A2819" s="343"/>
      <c r="B2819" s="344"/>
      <c r="C2819" s="344"/>
      <c r="D2819" s="344"/>
      <c r="E2819" s="345"/>
      <c r="F2819" s="346"/>
    </row>
    <row r="2820" spans="1:6" ht="20.25">
      <c r="A2820" s="343"/>
      <c r="B2820" s="344"/>
      <c r="C2820" s="344"/>
      <c r="D2820" s="344"/>
      <c r="E2820" s="345"/>
      <c r="F2820" s="346"/>
    </row>
    <row r="2821" spans="1:6" ht="20.25">
      <c r="A2821" s="343"/>
      <c r="B2821" s="344"/>
      <c r="C2821" s="344"/>
      <c r="D2821" s="344"/>
      <c r="E2821" s="345"/>
      <c r="F2821" s="346"/>
    </row>
    <row r="2822" spans="1:6" ht="20.25">
      <c r="A2822" s="343"/>
      <c r="B2822" s="344"/>
      <c r="C2822" s="344"/>
      <c r="D2822" s="344"/>
      <c r="E2822" s="345"/>
      <c r="F2822" s="346"/>
    </row>
    <row r="2823" spans="1:6" ht="20.25">
      <c r="A2823" s="343"/>
      <c r="B2823" s="344"/>
      <c r="C2823" s="344"/>
      <c r="D2823" s="344"/>
      <c r="E2823" s="345"/>
      <c r="F2823" s="346"/>
    </row>
    <row r="2824" spans="1:6" ht="20.25">
      <c r="A2824" s="343"/>
      <c r="B2824" s="344"/>
      <c r="C2824" s="344"/>
      <c r="D2824" s="344"/>
      <c r="E2824" s="345"/>
      <c r="F2824" s="346"/>
    </row>
    <row r="2825" spans="1:6" ht="20.25">
      <c r="A2825" s="343"/>
      <c r="B2825" s="344"/>
      <c r="C2825" s="344"/>
      <c r="D2825" s="344"/>
      <c r="E2825" s="345"/>
      <c r="F2825" s="346"/>
    </row>
    <row r="2826" spans="1:6" ht="20.25">
      <c r="A2826" s="343"/>
      <c r="B2826" s="344"/>
      <c r="C2826" s="344"/>
      <c r="D2826" s="344"/>
      <c r="E2826" s="345"/>
      <c r="F2826" s="346"/>
    </row>
    <row r="2827" spans="1:6" ht="20.25">
      <c r="A2827" s="343"/>
      <c r="B2827" s="344"/>
      <c r="C2827" s="344"/>
      <c r="D2827" s="344"/>
      <c r="E2827" s="345"/>
      <c r="F2827" s="346"/>
    </row>
    <row r="2828" spans="1:6" ht="20.25">
      <c r="A2828" s="343"/>
      <c r="B2828" s="344"/>
      <c r="C2828" s="344"/>
      <c r="D2828" s="344"/>
      <c r="E2828" s="345"/>
      <c r="F2828" s="346"/>
    </row>
    <row r="2829" spans="1:6" ht="20.25">
      <c r="A2829" s="343"/>
      <c r="B2829" s="344"/>
      <c r="C2829" s="344"/>
      <c r="D2829" s="344"/>
      <c r="E2829" s="345"/>
      <c r="F2829" s="346"/>
    </row>
    <row r="2830" spans="1:6" ht="20.25">
      <c r="A2830" s="343"/>
      <c r="B2830" s="344"/>
      <c r="C2830" s="344"/>
      <c r="D2830" s="344"/>
      <c r="E2830" s="345"/>
      <c r="F2830" s="346"/>
    </row>
    <row r="2831" spans="1:6" ht="20.25">
      <c r="A2831" s="343"/>
      <c r="B2831" s="344"/>
      <c r="C2831" s="344"/>
      <c r="D2831" s="344"/>
      <c r="E2831" s="345"/>
      <c r="F2831" s="346"/>
    </row>
    <row r="2832" spans="1:6" ht="20.25">
      <c r="A2832" s="343"/>
      <c r="B2832" s="344"/>
      <c r="C2832" s="344"/>
      <c r="D2832" s="344"/>
      <c r="E2832" s="345"/>
      <c r="F2832" s="346"/>
    </row>
    <row r="2833" spans="1:6" ht="20.25">
      <c r="A2833" s="343"/>
      <c r="B2833" s="344"/>
      <c r="C2833" s="344"/>
      <c r="D2833" s="344"/>
      <c r="E2833" s="345"/>
      <c r="F2833" s="346"/>
    </row>
    <row r="2834" spans="1:6" ht="20.25">
      <c r="A2834" s="343"/>
      <c r="B2834" s="344"/>
      <c r="C2834" s="344"/>
      <c r="D2834" s="344"/>
      <c r="E2834" s="345"/>
      <c r="F2834" s="346"/>
    </row>
    <row r="2835" spans="1:6" ht="20.25">
      <c r="A2835" s="343"/>
      <c r="B2835" s="344"/>
      <c r="C2835" s="344"/>
      <c r="D2835" s="344"/>
      <c r="E2835" s="345"/>
      <c r="F2835" s="346"/>
    </row>
    <row r="2836" spans="1:6" ht="20.25">
      <c r="A2836" s="343"/>
      <c r="B2836" s="344"/>
      <c r="C2836" s="344"/>
      <c r="D2836" s="344"/>
      <c r="E2836" s="345"/>
      <c r="F2836" s="346"/>
    </row>
    <row r="2837" spans="1:6" ht="20.25">
      <c r="A2837" s="343"/>
      <c r="B2837" s="344"/>
      <c r="C2837" s="344"/>
      <c r="D2837" s="344"/>
      <c r="E2837" s="345"/>
      <c r="F2837" s="346"/>
    </row>
    <row r="2838" spans="1:6" ht="20.25">
      <c r="A2838" s="343"/>
      <c r="B2838" s="344"/>
      <c r="C2838" s="344"/>
      <c r="D2838" s="344"/>
      <c r="E2838" s="345"/>
      <c r="F2838" s="346"/>
    </row>
    <row r="2839" spans="1:6" ht="20.25">
      <c r="A2839" s="343"/>
      <c r="B2839" s="344"/>
      <c r="C2839" s="344"/>
      <c r="D2839" s="344"/>
      <c r="E2839" s="345"/>
      <c r="F2839" s="346"/>
    </row>
    <row r="2840" spans="1:6" ht="20.25">
      <c r="A2840" s="343"/>
      <c r="B2840" s="344"/>
      <c r="C2840" s="344"/>
      <c r="D2840" s="344"/>
      <c r="E2840" s="345"/>
      <c r="F2840" s="346"/>
    </row>
    <row r="2841" spans="1:6" ht="20.25">
      <c r="A2841" s="343"/>
      <c r="B2841" s="344"/>
      <c r="C2841" s="344"/>
      <c r="D2841" s="344"/>
      <c r="E2841" s="345"/>
      <c r="F2841" s="346"/>
    </row>
    <row r="2842" spans="1:6" ht="20.25">
      <c r="A2842" s="343"/>
      <c r="B2842" s="344"/>
      <c r="C2842" s="344"/>
      <c r="D2842" s="344"/>
      <c r="E2842" s="345"/>
      <c r="F2842" s="346"/>
    </row>
    <row r="2843" spans="1:6" ht="20.25">
      <c r="A2843" s="343"/>
      <c r="B2843" s="344"/>
      <c r="C2843" s="344"/>
      <c r="D2843" s="344"/>
      <c r="E2843" s="345"/>
      <c r="F2843" s="346"/>
    </row>
    <row r="2844" spans="1:6" ht="20.25">
      <c r="A2844" s="343"/>
      <c r="B2844" s="344"/>
      <c r="C2844" s="344"/>
      <c r="D2844" s="344"/>
      <c r="E2844" s="345"/>
      <c r="F2844" s="346"/>
    </row>
    <row r="2845" spans="1:6" ht="20.25">
      <c r="A2845" s="343"/>
      <c r="B2845" s="344"/>
      <c r="C2845" s="344"/>
      <c r="D2845" s="344"/>
      <c r="E2845" s="345"/>
      <c r="F2845" s="346"/>
    </row>
    <row r="2846" spans="1:6" ht="20.25">
      <c r="A2846" s="343"/>
      <c r="B2846" s="344"/>
      <c r="C2846" s="344"/>
      <c r="D2846" s="344"/>
      <c r="E2846" s="345"/>
      <c r="F2846" s="346"/>
    </row>
    <row r="2847" spans="1:6" ht="20.25">
      <c r="A2847" s="343"/>
      <c r="B2847" s="344"/>
      <c r="C2847" s="344"/>
      <c r="D2847" s="344"/>
      <c r="E2847" s="345"/>
      <c r="F2847" s="346"/>
    </row>
    <row r="2848" spans="1:6" ht="20.25">
      <c r="A2848" s="343"/>
      <c r="B2848" s="344"/>
      <c r="C2848" s="344"/>
      <c r="D2848" s="344"/>
      <c r="E2848" s="345"/>
      <c r="F2848" s="346"/>
    </row>
    <row r="2849" spans="1:6" ht="20.25">
      <c r="A2849" s="343"/>
      <c r="B2849" s="344"/>
      <c r="C2849" s="344"/>
      <c r="D2849" s="344"/>
      <c r="E2849" s="345"/>
      <c r="F2849" s="346"/>
    </row>
    <row r="2850" spans="1:6" ht="20.25">
      <c r="A2850" s="343"/>
      <c r="B2850" s="344"/>
      <c r="C2850" s="344"/>
      <c r="D2850" s="344"/>
      <c r="E2850" s="345"/>
      <c r="F2850" s="346"/>
    </row>
    <row r="2851" spans="1:6" ht="20.25">
      <c r="A2851" s="343"/>
      <c r="B2851" s="344"/>
      <c r="C2851" s="344"/>
      <c r="D2851" s="344"/>
      <c r="E2851" s="345"/>
      <c r="F2851" s="346"/>
    </row>
    <row r="2852" spans="1:6" ht="20.25">
      <c r="A2852" s="343"/>
      <c r="B2852" s="344"/>
      <c r="C2852" s="344"/>
      <c r="D2852" s="344"/>
      <c r="E2852" s="345"/>
      <c r="F2852" s="346"/>
    </row>
    <row r="2853" spans="1:6" ht="20.25">
      <c r="A2853" s="343"/>
      <c r="B2853" s="344"/>
      <c r="C2853" s="344"/>
      <c r="D2853" s="344"/>
      <c r="E2853" s="345"/>
      <c r="F2853" s="346"/>
    </row>
    <row r="2854" spans="1:6" ht="20.25">
      <c r="A2854" s="343"/>
      <c r="B2854" s="344"/>
      <c r="C2854" s="344"/>
      <c r="D2854" s="344"/>
      <c r="E2854" s="345"/>
      <c r="F2854" s="346"/>
    </row>
    <row r="2855" spans="1:6" ht="20.25">
      <c r="A2855" s="343"/>
      <c r="B2855" s="344"/>
      <c r="C2855" s="344"/>
      <c r="D2855" s="344"/>
      <c r="E2855" s="345"/>
      <c r="F2855" s="346"/>
    </row>
    <row r="2856" spans="1:6" ht="20.25">
      <c r="A2856" s="343"/>
      <c r="B2856" s="344"/>
      <c r="C2856" s="344"/>
      <c r="D2856" s="344"/>
      <c r="E2856" s="345"/>
      <c r="F2856" s="346"/>
    </row>
    <row r="2857" spans="1:6" ht="20.25">
      <c r="A2857" s="343"/>
      <c r="B2857" s="344"/>
      <c r="C2857" s="344"/>
      <c r="D2857" s="344"/>
      <c r="E2857" s="345"/>
      <c r="F2857" s="346"/>
    </row>
    <row r="2858" spans="1:6" ht="20.25">
      <c r="A2858" s="343"/>
      <c r="B2858" s="344"/>
      <c r="C2858" s="344"/>
      <c r="D2858" s="344"/>
      <c r="E2858" s="345"/>
      <c r="F2858" s="346"/>
    </row>
    <row r="2859" spans="1:6" ht="20.25">
      <c r="A2859" s="343"/>
      <c r="B2859" s="344"/>
      <c r="C2859" s="344"/>
      <c r="D2859" s="344"/>
      <c r="E2859" s="345"/>
      <c r="F2859" s="346"/>
    </row>
    <row r="2860" spans="1:6" ht="20.25">
      <c r="A2860" s="343"/>
      <c r="B2860" s="344"/>
      <c r="C2860" s="344"/>
      <c r="D2860" s="344"/>
      <c r="E2860" s="345"/>
      <c r="F2860" s="346"/>
    </row>
    <row r="2861" spans="1:6" ht="20.25">
      <c r="A2861" s="343"/>
      <c r="B2861" s="344"/>
      <c r="C2861" s="344"/>
      <c r="D2861" s="344"/>
      <c r="E2861" s="345"/>
      <c r="F2861" s="346"/>
    </row>
    <row r="2862" spans="1:6" ht="20.25">
      <c r="A2862" s="343"/>
      <c r="B2862" s="344"/>
      <c r="C2862" s="344"/>
      <c r="D2862" s="344"/>
      <c r="E2862" s="345"/>
      <c r="F2862" s="346"/>
    </row>
    <row r="2863" spans="1:6" ht="20.25">
      <c r="A2863" s="343"/>
      <c r="B2863" s="344"/>
      <c r="C2863" s="344"/>
      <c r="D2863" s="344"/>
      <c r="E2863" s="345"/>
      <c r="F2863" s="346"/>
    </row>
    <row r="2864" spans="1:6" ht="20.25">
      <c r="A2864" s="343"/>
      <c r="B2864" s="344"/>
      <c r="C2864" s="344"/>
      <c r="D2864" s="344"/>
      <c r="E2864" s="345"/>
      <c r="F2864" s="346"/>
    </row>
    <row r="2865" spans="1:6" ht="20.25">
      <c r="A2865" s="343"/>
      <c r="B2865" s="344"/>
      <c r="C2865" s="344"/>
      <c r="D2865" s="344"/>
      <c r="E2865" s="345"/>
      <c r="F2865" s="346"/>
    </row>
    <row r="2866" spans="1:6" ht="20.25">
      <c r="A2866" s="343"/>
      <c r="B2866" s="344"/>
      <c r="C2866" s="344"/>
      <c r="D2866" s="344"/>
      <c r="E2866" s="345"/>
      <c r="F2866" s="346"/>
    </row>
    <row r="2867" spans="1:6" ht="20.25">
      <c r="A2867" s="343"/>
      <c r="B2867" s="344"/>
      <c r="C2867" s="344"/>
      <c r="D2867" s="344"/>
      <c r="E2867" s="345"/>
      <c r="F2867" s="346"/>
    </row>
    <row r="2868" spans="1:6" ht="20.25">
      <c r="A2868" s="343"/>
      <c r="B2868" s="344"/>
      <c r="C2868" s="344"/>
      <c r="D2868" s="344"/>
      <c r="E2868" s="345"/>
      <c r="F2868" s="346"/>
    </row>
    <row r="2869" spans="1:6" ht="20.25">
      <c r="A2869" s="343"/>
      <c r="B2869" s="344"/>
      <c r="C2869" s="344"/>
      <c r="D2869" s="344"/>
      <c r="E2869" s="345"/>
      <c r="F2869" s="346"/>
    </row>
    <row r="2870" spans="1:6" ht="20.25">
      <c r="A2870" s="343"/>
      <c r="B2870" s="344"/>
      <c r="C2870" s="344"/>
      <c r="D2870" s="344"/>
      <c r="E2870" s="345"/>
      <c r="F2870" s="346"/>
    </row>
    <row r="2871" spans="1:6" ht="20.25">
      <c r="A2871" s="343"/>
      <c r="B2871" s="344"/>
      <c r="C2871" s="344"/>
      <c r="D2871" s="344"/>
      <c r="E2871" s="345"/>
      <c r="F2871" s="346"/>
    </row>
    <row r="2872" spans="1:6" ht="20.25">
      <c r="A2872" s="343"/>
      <c r="B2872" s="344"/>
      <c r="C2872" s="344"/>
      <c r="D2872" s="344"/>
      <c r="E2872" s="345"/>
      <c r="F2872" s="346"/>
    </row>
    <row r="2873" spans="1:6" ht="20.25">
      <c r="A2873" s="343"/>
      <c r="B2873" s="344"/>
      <c r="C2873" s="344"/>
      <c r="D2873" s="344"/>
      <c r="E2873" s="345"/>
      <c r="F2873" s="346"/>
    </row>
    <row r="2874" spans="1:6" ht="20.25">
      <c r="A2874" s="343"/>
      <c r="B2874" s="344"/>
      <c r="C2874" s="344"/>
      <c r="D2874" s="344"/>
      <c r="E2874" s="345"/>
      <c r="F2874" s="346"/>
    </row>
    <row r="2875" spans="1:6" ht="20.25">
      <c r="A2875" s="343"/>
      <c r="B2875" s="344"/>
      <c r="C2875" s="344"/>
      <c r="D2875" s="344"/>
      <c r="E2875" s="345"/>
      <c r="F2875" s="346"/>
    </row>
    <row r="2876" spans="1:6" ht="20.25">
      <c r="A2876" s="343"/>
      <c r="B2876" s="344"/>
      <c r="C2876" s="344"/>
      <c r="D2876" s="344"/>
      <c r="E2876" s="345"/>
      <c r="F2876" s="346"/>
    </row>
    <row r="2877" spans="1:6" ht="20.25">
      <c r="A2877" s="343"/>
      <c r="B2877" s="344"/>
      <c r="C2877" s="344"/>
      <c r="D2877" s="344"/>
      <c r="E2877" s="345"/>
      <c r="F2877" s="346"/>
    </row>
    <row r="2878" spans="1:6" ht="20.25">
      <c r="A2878" s="343"/>
      <c r="B2878" s="344"/>
      <c r="C2878" s="344"/>
      <c r="D2878" s="344"/>
      <c r="E2878" s="345"/>
      <c r="F2878" s="346"/>
    </row>
    <row r="2879" spans="1:6" ht="20.25">
      <c r="A2879" s="343"/>
      <c r="B2879" s="344"/>
      <c r="C2879" s="344"/>
      <c r="D2879" s="344"/>
      <c r="E2879" s="345"/>
      <c r="F2879" s="346"/>
    </row>
    <row r="2880" spans="1:6" ht="20.25">
      <c r="A2880" s="343"/>
      <c r="B2880" s="344"/>
      <c r="C2880" s="344"/>
      <c r="D2880" s="344"/>
      <c r="E2880" s="345"/>
      <c r="F2880" s="346"/>
    </row>
    <row r="2881" spans="1:6" ht="20.25">
      <c r="A2881" s="343"/>
      <c r="B2881" s="344"/>
      <c r="C2881" s="344"/>
      <c r="D2881" s="344"/>
      <c r="E2881" s="345"/>
      <c r="F2881" s="346"/>
    </row>
    <row r="2882" spans="1:6" ht="20.25">
      <c r="A2882" s="343"/>
      <c r="B2882" s="344"/>
      <c r="C2882" s="344"/>
      <c r="D2882" s="344"/>
      <c r="E2882" s="345"/>
      <c r="F2882" s="346"/>
    </row>
    <row r="2883" spans="1:6" ht="20.25">
      <c r="A2883" s="343"/>
      <c r="B2883" s="344"/>
      <c r="C2883" s="344"/>
      <c r="D2883" s="344"/>
      <c r="E2883" s="345"/>
      <c r="F2883" s="346"/>
    </row>
    <row r="2884" spans="1:6" ht="20.25">
      <c r="A2884" s="343"/>
      <c r="B2884" s="344"/>
      <c r="C2884" s="344"/>
      <c r="D2884" s="344"/>
      <c r="E2884" s="345"/>
      <c r="F2884" s="346"/>
    </row>
    <row r="2885" spans="1:6" ht="20.25">
      <c r="A2885" s="343"/>
      <c r="B2885" s="344"/>
      <c r="C2885" s="344"/>
      <c r="D2885" s="344"/>
      <c r="E2885" s="345"/>
      <c r="F2885" s="346"/>
    </row>
    <row r="2886" spans="1:6" ht="20.25">
      <c r="A2886" s="343"/>
      <c r="B2886" s="344"/>
      <c r="C2886" s="344"/>
      <c r="D2886" s="344"/>
      <c r="E2886" s="345"/>
      <c r="F2886" s="346"/>
    </row>
    <row r="2887" spans="1:6" ht="20.25">
      <c r="A2887" s="343"/>
      <c r="B2887" s="344"/>
      <c r="C2887" s="344"/>
      <c r="D2887" s="344"/>
      <c r="E2887" s="345"/>
      <c r="F2887" s="346"/>
    </row>
    <row r="2888" spans="1:6" ht="20.25">
      <c r="A2888" s="343"/>
      <c r="B2888" s="344"/>
      <c r="C2888" s="344"/>
      <c r="D2888" s="344"/>
      <c r="E2888" s="345"/>
      <c r="F2888" s="346"/>
    </row>
    <row r="2889" spans="1:6" ht="20.25">
      <c r="A2889" s="343"/>
      <c r="B2889" s="344"/>
      <c r="C2889" s="344"/>
      <c r="D2889" s="344"/>
      <c r="E2889" s="345"/>
      <c r="F2889" s="346"/>
    </row>
    <row r="2890" spans="1:6" ht="20.25">
      <c r="A2890" s="343"/>
      <c r="B2890" s="344"/>
      <c r="C2890" s="344"/>
      <c r="D2890" s="344"/>
      <c r="E2890" s="345"/>
      <c r="F2890" s="346"/>
    </row>
    <row r="2891" spans="1:6" ht="20.25">
      <c r="A2891" s="343"/>
      <c r="B2891" s="344"/>
      <c r="C2891" s="344"/>
      <c r="D2891" s="344"/>
      <c r="E2891" s="345"/>
      <c r="F2891" s="346"/>
    </row>
    <row r="2892" spans="1:6" ht="20.25">
      <c r="A2892" s="343"/>
      <c r="B2892" s="344"/>
      <c r="C2892" s="344"/>
      <c r="D2892" s="344"/>
      <c r="E2892" s="345"/>
      <c r="F2892" s="346"/>
    </row>
    <row r="2893" spans="1:6" ht="20.25">
      <c r="A2893" s="343"/>
      <c r="B2893" s="344"/>
      <c r="C2893" s="344"/>
      <c r="D2893" s="344"/>
      <c r="E2893" s="345"/>
      <c r="F2893" s="346"/>
    </row>
    <row r="2894" spans="1:6" ht="20.25">
      <c r="A2894" s="343"/>
      <c r="B2894" s="344"/>
      <c r="C2894" s="344"/>
      <c r="D2894" s="344"/>
      <c r="E2894" s="345"/>
      <c r="F2894" s="346"/>
    </row>
    <row r="2895" spans="1:6" ht="20.25">
      <c r="A2895" s="343"/>
      <c r="B2895" s="344"/>
      <c r="C2895" s="344"/>
      <c r="D2895" s="344"/>
      <c r="E2895" s="345"/>
      <c r="F2895" s="346"/>
    </row>
    <row r="2896" spans="1:6" ht="20.25">
      <c r="A2896" s="343"/>
      <c r="B2896" s="344"/>
      <c r="C2896" s="344"/>
      <c r="D2896" s="344"/>
      <c r="E2896" s="345"/>
      <c r="F2896" s="346"/>
    </row>
    <row r="2897" spans="1:6" ht="20.25">
      <c r="A2897" s="343"/>
      <c r="B2897" s="344"/>
      <c r="C2897" s="344"/>
      <c r="D2897" s="344"/>
      <c r="E2897" s="345"/>
      <c r="F2897" s="346"/>
    </row>
    <row r="2898" spans="1:6" ht="20.25">
      <c r="A2898" s="343"/>
      <c r="B2898" s="344"/>
      <c r="C2898" s="344"/>
      <c r="D2898" s="344"/>
      <c r="E2898" s="345"/>
      <c r="F2898" s="346"/>
    </row>
    <row r="2899" spans="1:6" ht="20.25">
      <c r="A2899" s="343"/>
      <c r="B2899" s="344"/>
      <c r="C2899" s="344"/>
      <c r="D2899" s="344"/>
      <c r="E2899" s="345"/>
      <c r="F2899" s="346"/>
    </row>
    <row r="2900" spans="1:6" ht="20.25">
      <c r="A2900" s="343"/>
      <c r="B2900" s="344"/>
      <c r="C2900" s="344"/>
      <c r="D2900" s="344"/>
      <c r="E2900" s="345"/>
      <c r="F2900" s="346"/>
    </row>
    <row r="2901" spans="1:6" ht="20.25">
      <c r="A2901" s="343"/>
      <c r="B2901" s="344"/>
      <c r="C2901" s="344"/>
      <c r="D2901" s="344"/>
      <c r="E2901" s="345"/>
      <c r="F2901" s="346"/>
    </row>
    <row r="2902" spans="1:6" ht="20.25">
      <c r="A2902" s="343"/>
      <c r="B2902" s="344"/>
      <c r="C2902" s="344"/>
      <c r="D2902" s="344"/>
      <c r="E2902" s="345"/>
      <c r="F2902" s="346"/>
    </row>
    <row r="2903" spans="1:6" ht="20.25">
      <c r="A2903" s="343"/>
      <c r="B2903" s="344"/>
      <c r="C2903" s="344"/>
      <c r="D2903" s="344"/>
      <c r="E2903" s="345"/>
      <c r="F2903" s="346"/>
    </row>
    <row r="2904" spans="1:6" ht="20.25">
      <c r="A2904" s="343"/>
      <c r="B2904" s="344"/>
      <c r="C2904" s="344"/>
      <c r="D2904" s="344"/>
      <c r="E2904" s="345"/>
      <c r="F2904" s="346"/>
    </row>
    <row r="2905" spans="1:6" ht="20.25">
      <c r="A2905" s="343"/>
      <c r="B2905" s="344"/>
      <c r="C2905" s="344"/>
      <c r="D2905" s="344"/>
      <c r="E2905" s="345"/>
      <c r="F2905" s="346"/>
    </row>
    <row r="2906" spans="1:6" ht="20.25">
      <c r="A2906" s="343"/>
      <c r="B2906" s="344"/>
      <c r="C2906" s="344"/>
      <c r="D2906" s="344"/>
      <c r="E2906" s="345"/>
      <c r="F2906" s="346"/>
    </row>
    <row r="2907" spans="1:6" ht="20.25">
      <c r="A2907" s="343"/>
      <c r="B2907" s="344"/>
      <c r="C2907" s="344"/>
      <c r="D2907" s="344"/>
      <c r="E2907" s="345"/>
      <c r="F2907" s="346"/>
    </row>
    <row r="2908" spans="1:6" ht="20.25">
      <c r="A2908" s="343"/>
      <c r="B2908" s="344"/>
      <c r="C2908" s="344"/>
      <c r="D2908" s="344"/>
      <c r="E2908" s="345"/>
      <c r="F2908" s="346"/>
    </row>
    <row r="2909" spans="1:6" ht="20.25">
      <c r="A2909" s="343"/>
      <c r="B2909" s="344"/>
      <c r="C2909" s="344"/>
      <c r="D2909" s="344"/>
      <c r="E2909" s="345"/>
      <c r="F2909" s="346"/>
    </row>
    <row r="2910" spans="1:6" ht="20.25">
      <c r="A2910" s="343"/>
      <c r="B2910" s="344"/>
      <c r="C2910" s="344"/>
      <c r="D2910" s="344"/>
      <c r="E2910" s="345"/>
      <c r="F2910" s="346"/>
    </row>
    <row r="2911" spans="1:6" ht="20.25">
      <c r="A2911" s="343"/>
      <c r="B2911" s="344"/>
      <c r="C2911" s="344"/>
      <c r="D2911" s="344"/>
      <c r="E2911" s="345"/>
      <c r="F2911" s="346"/>
    </row>
    <row r="2912" spans="1:6" ht="20.25">
      <c r="A2912" s="343"/>
      <c r="B2912" s="344"/>
      <c r="C2912" s="344"/>
      <c r="D2912" s="344"/>
      <c r="E2912" s="345"/>
      <c r="F2912" s="346"/>
    </row>
    <row r="2913" spans="1:6" ht="20.25">
      <c r="A2913" s="343"/>
      <c r="B2913" s="344"/>
      <c r="C2913" s="344"/>
      <c r="D2913" s="344"/>
      <c r="E2913" s="345"/>
      <c r="F2913" s="346"/>
    </row>
    <row r="2914" spans="1:6" ht="20.25">
      <c r="A2914" s="343"/>
      <c r="B2914" s="344"/>
      <c r="C2914" s="344"/>
      <c r="D2914" s="344"/>
      <c r="E2914" s="345"/>
      <c r="F2914" s="346"/>
    </row>
    <row r="2915" spans="1:6" ht="20.25">
      <c r="A2915" s="343"/>
      <c r="B2915" s="344"/>
      <c r="C2915" s="344"/>
      <c r="D2915" s="344"/>
      <c r="E2915" s="345"/>
      <c r="F2915" s="346"/>
    </row>
    <row r="2916" spans="1:6" ht="20.25">
      <c r="A2916" s="343"/>
      <c r="B2916" s="344"/>
      <c r="C2916" s="344"/>
      <c r="D2916" s="344"/>
      <c r="E2916" s="345"/>
      <c r="F2916" s="346"/>
    </row>
    <row r="2917" spans="1:6" ht="20.25">
      <c r="A2917" s="343"/>
      <c r="B2917" s="344"/>
      <c r="C2917" s="344"/>
      <c r="D2917" s="344"/>
      <c r="E2917" s="345"/>
      <c r="F2917" s="346"/>
    </row>
    <row r="2918" spans="1:6" ht="20.25">
      <c r="A2918" s="343"/>
      <c r="B2918" s="344"/>
      <c r="C2918" s="344"/>
      <c r="D2918" s="344"/>
      <c r="E2918" s="345"/>
      <c r="F2918" s="346"/>
    </row>
    <row r="2919" spans="1:6" ht="20.25">
      <c r="A2919" s="343"/>
      <c r="B2919" s="344"/>
      <c r="C2919" s="344"/>
      <c r="D2919" s="344"/>
      <c r="E2919" s="345"/>
      <c r="F2919" s="346"/>
    </row>
    <row r="2920" spans="1:6" ht="20.25">
      <c r="A2920" s="343"/>
      <c r="B2920" s="344"/>
      <c r="C2920" s="344"/>
      <c r="D2920" s="344"/>
      <c r="E2920" s="345"/>
      <c r="F2920" s="346"/>
    </row>
    <row r="2921" spans="1:6" ht="20.25">
      <c r="A2921" s="343"/>
      <c r="B2921" s="344"/>
      <c r="C2921" s="344"/>
      <c r="D2921" s="344"/>
      <c r="E2921" s="345"/>
      <c r="F2921" s="346"/>
    </row>
    <row r="2922" spans="1:6" ht="20.25">
      <c r="A2922" s="343"/>
      <c r="B2922" s="344"/>
      <c r="C2922" s="344"/>
      <c r="D2922" s="344"/>
      <c r="E2922" s="345"/>
      <c r="F2922" s="346"/>
    </row>
    <row r="2923" spans="1:6" ht="20.25">
      <c r="A2923" s="343"/>
      <c r="B2923" s="344"/>
      <c r="C2923" s="344"/>
      <c r="D2923" s="344"/>
      <c r="E2923" s="345"/>
      <c r="F2923" s="346"/>
    </row>
    <row r="2924" spans="1:6" ht="20.25">
      <c r="A2924" s="343"/>
      <c r="B2924" s="344"/>
      <c r="C2924" s="344"/>
      <c r="D2924" s="344"/>
      <c r="E2924" s="345"/>
      <c r="F2924" s="346"/>
    </row>
    <row r="2925" spans="1:6" ht="20.25">
      <c r="A2925" s="343"/>
      <c r="B2925" s="344"/>
      <c r="C2925" s="344"/>
      <c r="D2925" s="344"/>
      <c r="E2925" s="345"/>
      <c r="F2925" s="346"/>
    </row>
    <row r="2926" spans="1:6" ht="20.25">
      <c r="A2926" s="343"/>
      <c r="B2926" s="344"/>
      <c r="C2926" s="344"/>
      <c r="D2926" s="344"/>
      <c r="E2926" s="345"/>
      <c r="F2926" s="346"/>
    </row>
    <row r="2927" spans="1:6" ht="20.25">
      <c r="A2927" s="343"/>
      <c r="B2927" s="344"/>
      <c r="C2927" s="344"/>
      <c r="D2927" s="344"/>
      <c r="E2927" s="345"/>
      <c r="F2927" s="346"/>
    </row>
    <row r="2928" spans="1:6" ht="20.25">
      <c r="A2928" s="343"/>
      <c r="B2928" s="344"/>
      <c r="C2928" s="344"/>
      <c r="D2928" s="344"/>
      <c r="E2928" s="345"/>
      <c r="F2928" s="346"/>
    </row>
    <row r="2929" spans="1:6" ht="20.25">
      <c r="A2929" s="343"/>
      <c r="B2929" s="344"/>
      <c r="C2929" s="344"/>
      <c r="D2929" s="344"/>
      <c r="E2929" s="345"/>
      <c r="F2929" s="346"/>
    </row>
    <row r="2930" spans="1:6" ht="20.25">
      <c r="A2930" s="343"/>
      <c r="B2930" s="344"/>
      <c r="C2930" s="344"/>
      <c r="D2930" s="344"/>
      <c r="E2930" s="345"/>
      <c r="F2930" s="346"/>
    </row>
    <row r="2931" spans="1:6" ht="20.25">
      <c r="A2931" s="343"/>
      <c r="B2931" s="344"/>
      <c r="C2931" s="344"/>
      <c r="D2931" s="344"/>
      <c r="E2931" s="345"/>
      <c r="F2931" s="346"/>
    </row>
    <row r="2932" spans="1:6" ht="20.25">
      <c r="A2932" s="343"/>
      <c r="B2932" s="344"/>
      <c r="C2932" s="344"/>
      <c r="D2932" s="344"/>
      <c r="E2932" s="345"/>
      <c r="F2932" s="346"/>
    </row>
    <row r="2933" spans="1:6" ht="20.25">
      <c r="A2933" s="343"/>
      <c r="B2933" s="344"/>
      <c r="C2933" s="344"/>
      <c r="D2933" s="344"/>
      <c r="E2933" s="345"/>
      <c r="F2933" s="346"/>
    </row>
    <row r="2934" spans="1:6" ht="20.25">
      <c r="A2934" s="343"/>
      <c r="B2934" s="344"/>
      <c r="C2934" s="344"/>
      <c r="D2934" s="344"/>
      <c r="E2934" s="345"/>
      <c r="F2934" s="346"/>
    </row>
    <row r="2935" spans="1:6" ht="20.25">
      <c r="A2935" s="343"/>
      <c r="B2935" s="344"/>
      <c r="C2935" s="344"/>
      <c r="D2935" s="344"/>
      <c r="E2935" s="345"/>
      <c r="F2935" s="346"/>
    </row>
    <row r="2936" spans="1:6" ht="20.25">
      <c r="A2936" s="343"/>
      <c r="B2936" s="344"/>
      <c r="C2936" s="344"/>
      <c r="D2936" s="344"/>
      <c r="E2936" s="345"/>
      <c r="F2936" s="346"/>
    </row>
    <row r="2937" spans="1:6" ht="20.25">
      <c r="A2937" s="343"/>
      <c r="B2937" s="344"/>
      <c r="C2937" s="344"/>
      <c r="D2937" s="344"/>
      <c r="E2937" s="345"/>
      <c r="F2937" s="346"/>
    </row>
    <row r="2938" spans="1:6" ht="20.25">
      <c r="A2938" s="343"/>
      <c r="B2938" s="344"/>
      <c r="C2938" s="344"/>
      <c r="D2938" s="344"/>
      <c r="E2938" s="345"/>
      <c r="F2938" s="346"/>
    </row>
    <row r="2939" spans="1:6" ht="20.25">
      <c r="A2939" s="343"/>
      <c r="B2939" s="344"/>
      <c r="C2939" s="344"/>
      <c r="D2939" s="344"/>
      <c r="E2939" s="345"/>
      <c r="F2939" s="346"/>
    </row>
    <row r="2940" spans="1:6" ht="20.25">
      <c r="A2940" s="343"/>
      <c r="B2940" s="344"/>
      <c r="C2940" s="344"/>
      <c r="D2940" s="344"/>
      <c r="E2940" s="345"/>
      <c r="F2940" s="346"/>
    </row>
    <row r="2941" spans="1:6" ht="20.25">
      <c r="A2941" s="343"/>
      <c r="B2941" s="344"/>
      <c r="C2941" s="344"/>
      <c r="D2941" s="344"/>
      <c r="E2941" s="345"/>
      <c r="F2941" s="346"/>
    </row>
    <row r="2942" spans="1:6" ht="20.25">
      <c r="A2942" s="343"/>
      <c r="B2942" s="344"/>
      <c r="C2942" s="344"/>
      <c r="D2942" s="344"/>
      <c r="E2942" s="345"/>
      <c r="F2942" s="346"/>
    </row>
    <row r="2943" spans="1:6" ht="20.25">
      <c r="A2943" s="343"/>
      <c r="B2943" s="344"/>
      <c r="C2943" s="344"/>
      <c r="D2943" s="344"/>
      <c r="E2943" s="345"/>
      <c r="F2943" s="346"/>
    </row>
    <row r="2944" spans="1:6" ht="20.25">
      <c r="A2944" s="343"/>
      <c r="B2944" s="344"/>
      <c r="C2944" s="344"/>
      <c r="D2944" s="344"/>
      <c r="E2944" s="345"/>
      <c r="F2944" s="346"/>
    </row>
    <row r="2945" spans="1:6" ht="20.25">
      <c r="A2945" s="343"/>
      <c r="B2945" s="344"/>
      <c r="C2945" s="344"/>
      <c r="D2945" s="344"/>
      <c r="E2945" s="345"/>
      <c r="F2945" s="346"/>
    </row>
    <row r="2946" spans="1:6" ht="20.25">
      <c r="A2946" s="343"/>
      <c r="B2946" s="344"/>
      <c r="C2946" s="344"/>
      <c r="D2946" s="344"/>
      <c r="E2946" s="345"/>
      <c r="F2946" s="346"/>
    </row>
    <row r="2947" spans="1:6" ht="20.25">
      <c r="A2947" s="343"/>
      <c r="B2947" s="344"/>
      <c r="C2947" s="344"/>
      <c r="D2947" s="344"/>
      <c r="E2947" s="345"/>
      <c r="F2947" s="346"/>
    </row>
    <row r="2948" spans="1:6" ht="20.25">
      <c r="A2948" s="343"/>
      <c r="B2948" s="344"/>
      <c r="C2948" s="344"/>
      <c r="D2948" s="344"/>
      <c r="E2948" s="345"/>
      <c r="F2948" s="346"/>
    </row>
    <row r="2949" spans="1:6" ht="20.25">
      <c r="A2949" s="343"/>
      <c r="B2949" s="344"/>
      <c r="C2949" s="344"/>
      <c r="D2949" s="344"/>
      <c r="E2949" s="345"/>
      <c r="F2949" s="346"/>
    </row>
    <row r="2950" spans="1:6" ht="20.25">
      <c r="A2950" s="343"/>
      <c r="B2950" s="344"/>
      <c r="C2950" s="344"/>
      <c r="D2950" s="344"/>
      <c r="E2950" s="345"/>
      <c r="F2950" s="346"/>
    </row>
    <row r="2951" spans="1:6" ht="20.25">
      <c r="A2951" s="343"/>
      <c r="B2951" s="344"/>
      <c r="C2951" s="344"/>
      <c r="D2951" s="344"/>
      <c r="E2951" s="345"/>
      <c r="F2951" s="346"/>
    </row>
    <row r="2952" spans="1:6" ht="20.25">
      <c r="A2952" s="343"/>
      <c r="B2952" s="344"/>
      <c r="C2952" s="344"/>
      <c r="D2952" s="344"/>
      <c r="E2952" s="345"/>
      <c r="F2952" s="346"/>
    </row>
    <row r="2953" spans="1:6" ht="20.25">
      <c r="A2953" s="343"/>
      <c r="B2953" s="344"/>
      <c r="C2953" s="344"/>
      <c r="D2953" s="344"/>
      <c r="E2953" s="345"/>
      <c r="F2953" s="346"/>
    </row>
    <row r="2954" spans="1:6" ht="20.25">
      <c r="A2954" s="343"/>
      <c r="B2954" s="344"/>
      <c r="C2954" s="344"/>
      <c r="D2954" s="344"/>
      <c r="E2954" s="345"/>
      <c r="F2954" s="346"/>
    </row>
    <row r="2955" spans="1:6" ht="20.25">
      <c r="A2955" s="343"/>
      <c r="B2955" s="344"/>
      <c r="C2955" s="344"/>
      <c r="D2955" s="344"/>
      <c r="E2955" s="345"/>
      <c r="F2955" s="346"/>
    </row>
    <row r="2956" spans="1:6" ht="20.25">
      <c r="A2956" s="343"/>
      <c r="B2956" s="344"/>
      <c r="C2956" s="344"/>
      <c r="D2956" s="344"/>
      <c r="E2956" s="345"/>
      <c r="F2956" s="346"/>
    </row>
    <row r="2957" spans="1:6" ht="20.25">
      <c r="A2957" s="343"/>
      <c r="B2957" s="344"/>
      <c r="C2957" s="344"/>
      <c r="D2957" s="344"/>
      <c r="E2957" s="345"/>
      <c r="F2957" s="346"/>
    </row>
    <row r="2958" spans="1:6" ht="20.25">
      <c r="A2958" s="343"/>
      <c r="B2958" s="344"/>
      <c r="C2958" s="344"/>
      <c r="D2958" s="344"/>
      <c r="E2958" s="345"/>
      <c r="F2958" s="346"/>
    </row>
    <row r="2959" spans="1:6" ht="20.25">
      <c r="A2959" s="343"/>
      <c r="B2959" s="344"/>
      <c r="C2959" s="344"/>
      <c r="D2959" s="344"/>
      <c r="E2959" s="345"/>
      <c r="F2959" s="346"/>
    </row>
    <row r="2960" spans="1:6" ht="20.25">
      <c r="A2960" s="343"/>
      <c r="B2960" s="344"/>
      <c r="C2960" s="344"/>
      <c r="D2960" s="344"/>
      <c r="E2960" s="345"/>
      <c r="F2960" s="346"/>
    </row>
    <row r="2961" spans="1:6" ht="20.25">
      <c r="A2961" s="343"/>
      <c r="B2961" s="344"/>
      <c r="C2961" s="344"/>
      <c r="D2961" s="344"/>
      <c r="E2961" s="345"/>
      <c r="F2961" s="346"/>
    </row>
    <row r="2962" spans="1:6" ht="20.25">
      <c r="A2962" s="343"/>
      <c r="B2962" s="344"/>
      <c r="C2962" s="344"/>
      <c r="D2962" s="344"/>
      <c r="E2962" s="345"/>
      <c r="F2962" s="346"/>
    </row>
    <row r="2963" spans="1:6" ht="20.25">
      <c r="A2963" s="343"/>
      <c r="B2963" s="344"/>
      <c r="C2963" s="344"/>
      <c r="D2963" s="344"/>
      <c r="E2963" s="345"/>
      <c r="F2963" s="346"/>
    </row>
    <row r="2964" spans="1:6" ht="20.25">
      <c r="A2964" s="343"/>
      <c r="B2964" s="344"/>
      <c r="C2964" s="344"/>
      <c r="D2964" s="344"/>
      <c r="E2964" s="345"/>
      <c r="F2964" s="346"/>
    </row>
  </sheetData>
  <customSheetViews>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1"/>
      <headerFooter alignWithMargins="0">
        <oddHeader>&amp;R&amp;12Page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2"/>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3"/>
      <headerFooter alignWithMargins="0">
        <oddHeader>&amp;R&amp;16Page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4"/>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5"/>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6"/>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7"/>
      <headerFooter alignWithMargins="0">
        <oddHeader>&amp;R&amp;12Page &amp;P of &amp;N</oddHeader>
      </headerFooter>
    </customSheetView>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8"/>
      <headerFooter alignWithMargins="0">
        <oddHeader>&amp;R&amp;12Page &amp;P of &amp;N</oddHeader>
      </headerFooter>
    </customSheetView>
  </customSheetViews>
  <mergeCells count="15">
    <mergeCell ref="B1:H1"/>
    <mergeCell ref="D2:F2"/>
    <mergeCell ref="D3:F3"/>
    <mergeCell ref="A5:D5"/>
    <mergeCell ref="A4:C4"/>
    <mergeCell ref="A3:C3"/>
    <mergeCell ref="A6:C6"/>
    <mergeCell ref="A210:C210"/>
    <mergeCell ref="A230:C230"/>
    <mergeCell ref="A32:C32"/>
    <mergeCell ref="A72:C72"/>
    <mergeCell ref="A102:C102"/>
    <mergeCell ref="A144:C144"/>
    <mergeCell ref="A162:C162"/>
    <mergeCell ref="A168:C168"/>
  </mergeCells>
  <phoneticPr fontId="0" type="noConversion"/>
  <pageMargins left="0.5" right="0.5" top="0.95" bottom="0.5" header="0.5" footer="0.5"/>
  <pageSetup scale="46" fitToHeight="0" orientation="portrait" r:id="rId9"/>
  <headerFooter alignWithMargins="0">
    <oddHeader>&amp;R&amp;14ATTACHMENT H-13A
Page &amp;P of &amp;N</oddHeader>
  </headerFooter>
  <rowBreaks count="4" manualBreakCount="4">
    <brk id="71" max="12" man="1"/>
    <brk id="143" max="12" man="1"/>
    <brk id="209" max="12" man="1"/>
    <brk id="285" max="12" man="1"/>
  </rowBreaks>
</worksheet>
</file>

<file path=xl/worksheets/sheet10.xml><?xml version="1.0" encoding="utf-8"?>
<worksheet xmlns="http://schemas.openxmlformats.org/spreadsheetml/2006/main" xmlns:r="http://schemas.openxmlformats.org/officeDocument/2006/relationships">
  <sheetPr codeName="Sheet11"/>
  <dimension ref="A1:M39"/>
  <sheetViews>
    <sheetView zoomScale="85" zoomScaleNormal="85" workbookViewId="0">
      <selection activeCell="C35" sqref="C35"/>
    </sheetView>
  </sheetViews>
  <sheetFormatPr defaultRowHeight="12.75"/>
  <cols>
    <col min="1" max="1" width="5.5703125" customWidth="1"/>
    <col min="2" max="2" width="4.5703125" customWidth="1"/>
    <col min="3" max="3" width="64.85546875" customWidth="1"/>
  </cols>
  <sheetData>
    <row r="1" spans="1:13" ht="15.75">
      <c r="A1" s="1234" t="s">
        <v>720</v>
      </c>
      <c r="B1" s="1234"/>
      <c r="C1" s="1234"/>
      <c r="D1" s="1234"/>
      <c r="E1" s="1194"/>
      <c r="F1" s="1194"/>
    </row>
    <row r="2" spans="1:13" ht="15.75">
      <c r="A2" s="373"/>
      <c r="B2" s="240"/>
      <c r="C2" s="240"/>
      <c r="D2" s="374"/>
      <c r="E2" s="240"/>
      <c r="F2" s="31"/>
    </row>
    <row r="3" spans="1:13" ht="15">
      <c r="A3" s="1237" t="s">
        <v>96</v>
      </c>
      <c r="B3" s="1237"/>
      <c r="C3" s="1237"/>
      <c r="D3" s="1237"/>
      <c r="E3" s="9"/>
      <c r="F3" s="9"/>
    </row>
    <row r="5" spans="1:13">
      <c r="D5" s="157" t="s">
        <v>97</v>
      </c>
    </row>
    <row r="6" spans="1:13">
      <c r="D6" s="157" t="s">
        <v>98</v>
      </c>
    </row>
    <row r="7" spans="1:13">
      <c r="B7" s="1347" t="s">
        <v>99</v>
      </c>
      <c r="C7" s="1347"/>
      <c r="D7" s="378" t="s">
        <v>100</v>
      </c>
    </row>
    <row r="8" spans="1:13">
      <c r="D8" s="246"/>
    </row>
    <row r="9" spans="1:13">
      <c r="B9" s="1193" t="s">
        <v>849</v>
      </c>
      <c r="D9" s="1196">
        <v>2.1800000000000002</v>
      </c>
    </row>
    <row r="10" spans="1:13">
      <c r="D10" s="1197"/>
    </row>
    <row r="11" spans="1:13">
      <c r="B11" s="1193" t="s">
        <v>853</v>
      </c>
      <c r="D11" s="1197"/>
    </row>
    <row r="12" spans="1:13">
      <c r="B12" s="380"/>
      <c r="C12" s="1193" t="s">
        <v>854</v>
      </c>
      <c r="D12" s="1196">
        <v>2.7</v>
      </c>
    </row>
    <row r="13" spans="1:13">
      <c r="B13" s="956"/>
      <c r="C13" s="1191" t="s">
        <v>855</v>
      </c>
      <c r="D13" s="1196">
        <v>9.3000000000000007</v>
      </c>
    </row>
    <row r="14" spans="1:13">
      <c r="B14" s="956"/>
      <c r="C14" s="1191" t="s">
        <v>856</v>
      </c>
      <c r="D14" s="1196">
        <v>4.6100000000000003</v>
      </c>
      <c r="H14" s="968"/>
      <c r="I14" s="973"/>
      <c r="J14" s="955"/>
      <c r="K14" s="2"/>
      <c r="L14" s="2"/>
      <c r="M14" s="2"/>
    </row>
    <row r="15" spans="1:13">
      <c r="B15" s="956"/>
      <c r="C15" s="1191" t="s">
        <v>857</v>
      </c>
      <c r="D15" s="1196">
        <v>20.74</v>
      </c>
      <c r="H15" s="2"/>
      <c r="I15" s="2"/>
      <c r="J15" s="2"/>
      <c r="K15" s="2"/>
      <c r="L15" s="2"/>
    </row>
    <row r="16" spans="1:13">
      <c r="B16" s="2"/>
      <c r="C16" s="1191" t="s">
        <v>858</v>
      </c>
      <c r="D16" s="1196">
        <v>7.23</v>
      </c>
      <c r="H16" s="2"/>
      <c r="I16" s="2"/>
      <c r="J16" s="2"/>
      <c r="K16" s="2"/>
      <c r="L16" s="2"/>
    </row>
    <row r="17" spans="2:10">
      <c r="B17" s="2"/>
      <c r="C17" s="1191" t="s">
        <v>859</v>
      </c>
      <c r="D17" s="1196">
        <v>6.55</v>
      </c>
    </row>
    <row r="18" spans="2:10">
      <c r="B18" s="956"/>
      <c r="C18" s="1191" t="s">
        <v>860</v>
      </c>
      <c r="D18" s="1196">
        <v>4.78</v>
      </c>
      <c r="J18" s="969"/>
    </row>
    <row r="19" spans="2:10">
      <c r="B19" s="1129"/>
      <c r="C19" s="1191" t="s">
        <v>861</v>
      </c>
      <c r="D19" s="1196">
        <v>4.6399999999999997</v>
      </c>
      <c r="J19" s="901"/>
    </row>
    <row r="20" spans="2:10">
      <c r="B20" s="956"/>
      <c r="C20" s="1191" t="s">
        <v>870</v>
      </c>
      <c r="D20" s="1196">
        <v>6.08</v>
      </c>
      <c r="J20" s="901"/>
    </row>
    <row r="21" spans="2:10">
      <c r="B21" s="956"/>
      <c r="C21" s="1191" t="s">
        <v>862</v>
      </c>
      <c r="D21" s="1196">
        <v>15</v>
      </c>
      <c r="J21" s="901"/>
    </row>
    <row r="22" spans="2:10">
      <c r="B22" s="956"/>
      <c r="C22" s="1191" t="s">
        <v>863</v>
      </c>
      <c r="D22" s="1196">
        <v>3.72</v>
      </c>
      <c r="H22" s="380"/>
      <c r="J22" s="969"/>
    </row>
    <row r="23" spans="2:10">
      <c r="B23" s="956"/>
      <c r="C23" s="1191" t="s">
        <v>864</v>
      </c>
      <c r="D23" s="1196">
        <v>4.1900000000000004</v>
      </c>
      <c r="H23" s="380"/>
      <c r="J23" s="969"/>
    </row>
    <row r="24" spans="2:10">
      <c r="B24" s="956"/>
      <c r="C24" s="1191" t="s">
        <v>865</v>
      </c>
      <c r="D24" s="1196">
        <v>6.84</v>
      </c>
      <c r="H24" s="380"/>
      <c r="J24" s="969"/>
    </row>
    <row r="25" spans="2:10">
      <c r="B25" s="956"/>
      <c r="C25" s="1191" t="s">
        <v>866</v>
      </c>
      <c r="D25" s="1196">
        <v>7.18</v>
      </c>
      <c r="H25" s="380"/>
      <c r="J25" s="969"/>
    </row>
    <row r="26" spans="2:10">
      <c r="B26" s="956"/>
      <c r="C26" s="1191" t="s">
        <v>867</v>
      </c>
      <c r="D26" s="1196">
        <v>7.1</v>
      </c>
      <c r="J26" s="970"/>
    </row>
    <row r="27" spans="2:10">
      <c r="B27" s="956"/>
      <c r="C27" s="1191" t="s">
        <v>868</v>
      </c>
      <c r="D27" s="1196">
        <v>7.11</v>
      </c>
      <c r="J27" s="970"/>
    </row>
    <row r="28" spans="2:10">
      <c r="B28" s="956"/>
      <c r="C28" s="1191" t="s">
        <v>869</v>
      </c>
      <c r="D28" s="1196">
        <v>18.45</v>
      </c>
      <c r="H28" s="380"/>
      <c r="J28" s="969"/>
    </row>
    <row r="29" spans="2:10">
      <c r="B29" s="2"/>
      <c r="C29" s="2"/>
      <c r="D29" s="816"/>
      <c r="H29" s="380"/>
      <c r="J29" s="969"/>
    </row>
    <row r="30" spans="2:10">
      <c r="D30" s="901"/>
      <c r="H30" s="380"/>
      <c r="J30" s="969"/>
    </row>
    <row r="31" spans="2:10">
      <c r="C31" s="159"/>
      <c r="D31" s="816"/>
      <c r="H31" s="971"/>
      <c r="J31" s="969"/>
    </row>
    <row r="32" spans="2:10">
      <c r="B32" s="1191" t="s">
        <v>850</v>
      </c>
      <c r="H32" s="971"/>
      <c r="J32" s="969"/>
    </row>
    <row r="33" spans="2:10">
      <c r="B33" s="1193" t="s">
        <v>851</v>
      </c>
      <c r="H33" s="380"/>
      <c r="J33" s="969"/>
    </row>
    <row r="34" spans="2:10">
      <c r="B34" s="1193" t="s">
        <v>852</v>
      </c>
      <c r="D34" s="1195"/>
      <c r="H34" s="971"/>
      <c r="J34" s="969"/>
    </row>
    <row r="35" spans="2:10">
      <c r="H35" s="380"/>
      <c r="J35" s="969"/>
    </row>
    <row r="36" spans="2:10">
      <c r="H36" s="971"/>
      <c r="J36" s="969"/>
    </row>
    <row r="37" spans="2:10">
      <c r="H37" s="380"/>
      <c r="J37" s="969"/>
    </row>
    <row r="38" spans="2:10">
      <c r="J38" s="379"/>
    </row>
    <row r="39" spans="2:10">
      <c r="H39" s="972"/>
      <c r="I39" s="973"/>
      <c r="J39" s="955"/>
    </row>
  </sheetData>
  <mergeCells count="3">
    <mergeCell ref="B7:C7"/>
    <mergeCell ref="A1:D1"/>
    <mergeCell ref="A3:D3"/>
  </mergeCells>
  <phoneticPr fontId="0" type="noConversion"/>
  <pageMargins left="0.75" right="0.75" top="1" bottom="1" header="0.5" footer="0.5"/>
  <pageSetup orientation="portrait" r:id="rId1"/>
  <headerFooter alignWithMargins="0">
    <oddHeader>&amp;RATTACHMENT H-13A
Page &amp;P  of  &amp;N</oddHead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K193"/>
  <sheetViews>
    <sheetView zoomScale="75" zoomScaleNormal="75" workbookViewId="0">
      <selection activeCell="H40" sqref="H40"/>
    </sheetView>
  </sheetViews>
  <sheetFormatPr defaultRowHeight="12.75"/>
  <cols>
    <col min="1" max="1" width="11.42578125" style="372" customWidth="1"/>
    <col min="2" max="2" width="44.85546875" style="246" customWidth="1"/>
    <col min="3" max="3" width="16.140625" style="246" bestFit="1" customWidth="1"/>
    <col min="4" max="4" width="15.85546875" style="246" customWidth="1"/>
    <col min="5" max="5" width="20" style="246" customWidth="1"/>
    <col min="6" max="6" width="16.140625" style="246" customWidth="1"/>
    <col min="7" max="7" width="19.140625" style="246" customWidth="1"/>
    <col min="8" max="8" width="83.85546875" style="246" customWidth="1"/>
    <col min="9" max="9" width="3.7109375" style="246" customWidth="1"/>
    <col min="10" max="10" width="9.140625" style="246"/>
    <col min="11" max="11" width="13.5703125" style="246" customWidth="1"/>
    <col min="12" max="16384" width="9.140625" style="246"/>
  </cols>
  <sheetData>
    <row r="1" spans="1:9" s="159" customFormat="1" ht="18">
      <c r="A1" s="1208" t="str">
        <f>'Appendix A'!A3</f>
        <v>Commonwealth Edison Company</v>
      </c>
      <c r="B1" s="1209"/>
      <c r="C1" s="1209"/>
      <c r="D1" s="1209"/>
      <c r="E1" s="1209"/>
      <c r="F1" s="1209"/>
      <c r="G1" s="1209"/>
      <c r="H1" s="1209"/>
      <c r="I1" s="575"/>
    </row>
    <row r="2" spans="1:9" s="159" customFormat="1" ht="18">
      <c r="A2" s="1216" t="s">
        <v>357</v>
      </c>
      <c r="B2" s="1216"/>
      <c r="C2" s="1216"/>
      <c r="D2" s="1216"/>
      <c r="E2" s="1216"/>
      <c r="F2" s="1216"/>
      <c r="G2" s="1216"/>
      <c r="H2" s="1216"/>
      <c r="I2" s="575"/>
    </row>
    <row r="3" spans="1:9" s="1030" customFormat="1" ht="11.25">
      <c r="A3" s="1027"/>
      <c r="B3" s="1029"/>
      <c r="C3" s="1029"/>
      <c r="D3" s="1029"/>
      <c r="E3" s="1029"/>
      <c r="F3" s="1029"/>
      <c r="G3" s="1031"/>
      <c r="H3" s="1029"/>
      <c r="I3" s="1029"/>
    </row>
    <row r="4" spans="1:9" s="1030" customFormat="1" ht="11.25">
      <c r="A4" s="1027"/>
      <c r="B4" s="1029"/>
      <c r="C4" s="1029"/>
      <c r="D4" s="1029"/>
      <c r="E4" s="1029"/>
      <c r="F4" s="1029"/>
      <c r="G4" s="1031"/>
      <c r="H4" s="1029"/>
      <c r="I4" s="1029"/>
    </row>
    <row r="5" spans="1:9" s="1030" customFormat="1" ht="11.25">
      <c r="A5" s="1027"/>
      <c r="B5" s="1029"/>
      <c r="C5" s="1029"/>
      <c r="D5" s="1029"/>
      <c r="E5" s="1029"/>
      <c r="F5" s="1029"/>
      <c r="G5" s="1031"/>
      <c r="H5" s="1029"/>
      <c r="I5" s="1029"/>
    </row>
    <row r="6" spans="1:9" s="159" customFormat="1">
      <c r="A6" s="1219" t="s">
        <v>466</v>
      </c>
      <c r="B6" s="1219"/>
      <c r="C6" s="1090" t="s">
        <v>577</v>
      </c>
      <c r="D6" s="1090" t="s">
        <v>450</v>
      </c>
      <c r="E6" s="1090" t="s">
        <v>467</v>
      </c>
      <c r="F6" s="1090" t="s">
        <v>465</v>
      </c>
      <c r="G6" s="1090" t="s">
        <v>223</v>
      </c>
      <c r="H6" s="1090" t="s">
        <v>468</v>
      </c>
      <c r="I6" s="575"/>
    </row>
    <row r="7" spans="1:9" s="263" customFormat="1">
      <c r="A7" s="667"/>
      <c r="B7" s="575"/>
      <c r="C7" s="1115" t="s">
        <v>44</v>
      </c>
      <c r="D7" s="723" t="s">
        <v>46</v>
      </c>
      <c r="E7" s="723"/>
      <c r="F7" s="575"/>
      <c r="G7" s="723"/>
      <c r="H7" s="576"/>
      <c r="I7" s="576"/>
    </row>
    <row r="8" spans="1:9" s="263" customFormat="1">
      <c r="A8" s="667"/>
      <c r="B8" s="575"/>
      <c r="C8" s="1115" t="s">
        <v>45</v>
      </c>
      <c r="D8" s="723" t="s">
        <v>35</v>
      </c>
      <c r="E8" s="723" t="s">
        <v>41</v>
      </c>
      <c r="F8" s="723" t="s">
        <v>43</v>
      </c>
      <c r="G8" s="723" t="s">
        <v>576</v>
      </c>
      <c r="H8" s="576"/>
      <c r="I8" s="576"/>
    </row>
    <row r="9" spans="1:9" s="159" customFormat="1">
      <c r="A9" s="667"/>
      <c r="B9" s="575"/>
      <c r="C9" s="1116" t="s">
        <v>42</v>
      </c>
      <c r="D9" s="745" t="s">
        <v>42</v>
      </c>
      <c r="E9" s="745" t="s">
        <v>42</v>
      </c>
      <c r="F9" s="745" t="s">
        <v>42</v>
      </c>
      <c r="G9" s="745" t="s">
        <v>50</v>
      </c>
      <c r="H9" s="575"/>
      <c r="I9" s="575"/>
    </row>
    <row r="10" spans="1:9" s="159" customFormat="1">
      <c r="A10" s="667"/>
      <c r="B10" s="575"/>
      <c r="C10" s="575"/>
      <c r="D10" s="745"/>
      <c r="E10" s="745"/>
      <c r="F10" s="745"/>
      <c r="G10" s="745"/>
      <c r="H10" s="575"/>
      <c r="I10" s="575"/>
    </row>
    <row r="11" spans="1:9" s="716" customFormat="1" ht="15">
      <c r="A11" s="746">
        <v>1</v>
      </c>
      <c r="B11" s="747" t="s">
        <v>37</v>
      </c>
      <c r="C11" s="748">
        <f>D130</f>
        <v>-867478406.01000023</v>
      </c>
      <c r="D11" s="748">
        <f>+E130</f>
        <v>-17599574</v>
      </c>
      <c r="E11" s="748">
        <f>+F130</f>
        <v>-2947029928</v>
      </c>
      <c r="F11" s="748">
        <f>+G130</f>
        <v>0</v>
      </c>
      <c r="G11" s="1096">
        <f>C130</f>
        <v>-3832107908.0100002</v>
      </c>
      <c r="H11" s="749" t="s">
        <v>691</v>
      </c>
      <c r="I11" s="750"/>
    </row>
    <row r="12" spans="1:9" s="716" customFormat="1" ht="15">
      <c r="A12" s="746">
        <v>2</v>
      </c>
      <c r="B12" s="747" t="s">
        <v>38</v>
      </c>
      <c r="C12" s="748">
        <f>D183</f>
        <v>-803584232.14999998</v>
      </c>
      <c r="D12" s="748">
        <f>+E183</f>
        <v>0</v>
      </c>
      <c r="E12" s="748">
        <f>+F183</f>
        <v>-8594943</v>
      </c>
      <c r="F12" s="748">
        <f>+G183</f>
        <v>-259636639</v>
      </c>
      <c r="G12" s="1096">
        <f>C183</f>
        <v>-1083259502.1500001</v>
      </c>
      <c r="H12" s="749" t="s">
        <v>692</v>
      </c>
      <c r="I12" s="750"/>
    </row>
    <row r="13" spans="1:9" s="716" customFormat="1" ht="15.75" thickBot="1">
      <c r="A13" s="746">
        <v>3</v>
      </c>
      <c r="B13" s="751" t="s">
        <v>36</v>
      </c>
      <c r="C13" s="752">
        <f>D85</f>
        <v>362911699.84630001</v>
      </c>
      <c r="D13" s="752">
        <f>+E85</f>
        <v>0</v>
      </c>
      <c r="E13" s="752">
        <f>F85</f>
        <v>52238204</v>
      </c>
      <c r="F13" s="752">
        <f>G85</f>
        <v>92420534</v>
      </c>
      <c r="G13" s="1097">
        <f>C85</f>
        <v>507570437.84630001</v>
      </c>
      <c r="H13" s="753" t="s">
        <v>693</v>
      </c>
      <c r="I13" s="750"/>
    </row>
    <row r="14" spans="1:9" s="716" customFormat="1" ht="15">
      <c r="A14" s="746">
        <v>4</v>
      </c>
      <c r="B14" s="754" t="s">
        <v>609</v>
      </c>
      <c r="C14" s="755">
        <f>SUM(C11:C13)</f>
        <v>-1308150938.3137002</v>
      </c>
      <c r="D14" s="755">
        <f>SUM(D11:D13)</f>
        <v>-17599574</v>
      </c>
      <c r="E14" s="755">
        <f>SUM(E11:E13)</f>
        <v>-2903386667</v>
      </c>
      <c r="F14" s="755">
        <f>SUM(F11:F13)</f>
        <v>-167216105</v>
      </c>
      <c r="G14" s="1098">
        <f>SUM(G11:G13)</f>
        <v>-4407796972.3136997</v>
      </c>
      <c r="H14" s="755" t="s">
        <v>695</v>
      </c>
      <c r="I14" s="750"/>
    </row>
    <row r="15" spans="1:9" s="716" customFormat="1" ht="15">
      <c r="A15" s="746">
        <v>5</v>
      </c>
      <c r="B15" s="747" t="s">
        <v>563</v>
      </c>
      <c r="C15" s="749"/>
      <c r="D15" s="749"/>
      <c r="E15" s="749"/>
      <c r="F15" s="1127">
        <f>'Appendix A'!H15</f>
        <v>0.11348808706465031</v>
      </c>
      <c r="G15" s="756"/>
      <c r="H15" s="749"/>
      <c r="I15" s="750"/>
    </row>
    <row r="16" spans="1:9" s="716" customFormat="1" ht="15">
      <c r="A16" s="746">
        <v>6</v>
      </c>
      <c r="B16" s="757" t="s">
        <v>569</v>
      </c>
      <c r="C16" s="758"/>
      <c r="D16" s="758"/>
      <c r="E16" s="908">
        <f>'Appendix A'!H30</f>
        <v>0.23105095344995236</v>
      </c>
      <c r="F16" s="758"/>
      <c r="G16" s="758"/>
      <c r="H16" s="758"/>
      <c r="I16" s="750"/>
    </row>
    <row r="17" spans="1:9" s="716" customFormat="1" ht="15.75" thickBot="1">
      <c r="A17" s="746">
        <v>7</v>
      </c>
      <c r="B17" s="759" t="s">
        <v>50</v>
      </c>
      <c r="C17" s="760"/>
      <c r="D17" s="760">
        <f>+D14</f>
        <v>-17599574</v>
      </c>
      <c r="E17" s="760">
        <f>+E16*E14</f>
        <v>-670830257.64422929</v>
      </c>
      <c r="F17" s="760">
        <f>+F15*F14</f>
        <v>-18977035.882851709</v>
      </c>
      <c r="G17" s="761">
        <f>SUM(D17:F17)</f>
        <v>-707406867.52708101</v>
      </c>
      <c r="H17" s="762" t="s">
        <v>696</v>
      </c>
      <c r="I17" s="750"/>
    </row>
    <row r="18" spans="1:9" s="716" customFormat="1" ht="15" thickTop="1">
      <c r="A18" s="763"/>
      <c r="B18" s="750"/>
      <c r="C18" s="764"/>
      <c r="D18" s="765" t="s">
        <v>697</v>
      </c>
      <c r="E18" s="765" t="s">
        <v>111</v>
      </c>
      <c r="F18" s="765" t="s">
        <v>112</v>
      </c>
      <c r="G18" s="750"/>
      <c r="H18" s="750"/>
      <c r="I18" s="750"/>
    </row>
    <row r="19" spans="1:9" s="1030" customFormat="1" ht="11.25">
      <c r="A19" s="1027"/>
      <c r="B19" s="1029"/>
      <c r="C19" s="1029"/>
      <c r="D19" s="1051"/>
      <c r="E19" s="1051"/>
      <c r="F19" s="1051"/>
      <c r="G19" s="1029"/>
      <c r="H19" s="1029"/>
      <c r="I19" s="1029"/>
    </row>
    <row r="20" spans="1:9" s="1030" customFormat="1" ht="11.25">
      <c r="A20" s="1027"/>
      <c r="B20" s="1029"/>
      <c r="C20" s="1029"/>
      <c r="D20" s="1051"/>
      <c r="E20" s="1051"/>
      <c r="F20" s="1051"/>
      <c r="G20" s="1029"/>
      <c r="H20" s="1029"/>
      <c r="I20" s="1029"/>
    </row>
    <row r="21" spans="1:9" s="716" customFormat="1" ht="15">
      <c r="A21" s="766" t="s">
        <v>687</v>
      </c>
      <c r="B21" s="750"/>
      <c r="C21" s="750"/>
      <c r="D21" s="750"/>
      <c r="E21" s="750"/>
      <c r="F21" s="750"/>
      <c r="G21" s="750"/>
      <c r="H21" s="750"/>
      <c r="I21" s="750"/>
    </row>
    <row r="22" spans="1:9" s="716" customFormat="1" ht="15">
      <c r="A22" s="750"/>
      <c r="B22" s="750"/>
      <c r="C22" s="750"/>
      <c r="D22" s="1128">
        <f>C157</f>
        <v>-19078691</v>
      </c>
      <c r="E22" s="749" t="s">
        <v>719</v>
      </c>
      <c r="F22" s="749"/>
      <c r="G22" s="750"/>
      <c r="H22" s="750"/>
      <c r="I22" s="750"/>
    </row>
    <row r="23" spans="1:9" s="1030" customFormat="1" ht="11.25">
      <c r="A23" s="1029"/>
      <c r="B23" s="1029"/>
      <c r="C23" s="1029"/>
      <c r="D23" s="1029"/>
      <c r="E23" s="1029"/>
      <c r="F23" s="1029"/>
      <c r="G23" s="1029"/>
      <c r="H23" s="1029"/>
      <c r="I23" s="1029"/>
    </row>
    <row r="24" spans="1:9" s="716" customFormat="1" ht="15">
      <c r="A24" s="767" t="s">
        <v>698</v>
      </c>
      <c r="B24" s="750"/>
      <c r="C24" s="750"/>
      <c r="D24" s="750"/>
      <c r="E24" s="750"/>
      <c r="F24" s="750"/>
      <c r="G24" s="750"/>
      <c r="H24" s="750"/>
      <c r="I24" s="750"/>
    </row>
    <row r="25" spans="1:9" s="716" customFormat="1" ht="15">
      <c r="A25" s="767" t="s">
        <v>699</v>
      </c>
      <c r="B25" s="750"/>
      <c r="C25" s="750"/>
      <c r="D25" s="750"/>
      <c r="E25" s="750"/>
      <c r="F25" s="750"/>
      <c r="G25" s="750"/>
      <c r="H25" s="750"/>
      <c r="I25" s="750"/>
    </row>
    <row r="26" spans="1:9" s="1030" customFormat="1" ht="11.25">
      <c r="A26" s="1027"/>
      <c r="B26" s="1028"/>
      <c r="C26" s="1028"/>
      <c r="D26" s="1028"/>
      <c r="E26" s="1028"/>
      <c r="F26" s="1028"/>
      <c r="G26" s="1028"/>
      <c r="H26" s="1029"/>
      <c r="I26" s="1029"/>
    </row>
    <row r="27" spans="1:9" s="1030" customFormat="1" ht="11.25">
      <c r="A27" s="1027"/>
      <c r="B27" s="1029"/>
      <c r="C27" s="1029"/>
      <c r="D27" s="1029"/>
      <c r="E27" s="1029"/>
      <c r="F27" s="1029"/>
      <c r="G27" s="1031"/>
      <c r="H27" s="1029"/>
      <c r="I27" s="1029"/>
    </row>
    <row r="28" spans="1:9" s="263" customFormat="1">
      <c r="A28" s="1220"/>
      <c r="B28" s="1220"/>
      <c r="C28" s="575"/>
      <c r="D28" s="724" t="s">
        <v>44</v>
      </c>
      <c r="E28" s="724" t="s">
        <v>46</v>
      </c>
      <c r="F28" s="724"/>
      <c r="G28" s="724"/>
      <c r="H28" s="576"/>
      <c r="I28" s="576"/>
    </row>
    <row r="29" spans="1:9" s="263" customFormat="1">
      <c r="A29" s="1228"/>
      <c r="B29" s="1228"/>
      <c r="C29" s="724"/>
      <c r="D29" s="724" t="s">
        <v>45</v>
      </c>
      <c r="E29" s="724" t="s">
        <v>35</v>
      </c>
      <c r="F29" s="724" t="s">
        <v>41</v>
      </c>
      <c r="G29" s="724" t="s">
        <v>43</v>
      </c>
      <c r="H29" s="576"/>
      <c r="I29" s="576"/>
    </row>
    <row r="30" spans="1:9" s="159" customFormat="1" ht="15">
      <c r="A30" s="1227" t="s">
        <v>36</v>
      </c>
      <c r="B30" s="1227"/>
      <c r="C30" s="725" t="s">
        <v>576</v>
      </c>
      <c r="D30" s="725" t="s">
        <v>42</v>
      </c>
      <c r="E30" s="725" t="s">
        <v>42</v>
      </c>
      <c r="F30" s="725" t="s">
        <v>42</v>
      </c>
      <c r="G30" s="725" t="s">
        <v>42</v>
      </c>
      <c r="H30" s="726" t="s">
        <v>441</v>
      </c>
      <c r="I30" s="575"/>
    </row>
    <row r="31" spans="1:9" s="1030" customFormat="1" ht="11.25">
      <c r="A31" s="1027"/>
      <c r="B31" s="1029"/>
      <c r="C31" s="1029"/>
      <c r="D31" s="1089"/>
      <c r="E31" s="1089"/>
      <c r="F31" s="1089"/>
      <c r="G31" s="1089"/>
      <c r="H31" s="1029"/>
      <c r="I31" s="1029"/>
    </row>
    <row r="32" spans="1:9" ht="15.75">
      <c r="A32" s="1221" t="s">
        <v>396</v>
      </c>
      <c r="B32" s="1221"/>
      <c r="C32" s="721"/>
      <c r="D32" s="721"/>
      <c r="E32" s="721"/>
      <c r="F32" s="721"/>
      <c r="G32" s="721"/>
      <c r="H32" s="722"/>
      <c r="I32" s="575"/>
    </row>
    <row r="33" spans="1:9" ht="25.5">
      <c r="A33" s="1102" t="s">
        <v>790</v>
      </c>
      <c r="B33" s="1104"/>
      <c r="C33" s="1099">
        <v>-845565</v>
      </c>
      <c r="D33" s="1099"/>
      <c r="E33" s="1099"/>
      <c r="F33" s="1099"/>
      <c r="G33" s="1099">
        <f>C33</f>
        <v>-845565</v>
      </c>
      <c r="H33" s="1100" t="s">
        <v>171</v>
      </c>
      <c r="I33" s="575"/>
    </row>
    <row r="34" spans="1:9" ht="25.5">
      <c r="A34" s="1102" t="s">
        <v>789</v>
      </c>
      <c r="B34" s="1104"/>
      <c r="C34" s="1099">
        <v>19144898</v>
      </c>
      <c r="D34" s="1099"/>
      <c r="E34" s="1099"/>
      <c r="F34" s="1099"/>
      <c r="G34" s="1099">
        <f>C34</f>
        <v>19144898</v>
      </c>
      <c r="H34" s="1100" t="s">
        <v>186</v>
      </c>
      <c r="I34" s="575"/>
    </row>
    <row r="35" spans="1:9" ht="38.25">
      <c r="A35" s="1102" t="s">
        <v>871</v>
      </c>
      <c r="B35" s="1104"/>
      <c r="C35" s="1099">
        <v>20588</v>
      </c>
      <c r="D35" s="1099">
        <f>C35</f>
        <v>20588</v>
      </c>
      <c r="E35" s="1099"/>
      <c r="F35" s="1099"/>
      <c r="G35" s="1099"/>
      <c r="H35" s="1101" t="s">
        <v>872</v>
      </c>
      <c r="I35" s="575"/>
    </row>
    <row r="36" spans="1:9" ht="25.5">
      <c r="A36" s="1102" t="s">
        <v>788</v>
      </c>
      <c r="B36" s="1104"/>
      <c r="C36" s="1099">
        <v>705742</v>
      </c>
      <c r="D36" s="1099"/>
      <c r="E36" s="1099"/>
      <c r="F36" s="1099">
        <f>C36</f>
        <v>705742</v>
      </c>
      <c r="G36" s="1099"/>
      <c r="H36" s="1100" t="s">
        <v>343</v>
      </c>
      <c r="I36" s="575"/>
    </row>
    <row r="37" spans="1:9" ht="25.5">
      <c r="A37" s="1102" t="s">
        <v>792</v>
      </c>
      <c r="B37" s="1104"/>
      <c r="C37" s="1099">
        <v>21908863</v>
      </c>
      <c r="D37" s="1099">
        <f>C37</f>
        <v>21908863</v>
      </c>
      <c r="E37" s="1099"/>
      <c r="F37" s="1099"/>
      <c r="G37" s="1099"/>
      <c r="H37" s="1100" t="s">
        <v>172</v>
      </c>
      <c r="I37" s="575"/>
    </row>
    <row r="38" spans="1:9" ht="25.5">
      <c r="A38" s="1103" t="s">
        <v>504</v>
      </c>
      <c r="B38" s="1104"/>
      <c r="C38" s="1099">
        <v>2465249</v>
      </c>
      <c r="D38" s="1099"/>
      <c r="E38" s="1099"/>
      <c r="F38" s="1099">
        <f>C38</f>
        <v>2465249</v>
      </c>
      <c r="G38" s="1099"/>
      <c r="H38" s="1100" t="s">
        <v>344</v>
      </c>
      <c r="I38" s="575"/>
    </row>
    <row r="39" spans="1:9" ht="25.5">
      <c r="A39" s="1103" t="s">
        <v>732</v>
      </c>
      <c r="B39" s="1104"/>
      <c r="C39" s="1099">
        <v>47841</v>
      </c>
      <c r="D39" s="1099"/>
      <c r="E39" s="1099"/>
      <c r="F39" s="1099">
        <f>C39</f>
        <v>47841</v>
      </c>
      <c r="G39" s="1099"/>
      <c r="H39" s="1100" t="s">
        <v>173</v>
      </c>
      <c r="I39" s="575"/>
    </row>
    <row r="40" spans="1:9" ht="25.5">
      <c r="A40" s="1103" t="s">
        <v>739</v>
      </c>
      <c r="B40" s="1103"/>
      <c r="C40" s="1099">
        <v>29010934</v>
      </c>
      <c r="D40" s="1099"/>
      <c r="E40" s="1099"/>
      <c r="F40" s="1099"/>
      <c r="G40" s="1099">
        <f>C40</f>
        <v>29010934</v>
      </c>
      <c r="H40" s="1100" t="s">
        <v>174</v>
      </c>
      <c r="I40" s="575"/>
    </row>
    <row r="41" spans="1:9">
      <c r="A41" s="1103" t="s">
        <v>740</v>
      </c>
      <c r="B41" s="1103"/>
      <c r="C41" s="1099">
        <v>1035762</v>
      </c>
      <c r="D41" s="1099"/>
      <c r="E41" s="1099"/>
      <c r="F41" s="1099"/>
      <c r="G41" s="1099">
        <f>C41</f>
        <v>1035762</v>
      </c>
      <c r="H41" s="1100" t="s">
        <v>345</v>
      </c>
      <c r="I41" s="575"/>
    </row>
    <row r="42" spans="1:9" ht="38.25">
      <c r="A42" s="1103" t="s">
        <v>734</v>
      </c>
      <c r="B42" s="1103"/>
      <c r="C42" s="1099">
        <v>1987905</v>
      </c>
      <c r="D42" s="1099">
        <f>C42</f>
        <v>1987905</v>
      </c>
      <c r="E42" s="1099"/>
      <c r="F42" s="1099"/>
      <c r="G42" s="1099"/>
      <c r="H42" s="1100" t="s">
        <v>175</v>
      </c>
      <c r="I42" s="575"/>
    </row>
    <row r="43" spans="1:9">
      <c r="A43" s="1102" t="s">
        <v>777</v>
      </c>
      <c r="B43" s="1103"/>
      <c r="C43" s="1099">
        <v>1670877</v>
      </c>
      <c r="D43" s="1099"/>
      <c r="E43" s="1099"/>
      <c r="F43" s="1099"/>
      <c r="G43" s="1099">
        <f>C43</f>
        <v>1670877</v>
      </c>
      <c r="H43" s="1101" t="s">
        <v>816</v>
      </c>
      <c r="I43" s="575"/>
    </row>
    <row r="44" spans="1:9">
      <c r="A44" s="1102" t="s">
        <v>778</v>
      </c>
      <c r="B44" s="1103"/>
      <c r="C44" s="1099">
        <v>1499419</v>
      </c>
      <c r="D44" s="1099">
        <f>C44</f>
        <v>1499419</v>
      </c>
      <c r="E44" s="1099"/>
      <c r="F44" s="1099"/>
      <c r="G44" s="1099"/>
      <c r="H44" s="1101" t="s">
        <v>817</v>
      </c>
      <c r="I44" s="575"/>
    </row>
    <row r="45" spans="1:9" ht="38.25">
      <c r="A45" s="1102" t="s">
        <v>791</v>
      </c>
      <c r="B45" s="1103"/>
      <c r="C45" s="1099">
        <v>-6809143</v>
      </c>
      <c r="D45" s="1099">
        <f>C45</f>
        <v>-6809143</v>
      </c>
      <c r="E45" s="1099"/>
      <c r="F45" s="1099"/>
      <c r="G45" s="1099"/>
      <c r="H45" s="1101" t="s">
        <v>801</v>
      </c>
      <c r="I45" s="575"/>
    </row>
    <row r="46" spans="1:9" ht="25.5">
      <c r="A46" s="1103" t="s">
        <v>404</v>
      </c>
      <c r="B46" s="1103"/>
      <c r="C46" s="1099">
        <v>316530</v>
      </c>
      <c r="D46" s="1099"/>
      <c r="E46" s="1099"/>
      <c r="F46" s="1099"/>
      <c r="G46" s="1099">
        <f>C46</f>
        <v>316530</v>
      </c>
      <c r="H46" s="1100" t="s">
        <v>346</v>
      </c>
      <c r="I46" s="575"/>
    </row>
    <row r="47" spans="1:9">
      <c r="A47" s="1232" t="s">
        <v>405</v>
      </c>
      <c r="B47" s="1233"/>
      <c r="C47" s="1099">
        <v>1</v>
      </c>
      <c r="D47" s="1099">
        <f>C47</f>
        <v>1</v>
      </c>
      <c r="E47" s="1099"/>
      <c r="F47" s="1099"/>
      <c r="G47" s="1099"/>
      <c r="H47" s="1105" t="s">
        <v>176</v>
      </c>
      <c r="I47" s="575"/>
    </row>
    <row r="48" spans="1:9" ht="25.5">
      <c r="A48" s="1103" t="s">
        <v>406</v>
      </c>
      <c r="B48" s="1103"/>
      <c r="C48" s="1099">
        <v>1549785</v>
      </c>
      <c r="D48" s="1099">
        <f>C48</f>
        <v>1549785</v>
      </c>
      <c r="E48" s="1099"/>
      <c r="F48" s="1099"/>
      <c r="G48" s="1099"/>
      <c r="H48" s="1100" t="s">
        <v>347</v>
      </c>
      <c r="I48" s="575"/>
    </row>
    <row r="49" spans="1:9" ht="25.5">
      <c r="A49" s="1103" t="s">
        <v>407</v>
      </c>
      <c r="B49" s="1103"/>
      <c r="C49" s="1099">
        <v>1720431</v>
      </c>
      <c r="D49" s="1099"/>
      <c r="E49" s="1099"/>
      <c r="F49" s="1099">
        <f>C49</f>
        <v>1720431</v>
      </c>
      <c r="G49" s="1099"/>
      <c r="H49" s="1100" t="s">
        <v>348</v>
      </c>
      <c r="I49" s="575"/>
    </row>
    <row r="50" spans="1:9" ht="25.5">
      <c r="A50" s="1103" t="s">
        <v>408</v>
      </c>
      <c r="B50" s="1103"/>
      <c r="C50" s="1099">
        <v>-5363421</v>
      </c>
      <c r="D50" s="1099"/>
      <c r="E50" s="1099"/>
      <c r="F50" s="1099"/>
      <c r="G50" s="1099">
        <f>C50</f>
        <v>-5363421</v>
      </c>
      <c r="H50" s="1101" t="s">
        <v>802</v>
      </c>
      <c r="I50" s="575"/>
    </row>
    <row r="51" spans="1:9" ht="38.25">
      <c r="A51" s="1103" t="s">
        <v>409</v>
      </c>
      <c r="B51" s="1103"/>
      <c r="C51" s="1099">
        <v>-23778461</v>
      </c>
      <c r="D51" s="1099">
        <f>C51</f>
        <v>-23778461</v>
      </c>
      <c r="E51" s="1099"/>
      <c r="F51" s="1099"/>
      <c r="G51" s="1099"/>
      <c r="H51" s="1100" t="s">
        <v>349</v>
      </c>
      <c r="I51" s="575"/>
    </row>
    <row r="52" spans="1:9">
      <c r="A52" s="1102" t="s">
        <v>818</v>
      </c>
      <c r="B52" s="1103"/>
      <c r="C52" s="1099">
        <v>47298941</v>
      </c>
      <c r="D52" s="1099"/>
      <c r="E52" s="1099"/>
      <c r="F52" s="1099">
        <f>C52</f>
        <v>47298941</v>
      </c>
      <c r="G52" s="1099"/>
      <c r="H52" s="1101" t="s">
        <v>837</v>
      </c>
      <c r="I52" s="575"/>
    </row>
    <row r="53" spans="1:9" ht="25.5">
      <c r="A53" s="1103" t="s">
        <v>79</v>
      </c>
      <c r="B53" s="1103"/>
      <c r="C53" s="1099">
        <v>311904</v>
      </c>
      <c r="D53" s="1099">
        <f>C53</f>
        <v>311904</v>
      </c>
      <c r="E53" s="1099"/>
      <c r="F53" s="1099"/>
      <c r="G53" s="1099"/>
      <c r="H53" s="1100" t="s">
        <v>189</v>
      </c>
      <c r="I53" s="575"/>
    </row>
    <row r="54" spans="1:9">
      <c r="A54" s="924"/>
      <c r="B54" s="925" t="s">
        <v>609</v>
      </c>
      <c r="C54" s="814">
        <f>SUBTOTAL(9,C33:C53)</f>
        <v>93899080</v>
      </c>
      <c r="D54" s="721"/>
      <c r="E54" s="721"/>
      <c r="F54" s="721"/>
      <c r="G54" s="721"/>
      <c r="H54" s="722"/>
      <c r="I54" s="575"/>
    </row>
    <row r="55" spans="1:9">
      <c r="A55" s="911"/>
      <c r="B55" s="720"/>
      <c r="C55" s="721"/>
      <c r="D55" s="721"/>
      <c r="E55" s="721"/>
      <c r="F55" s="721"/>
      <c r="G55" s="721"/>
      <c r="H55" s="722"/>
      <c r="I55" s="575"/>
    </row>
    <row r="56" spans="1:9" s="159" customFormat="1" ht="15.75">
      <c r="A56" s="912" t="s">
        <v>397</v>
      </c>
      <c r="B56" s="720"/>
      <c r="C56" s="721"/>
      <c r="D56" s="721"/>
      <c r="E56" s="721"/>
      <c r="F56" s="721"/>
      <c r="G56" s="721"/>
      <c r="H56" s="722"/>
      <c r="I56" s="575"/>
    </row>
    <row r="57" spans="1:9" ht="25.5">
      <c r="A57" s="1103" t="s">
        <v>733</v>
      </c>
      <c r="B57" s="1103"/>
      <c r="C57" s="1099">
        <v>431855</v>
      </c>
      <c r="D57" s="1099">
        <f>C57</f>
        <v>431855</v>
      </c>
      <c r="E57" s="1099"/>
      <c r="F57" s="1099"/>
      <c r="G57" s="1099"/>
      <c r="H57" s="1101" t="s">
        <v>803</v>
      </c>
      <c r="I57" s="575"/>
    </row>
    <row r="58" spans="1:9" ht="25.5">
      <c r="A58" s="1103" t="s">
        <v>735</v>
      </c>
      <c r="B58" s="1103"/>
      <c r="C58" s="1099">
        <v>1902989</v>
      </c>
      <c r="D58" s="1099"/>
      <c r="E58" s="1099"/>
      <c r="F58" s="1099"/>
      <c r="G58" s="1099">
        <f>C58</f>
        <v>1902989</v>
      </c>
      <c r="H58" s="1100" t="s">
        <v>177</v>
      </c>
      <c r="I58" s="575"/>
    </row>
    <row r="59" spans="1:9" ht="38.25">
      <c r="A59" s="1103" t="s">
        <v>737</v>
      </c>
      <c r="B59" s="1103"/>
      <c r="C59" s="1099">
        <v>176998</v>
      </c>
      <c r="D59" s="1099">
        <f>C59</f>
        <v>176998</v>
      </c>
      <c r="E59" s="1099"/>
      <c r="F59" s="1099"/>
      <c r="G59" s="1099"/>
      <c r="H59" s="1101" t="s">
        <v>804</v>
      </c>
      <c r="I59" s="575"/>
    </row>
    <row r="60" spans="1:9" ht="25.5">
      <c r="A60" s="1103" t="s">
        <v>738</v>
      </c>
      <c r="B60" s="1103"/>
      <c r="C60" s="1099">
        <v>1032958</v>
      </c>
      <c r="D60" s="1099"/>
      <c r="E60" s="1099"/>
      <c r="F60" s="1099"/>
      <c r="G60" s="1099">
        <f>C60</f>
        <v>1032958</v>
      </c>
      <c r="H60" s="1100" t="s">
        <v>178</v>
      </c>
      <c r="I60" s="575"/>
    </row>
    <row r="61" spans="1:9" ht="38.25">
      <c r="A61" s="1103" t="s">
        <v>80</v>
      </c>
      <c r="B61" s="1103"/>
      <c r="C61" s="1099">
        <v>14402358</v>
      </c>
      <c r="D61" s="1099">
        <f>C61</f>
        <v>14402358</v>
      </c>
      <c r="E61" s="1099"/>
      <c r="F61" s="1099"/>
      <c r="G61" s="1099"/>
      <c r="H61" s="1100" t="s">
        <v>81</v>
      </c>
      <c r="I61" s="575"/>
    </row>
    <row r="62" spans="1:9" ht="25.5">
      <c r="A62" s="1103" t="s">
        <v>736</v>
      </c>
      <c r="B62" s="1103"/>
      <c r="C62" s="1099">
        <v>-121087</v>
      </c>
      <c r="D62" s="1099"/>
      <c r="E62" s="1099"/>
      <c r="F62" s="1099"/>
      <c r="G62" s="1099">
        <f>C62</f>
        <v>-121087</v>
      </c>
      <c r="H62" s="1100" t="s">
        <v>188</v>
      </c>
      <c r="I62" s="575"/>
    </row>
    <row r="63" spans="1:9" ht="25.5">
      <c r="A63" s="1102" t="s">
        <v>793</v>
      </c>
      <c r="B63" s="1106"/>
      <c r="C63" s="1107">
        <f>2627891+1612483</f>
        <v>4240374</v>
      </c>
      <c r="D63" s="1108"/>
      <c r="E63" s="1099"/>
      <c r="F63" s="1099"/>
      <c r="G63" s="1099">
        <f>C63</f>
        <v>4240374</v>
      </c>
      <c r="H63" s="1100" t="s">
        <v>187</v>
      </c>
      <c r="I63" s="575"/>
    </row>
    <row r="64" spans="1:9" ht="25.5">
      <c r="A64" s="1103" t="s">
        <v>10</v>
      </c>
      <c r="B64" s="1103"/>
      <c r="C64" s="1107">
        <v>20326435</v>
      </c>
      <c r="D64" s="1099"/>
      <c r="E64" s="1099"/>
      <c r="F64" s="1099"/>
      <c r="G64" s="1099">
        <f>C64</f>
        <v>20326435</v>
      </c>
      <c r="H64" s="1101" t="s">
        <v>805</v>
      </c>
      <c r="I64" s="575"/>
    </row>
    <row r="65" spans="1:10" ht="25.5">
      <c r="A65" s="1103" t="s">
        <v>756</v>
      </c>
      <c r="B65" s="1103"/>
      <c r="C65" s="1099">
        <v>-1378142</v>
      </c>
      <c r="D65" s="1099">
        <f>C65</f>
        <v>-1378142</v>
      </c>
      <c r="E65" s="1099"/>
      <c r="F65" s="1099"/>
      <c r="G65" s="1099"/>
      <c r="H65" s="1100" t="s">
        <v>179</v>
      </c>
      <c r="I65" s="575"/>
    </row>
    <row r="66" spans="1:10" ht="25.5">
      <c r="A66" s="1103" t="s">
        <v>751</v>
      </c>
      <c r="B66" s="1103"/>
      <c r="C66" s="1099">
        <v>14450376</v>
      </c>
      <c r="D66" s="1099"/>
      <c r="E66" s="1099"/>
      <c r="F66" s="1099"/>
      <c r="G66" s="1099">
        <f>C66</f>
        <v>14450376</v>
      </c>
      <c r="H66" s="1100" t="s">
        <v>480</v>
      </c>
      <c r="I66" s="575"/>
    </row>
    <row r="67" spans="1:10" ht="38.25">
      <c r="A67" s="1103" t="s">
        <v>752</v>
      </c>
      <c r="B67" s="1103"/>
      <c r="C67" s="1099">
        <v>93272188</v>
      </c>
      <c r="D67" s="1099">
        <f>C67</f>
        <v>93272188</v>
      </c>
      <c r="E67" s="1099"/>
      <c r="F67" s="1099"/>
      <c r="G67" s="1099"/>
      <c r="H67" s="1100" t="s">
        <v>180</v>
      </c>
      <c r="I67" s="575"/>
    </row>
    <row r="68" spans="1:10">
      <c r="A68" s="1103" t="s">
        <v>753</v>
      </c>
      <c r="B68" s="1103"/>
      <c r="C68" s="1099">
        <v>-832543</v>
      </c>
      <c r="D68" s="1099">
        <f>C68</f>
        <v>-832543</v>
      </c>
      <c r="E68" s="1099"/>
      <c r="F68" s="1099"/>
      <c r="G68" s="1099"/>
      <c r="H68" s="1100" t="s">
        <v>481</v>
      </c>
      <c r="I68" s="575"/>
    </row>
    <row r="69" spans="1:10" ht="38.25">
      <c r="A69" s="1103" t="s">
        <v>754</v>
      </c>
      <c r="B69" s="1103"/>
      <c r="C69" s="1099">
        <v>153678512</v>
      </c>
      <c r="D69" s="1099">
        <f>C69</f>
        <v>153678512</v>
      </c>
      <c r="E69" s="1099"/>
      <c r="F69" s="1099"/>
      <c r="G69" s="1099"/>
      <c r="H69" s="1101" t="s">
        <v>806</v>
      </c>
      <c r="I69" s="575"/>
    </row>
    <row r="70" spans="1:10" ht="25.5">
      <c r="A70" s="1103" t="s">
        <v>757</v>
      </c>
      <c r="B70" s="1103"/>
      <c r="C70" s="1099">
        <v>826170</v>
      </c>
      <c r="D70" s="1099"/>
      <c r="E70" s="1099"/>
      <c r="F70" s="1099"/>
      <c r="G70" s="1099">
        <f>C70</f>
        <v>826170</v>
      </c>
      <c r="H70" s="1100" t="s">
        <v>482</v>
      </c>
      <c r="I70" s="575"/>
    </row>
    <row r="71" spans="1:10" ht="25.5">
      <c r="A71" s="1103" t="s">
        <v>761</v>
      </c>
      <c r="B71" s="1103"/>
      <c r="C71" s="1099">
        <v>1012718</v>
      </c>
      <c r="D71" s="1099"/>
      <c r="E71" s="1099"/>
      <c r="F71" s="1099"/>
      <c r="G71" s="1099">
        <f>C71</f>
        <v>1012718</v>
      </c>
      <c r="H71" s="1100" t="s">
        <v>483</v>
      </c>
      <c r="I71" s="575"/>
    </row>
    <row r="72" spans="1:10" ht="38.25">
      <c r="A72" s="1232" t="s">
        <v>762</v>
      </c>
      <c r="B72" s="1233"/>
      <c r="C72" s="1099">
        <v>3236605</v>
      </c>
      <c r="D72" s="1099"/>
      <c r="E72" s="1099"/>
      <c r="F72" s="1099"/>
      <c r="G72" s="1099">
        <f>C72</f>
        <v>3236605</v>
      </c>
      <c r="H72" s="1109" t="s">
        <v>484</v>
      </c>
      <c r="I72" s="575"/>
    </row>
    <row r="73" spans="1:10" ht="25.5">
      <c r="A73" s="1103" t="s">
        <v>739</v>
      </c>
      <c r="B73" s="1103"/>
      <c r="C73" s="1099">
        <v>542981</v>
      </c>
      <c r="D73" s="1099"/>
      <c r="E73" s="1099"/>
      <c r="F73" s="1099"/>
      <c r="G73" s="1099">
        <f>C73</f>
        <v>542981</v>
      </c>
      <c r="H73" s="1100" t="s">
        <v>485</v>
      </c>
      <c r="I73" s="575"/>
    </row>
    <row r="74" spans="1:10" ht="38.25">
      <c r="A74" s="1103" t="s">
        <v>5</v>
      </c>
      <c r="B74" s="1103"/>
      <c r="C74" s="1099">
        <v>5011539</v>
      </c>
      <c r="D74" s="1099">
        <f t="shared" ref="D74:D79" si="0">C74</f>
        <v>5011539</v>
      </c>
      <c r="E74" s="1099"/>
      <c r="F74" s="1099"/>
      <c r="G74" s="1099"/>
      <c r="H74" s="1101" t="s">
        <v>807</v>
      </c>
      <c r="I74" s="575"/>
      <c r="J74" s="775"/>
    </row>
    <row r="75" spans="1:10">
      <c r="A75" s="1103" t="s">
        <v>403</v>
      </c>
      <c r="B75" s="1103"/>
      <c r="C75" s="1099">
        <v>92710229</v>
      </c>
      <c r="D75" s="1099">
        <f t="shared" si="0"/>
        <v>92710229</v>
      </c>
      <c r="E75" s="1099"/>
      <c r="F75" s="1099"/>
      <c r="G75" s="1099"/>
      <c r="H75" s="1100" t="s">
        <v>181</v>
      </c>
      <c r="I75" s="575"/>
    </row>
    <row r="76" spans="1:10" ht="38.25">
      <c r="A76" s="1102" t="s">
        <v>819</v>
      </c>
      <c r="B76" s="1103"/>
      <c r="C76" s="1099">
        <v>-602331</v>
      </c>
      <c r="D76" s="1099">
        <f t="shared" si="0"/>
        <v>-602331</v>
      </c>
      <c r="E76" s="1099"/>
      <c r="F76" s="1099"/>
      <c r="G76" s="1099"/>
      <c r="H76" s="1100" t="s">
        <v>486</v>
      </c>
      <c r="I76" s="575"/>
    </row>
    <row r="77" spans="1:10" ht="38.25">
      <c r="A77" s="1103" t="s">
        <v>505</v>
      </c>
      <c r="B77" s="1103"/>
      <c r="C77" s="1099">
        <v>9542250</v>
      </c>
      <c r="D77" s="1099">
        <f t="shared" si="0"/>
        <v>9542250</v>
      </c>
      <c r="E77" s="1099"/>
      <c r="F77" s="1099"/>
      <c r="G77" s="1099"/>
      <c r="H77" s="1100" t="s">
        <v>487</v>
      </c>
      <c r="I77" s="575"/>
    </row>
    <row r="78" spans="1:10" ht="25.5">
      <c r="A78" s="1102" t="s">
        <v>796</v>
      </c>
      <c r="B78" s="1103"/>
      <c r="C78" s="1099">
        <v>713300.84630000126</v>
      </c>
      <c r="D78" s="1099">
        <f t="shared" ref="D78" si="1">C78</f>
        <v>713300.84630000126</v>
      </c>
      <c r="E78" s="1099"/>
      <c r="F78" s="1099"/>
      <c r="G78" s="1099"/>
      <c r="H78" s="1101" t="s">
        <v>820</v>
      </c>
      <c r="I78" s="575"/>
    </row>
    <row r="79" spans="1:10" ht="25.5">
      <c r="A79" s="1102" t="s">
        <v>800</v>
      </c>
      <c r="B79" s="1103"/>
      <c r="C79" s="1099">
        <v>-905375</v>
      </c>
      <c r="D79" s="1099">
        <f t="shared" si="0"/>
        <v>-905375</v>
      </c>
      <c r="E79" s="1099"/>
      <c r="F79" s="1099"/>
      <c r="G79" s="1099"/>
      <c r="H79" s="1101" t="s">
        <v>821</v>
      </c>
      <c r="I79" s="575"/>
    </row>
    <row r="80" spans="1:10">
      <c r="A80" s="924"/>
      <c r="B80" s="925" t="s">
        <v>609</v>
      </c>
      <c r="C80" s="814">
        <f>SUBTOTAL(9,C57:C79)</f>
        <v>413671357.84630001</v>
      </c>
      <c r="D80" s="721"/>
      <c r="E80" s="721"/>
      <c r="F80" s="721"/>
      <c r="G80" s="721"/>
      <c r="H80" s="722"/>
      <c r="I80" s="575"/>
    </row>
    <row r="81" spans="1:11">
      <c r="A81" s="911"/>
      <c r="B81" s="911"/>
      <c r="C81" s="721"/>
      <c r="D81" s="721"/>
      <c r="E81" s="721"/>
      <c r="F81" s="721"/>
      <c r="G81" s="721"/>
      <c r="H81" s="722"/>
      <c r="I81" s="735"/>
    </row>
    <row r="82" spans="1:11">
      <c r="A82" s="928" t="s">
        <v>501</v>
      </c>
      <c r="B82" s="1059"/>
      <c r="C82" s="814">
        <f>C54+C80</f>
        <v>507570437.84630001</v>
      </c>
      <c r="D82" s="814">
        <f>SUM(D33:D81)</f>
        <v>362911699.84630001</v>
      </c>
      <c r="E82" s="814">
        <f>SUM(E33:E81)</f>
        <v>0</v>
      </c>
      <c r="F82" s="814">
        <f>SUM(F33:F81)</f>
        <v>52238204</v>
      </c>
      <c r="G82" s="814">
        <f>SUM(G33:G81)</f>
        <v>92420534</v>
      </c>
      <c r="H82" s="737"/>
      <c r="I82" s="735"/>
      <c r="K82" s="1070"/>
    </row>
    <row r="83" spans="1:11" s="303" customFormat="1">
      <c r="A83" s="913" t="s">
        <v>417</v>
      </c>
      <c r="B83" s="1060"/>
      <c r="C83" s="902"/>
      <c r="D83" s="902"/>
      <c r="E83" s="902"/>
      <c r="F83" s="915"/>
      <c r="G83" s="909"/>
      <c r="H83" s="916"/>
      <c r="I83" s="728"/>
      <c r="K83" s="1071"/>
    </row>
    <row r="84" spans="1:11" s="303" customFormat="1">
      <c r="A84" s="917" t="s">
        <v>418</v>
      </c>
      <c r="B84" s="1061"/>
      <c r="C84" s="919"/>
      <c r="D84" s="919"/>
      <c r="E84" s="919"/>
      <c r="F84" s="919"/>
      <c r="G84" s="919">
        <f>C84</f>
        <v>0</v>
      </c>
      <c r="H84" s="916"/>
      <c r="I84" s="728"/>
    </row>
    <row r="85" spans="1:11" s="159" customFormat="1" ht="13.5" thickBot="1">
      <c r="A85" s="1229" t="s">
        <v>576</v>
      </c>
      <c r="B85" s="1230"/>
      <c r="C85" s="741">
        <f>+C82-C83-C84</f>
        <v>507570437.84630001</v>
      </c>
      <c r="D85" s="741">
        <f>+D82-D83-D84</f>
        <v>362911699.84630001</v>
      </c>
      <c r="E85" s="741">
        <f>+E82-E83-E84</f>
        <v>0</v>
      </c>
      <c r="F85" s="741">
        <f>+F82-F83-F84</f>
        <v>52238204</v>
      </c>
      <c r="G85" s="741">
        <f>+G82-G83-G84</f>
        <v>92420534</v>
      </c>
      <c r="H85" s="722"/>
      <c r="I85" s="735"/>
    </row>
    <row r="86" spans="1:11" s="159" customFormat="1" ht="13.5" thickTop="1">
      <c r="A86" s="733"/>
      <c r="B86" s="738"/>
      <c r="C86" s="739"/>
      <c r="D86" s="721"/>
      <c r="E86" s="735"/>
      <c r="F86" s="740"/>
      <c r="G86" s="720"/>
      <c r="H86" s="722"/>
      <c r="I86" s="735"/>
    </row>
    <row r="87" spans="1:11" s="159" customFormat="1">
      <c r="A87" s="733"/>
      <c r="B87" s="738"/>
      <c r="C87" s="739"/>
      <c r="D87" s="721"/>
      <c r="E87" s="735"/>
      <c r="F87" s="740"/>
      <c r="G87" s="720"/>
      <c r="H87" s="722"/>
      <c r="I87" s="735"/>
    </row>
    <row r="88" spans="1:11" s="159" customFormat="1">
      <c r="A88" s="733"/>
      <c r="B88" s="823" t="s">
        <v>47</v>
      </c>
      <c r="C88" s="1062"/>
      <c r="D88" s="1062"/>
      <c r="E88" s="1063"/>
      <c r="F88" s="1064"/>
      <c r="G88" s="1065"/>
      <c r="H88" s="722"/>
      <c r="I88" s="735"/>
    </row>
    <row r="89" spans="1:11" s="159" customFormat="1">
      <c r="A89" s="733"/>
      <c r="B89" s="1213" t="s">
        <v>252</v>
      </c>
      <c r="C89" s="1214"/>
      <c r="D89" s="1214"/>
      <c r="E89" s="1214"/>
      <c r="F89" s="1214"/>
      <c r="G89" s="1215"/>
      <c r="H89" s="737"/>
      <c r="I89" s="735"/>
    </row>
    <row r="90" spans="1:11" s="159" customFormat="1">
      <c r="A90" s="733"/>
      <c r="B90" s="826" t="s">
        <v>253</v>
      </c>
      <c r="C90" s="1066"/>
      <c r="D90" s="1066"/>
      <c r="E90" s="1066"/>
      <c r="F90" s="1067"/>
      <c r="G90" s="1068"/>
      <c r="H90" s="722"/>
      <c r="I90" s="735"/>
    </row>
    <row r="91" spans="1:11" s="159" customFormat="1">
      <c r="A91" s="733"/>
      <c r="B91" s="826" t="s">
        <v>543</v>
      </c>
      <c r="C91" s="1066"/>
      <c r="D91" s="1066"/>
      <c r="E91" s="1066"/>
      <c r="F91" s="1067"/>
      <c r="G91" s="1068"/>
      <c r="H91" s="737"/>
      <c r="I91" s="735"/>
    </row>
    <row r="92" spans="1:11" s="159" customFormat="1">
      <c r="A92" s="733"/>
      <c r="B92" s="826" t="s">
        <v>544</v>
      </c>
      <c r="C92" s="1066"/>
      <c r="D92" s="1066"/>
      <c r="E92" s="1066"/>
      <c r="F92" s="1067"/>
      <c r="G92" s="1068"/>
      <c r="H92" s="722"/>
      <c r="I92" s="735"/>
    </row>
    <row r="93" spans="1:11" s="263" customFormat="1" ht="27" customHeight="1">
      <c r="A93" s="733"/>
      <c r="B93" s="1210" t="s">
        <v>705</v>
      </c>
      <c r="C93" s="1211"/>
      <c r="D93" s="1211"/>
      <c r="E93" s="1211"/>
      <c r="F93" s="1211"/>
      <c r="G93" s="1212"/>
      <c r="H93" s="735"/>
      <c r="I93" s="736"/>
    </row>
    <row r="94" spans="1:11" s="159" customFormat="1" ht="18">
      <c r="A94" s="1216" t="str">
        <f>A1</f>
        <v>Commonwealth Edison Company</v>
      </c>
      <c r="B94" s="1216"/>
      <c r="C94" s="1216"/>
      <c r="D94" s="1216"/>
      <c r="E94" s="1216"/>
      <c r="F94" s="1216"/>
      <c r="G94" s="1216"/>
      <c r="H94" s="1216"/>
      <c r="I94" s="735"/>
    </row>
    <row r="95" spans="1:11" s="263" customFormat="1" ht="18">
      <c r="A95" s="1216" t="s">
        <v>357</v>
      </c>
      <c r="B95" s="1216"/>
      <c r="C95" s="1216"/>
      <c r="D95" s="1216"/>
      <c r="E95" s="1216"/>
      <c r="F95" s="1216"/>
      <c r="G95" s="1216"/>
      <c r="H95" s="1216"/>
      <c r="I95" s="728"/>
    </row>
    <row r="96" spans="1:11" s="263" customFormat="1">
      <c r="A96" s="575"/>
      <c r="B96" s="582"/>
      <c r="C96" s="582"/>
      <c r="D96" s="582"/>
      <c r="E96" s="582"/>
      <c r="F96" s="582"/>
      <c r="G96" s="582"/>
      <c r="H96" s="582"/>
      <c r="I96" s="728"/>
    </row>
    <row r="97" spans="1:9" s="159" customFormat="1">
      <c r="A97" s="1219" t="s">
        <v>466</v>
      </c>
      <c r="B97" s="1219"/>
      <c r="C97" s="1090" t="s">
        <v>577</v>
      </c>
      <c r="D97" s="1090" t="s">
        <v>450</v>
      </c>
      <c r="E97" s="1090" t="s">
        <v>467</v>
      </c>
      <c r="F97" s="1090" t="s">
        <v>465</v>
      </c>
      <c r="G97" s="1090" t="s">
        <v>223</v>
      </c>
      <c r="H97" s="1090" t="s">
        <v>468</v>
      </c>
      <c r="I97" s="575"/>
    </row>
    <row r="98" spans="1:9" s="263" customFormat="1">
      <c r="A98" s="1220"/>
      <c r="B98" s="1220"/>
      <c r="C98" s="575"/>
      <c r="D98" s="724" t="s">
        <v>44</v>
      </c>
      <c r="E98" s="724" t="s">
        <v>46</v>
      </c>
      <c r="F98" s="724"/>
      <c r="G98" s="724"/>
      <c r="H98" s="575"/>
      <c r="I98" s="576"/>
    </row>
    <row r="99" spans="1:9" s="263" customFormat="1">
      <c r="A99" s="1220"/>
      <c r="B99" s="1220"/>
      <c r="C99" s="724"/>
      <c r="D99" s="724" t="s">
        <v>45</v>
      </c>
      <c r="E99" s="724" t="s">
        <v>35</v>
      </c>
      <c r="F99" s="724" t="s">
        <v>41</v>
      </c>
      <c r="G99" s="724" t="s">
        <v>43</v>
      </c>
      <c r="H99" s="575"/>
      <c r="I99" s="576"/>
    </row>
    <row r="100" spans="1:9" s="159" customFormat="1" ht="15">
      <c r="A100" s="1227" t="s">
        <v>110</v>
      </c>
      <c r="B100" s="1227"/>
      <c r="C100" s="725" t="s">
        <v>576</v>
      </c>
      <c r="D100" s="725" t="s">
        <v>42</v>
      </c>
      <c r="E100" s="725" t="s">
        <v>42</v>
      </c>
      <c r="F100" s="725" t="s">
        <v>42</v>
      </c>
      <c r="G100" s="725" t="s">
        <v>42</v>
      </c>
      <c r="H100" s="726" t="s">
        <v>441</v>
      </c>
      <c r="I100" s="575"/>
    </row>
    <row r="101" spans="1:9" s="263" customFormat="1">
      <c r="A101" s="727"/>
      <c r="B101" s="735"/>
      <c r="C101" s="725"/>
      <c r="D101" s="725"/>
      <c r="E101" s="725"/>
      <c r="F101" s="725"/>
      <c r="G101" s="725"/>
      <c r="H101" s="726"/>
      <c r="I101" s="728"/>
    </row>
    <row r="102" spans="1:9" ht="15.75">
      <c r="A102" s="1217" t="s">
        <v>395</v>
      </c>
      <c r="B102" s="1217"/>
      <c r="C102" s="1217"/>
      <c r="D102" s="721"/>
      <c r="E102" s="721"/>
      <c r="F102" s="721"/>
      <c r="G102" s="721"/>
      <c r="H102" s="722"/>
      <c r="I102" s="575"/>
    </row>
    <row r="103" spans="1:9" ht="25.5">
      <c r="A103" s="1103" t="s">
        <v>125</v>
      </c>
      <c r="B103" s="1103"/>
      <c r="C103" s="1099">
        <v>-3020213346</v>
      </c>
      <c r="D103" s="1099"/>
      <c r="E103" s="1099"/>
      <c r="F103" s="1099">
        <f>C103</f>
        <v>-3020213346</v>
      </c>
      <c r="G103" s="1099"/>
      <c r="H103" s="1100" t="s">
        <v>488</v>
      </c>
      <c r="I103" s="575"/>
    </row>
    <row r="104" spans="1:9" ht="25.5">
      <c r="A104" s="1102" t="s">
        <v>835</v>
      </c>
      <c r="B104" s="1103"/>
      <c r="C104" s="1099">
        <v>3503124</v>
      </c>
      <c r="D104" s="1099"/>
      <c r="E104" s="1099"/>
      <c r="F104" s="1099">
        <f>C104</f>
        <v>3503124</v>
      </c>
      <c r="G104" s="1099"/>
      <c r="H104" s="1101" t="s">
        <v>815</v>
      </c>
      <c r="I104" s="575"/>
    </row>
    <row r="105" spans="1:9">
      <c r="A105" s="1218"/>
      <c r="B105" s="1218"/>
      <c r="C105" s="721"/>
      <c r="D105" s="721"/>
      <c r="E105" s="721"/>
      <c r="F105" s="721"/>
      <c r="G105" s="721"/>
      <c r="H105" s="722"/>
      <c r="I105" s="575"/>
    </row>
    <row r="106" spans="1:9" ht="15.75">
      <c r="A106" s="912" t="s">
        <v>394</v>
      </c>
      <c r="B106" s="721"/>
      <c r="C106" s="721"/>
      <c r="D106" s="721"/>
      <c r="E106" s="721"/>
      <c r="F106" s="721"/>
      <c r="G106" s="721"/>
      <c r="H106" s="722"/>
      <c r="I106" s="575"/>
    </row>
    <row r="107" spans="1:9">
      <c r="A107" s="1102" t="s">
        <v>779</v>
      </c>
      <c r="B107" s="1099"/>
      <c r="C107" s="1099">
        <v>-56614693</v>
      </c>
      <c r="D107" s="1099">
        <f>C107</f>
        <v>-56614693</v>
      </c>
      <c r="E107" s="1099"/>
      <c r="F107" s="1099"/>
      <c r="G107" s="1099"/>
      <c r="H107" s="1105" t="s">
        <v>822</v>
      </c>
      <c r="I107" s="575"/>
    </row>
    <row r="108" spans="1:9">
      <c r="A108" s="1103" t="s">
        <v>770</v>
      </c>
      <c r="B108" s="1099"/>
      <c r="C108" s="1099">
        <v>-26691018</v>
      </c>
      <c r="D108" s="1099"/>
      <c r="E108" s="1099"/>
      <c r="F108" s="1099">
        <f>C108</f>
        <v>-26691018</v>
      </c>
      <c r="G108" s="1099"/>
      <c r="H108" s="1101" t="s">
        <v>808</v>
      </c>
      <c r="I108" s="575"/>
    </row>
    <row r="109" spans="1:9">
      <c r="A109" s="1103" t="s">
        <v>770</v>
      </c>
      <c r="B109" s="1099"/>
      <c r="C109" s="1099">
        <v>-2664188</v>
      </c>
      <c r="D109" s="1099"/>
      <c r="E109" s="1099"/>
      <c r="F109" s="1099">
        <f>C109</f>
        <v>-2664188</v>
      </c>
      <c r="G109" s="1099"/>
      <c r="H109" s="1101" t="s">
        <v>809</v>
      </c>
      <c r="I109" s="575"/>
    </row>
    <row r="110" spans="1:9">
      <c r="A110" s="1103" t="s">
        <v>771</v>
      </c>
      <c r="B110" s="1099"/>
      <c r="C110" s="1099">
        <v>-307722005</v>
      </c>
      <c r="D110" s="1099">
        <f>C110</f>
        <v>-307722005</v>
      </c>
      <c r="E110" s="1099"/>
      <c r="F110" s="1099"/>
      <c r="G110" s="1099"/>
      <c r="H110" s="1100" t="s">
        <v>156</v>
      </c>
      <c r="I110" s="575"/>
    </row>
    <row r="111" spans="1:9" ht="25.5">
      <c r="A111" s="1103" t="s">
        <v>11</v>
      </c>
      <c r="B111" s="1099"/>
      <c r="C111" s="1099">
        <v>1242479</v>
      </c>
      <c r="D111" s="1099"/>
      <c r="E111" s="1099"/>
      <c r="F111" s="1099">
        <f t="shared" ref="F111:F116" si="2">C111</f>
        <v>1242479</v>
      </c>
      <c r="G111" s="1099"/>
      <c r="H111" s="1101" t="s">
        <v>810</v>
      </c>
      <c r="I111" s="575"/>
    </row>
    <row r="112" spans="1:9">
      <c r="A112" s="1103" t="s">
        <v>773</v>
      </c>
      <c r="B112" s="1099"/>
      <c r="C112" s="1099">
        <v>125024870</v>
      </c>
      <c r="D112" s="1099"/>
      <c r="E112" s="1099"/>
      <c r="F112" s="1099">
        <f t="shared" si="2"/>
        <v>125024870</v>
      </c>
      <c r="G112" s="1099"/>
      <c r="H112" s="1100" t="s">
        <v>182</v>
      </c>
      <c r="I112" s="575"/>
    </row>
    <row r="113" spans="1:11" ht="38.25">
      <c r="A113" s="1103" t="s">
        <v>772</v>
      </c>
      <c r="B113" s="1099"/>
      <c r="C113" s="1099">
        <v>-71966200</v>
      </c>
      <c r="D113" s="1099"/>
      <c r="E113" s="1099"/>
      <c r="F113" s="1099">
        <f t="shared" si="2"/>
        <v>-71966200</v>
      </c>
      <c r="G113" s="1099"/>
      <c r="H113" s="1100" t="s">
        <v>183</v>
      </c>
      <c r="I113" s="575"/>
    </row>
    <row r="114" spans="1:11" ht="25.5">
      <c r="A114" s="1103" t="s">
        <v>774</v>
      </c>
      <c r="B114" s="1099"/>
      <c r="C114" s="1147">
        <v>-296449464</v>
      </c>
      <c r="D114" s="1099"/>
      <c r="E114" s="1099"/>
      <c r="F114" s="1099">
        <f t="shared" si="2"/>
        <v>-296449464</v>
      </c>
      <c r="G114" s="1099"/>
      <c r="H114" s="1100" t="s">
        <v>161</v>
      </c>
      <c r="I114" s="575"/>
    </row>
    <row r="115" spans="1:11" ht="25.5">
      <c r="A115" s="1103" t="s">
        <v>775</v>
      </c>
      <c r="B115" s="1099"/>
      <c r="C115" s="1110">
        <v>259954338</v>
      </c>
      <c r="D115" s="1099"/>
      <c r="E115" s="1099"/>
      <c r="F115" s="1099">
        <f t="shared" si="2"/>
        <v>259954338</v>
      </c>
      <c r="G115" s="1099"/>
      <c r="H115" s="1101" t="s">
        <v>811</v>
      </c>
      <c r="I115" s="575"/>
    </row>
    <row r="116" spans="1:11" ht="25.5">
      <c r="A116" s="1103" t="s">
        <v>331</v>
      </c>
      <c r="B116" s="1111"/>
      <c r="C116" s="1099">
        <v>165185542</v>
      </c>
      <c r="D116" s="1108"/>
      <c r="E116" s="1099"/>
      <c r="F116" s="1099">
        <f t="shared" si="2"/>
        <v>165185542</v>
      </c>
      <c r="G116" s="1099"/>
      <c r="H116" s="1100" t="s">
        <v>157</v>
      </c>
      <c r="I116" s="575"/>
    </row>
    <row r="117" spans="1:11" ht="38.25">
      <c r="A117" s="1103" t="s">
        <v>158</v>
      </c>
      <c r="B117" s="1111"/>
      <c r="C117" s="1099">
        <v>16731215</v>
      </c>
      <c r="D117" s="1108">
        <f>C117</f>
        <v>16731215</v>
      </c>
      <c r="E117" s="1099"/>
      <c r="F117" s="1099"/>
      <c r="G117" s="1099"/>
      <c r="H117" s="1100" t="s">
        <v>162</v>
      </c>
      <c r="I117" s="575"/>
    </row>
    <row r="118" spans="1:11">
      <c r="A118" s="1103" t="s">
        <v>776</v>
      </c>
      <c r="B118" s="1099"/>
      <c r="C118" s="1107">
        <v>5087653</v>
      </c>
      <c r="D118" s="1099">
        <f>C118</f>
        <v>5087653</v>
      </c>
      <c r="E118" s="1099"/>
      <c r="F118" s="1099"/>
      <c r="G118" s="1099"/>
      <c r="H118" s="1100" t="s">
        <v>159</v>
      </c>
      <c r="I118" s="575"/>
    </row>
    <row r="119" spans="1:11">
      <c r="A119" s="1103" t="s">
        <v>0</v>
      </c>
      <c r="B119" s="1099"/>
      <c r="C119" s="1099">
        <v>-33374968</v>
      </c>
      <c r="D119" s="1099"/>
      <c r="E119" s="1099"/>
      <c r="F119" s="1099">
        <f>C119</f>
        <v>-33374968</v>
      </c>
      <c r="G119" s="1099"/>
      <c r="H119" s="1100" t="s">
        <v>160</v>
      </c>
      <c r="I119" s="575"/>
    </row>
    <row r="120" spans="1:11" ht="25.5">
      <c r="A120" s="1103" t="s">
        <v>1</v>
      </c>
      <c r="B120" s="1110"/>
      <c r="C120" s="1099">
        <v>-50581097</v>
      </c>
      <c r="D120" s="1099"/>
      <c r="E120" s="1099"/>
      <c r="F120" s="1099">
        <f>C120</f>
        <v>-50581097</v>
      </c>
      <c r="G120" s="1099"/>
      <c r="H120" s="1100" t="s">
        <v>163</v>
      </c>
      <c r="I120" s="575"/>
    </row>
    <row r="121" spans="1:11" ht="25.5">
      <c r="A121" s="1102" t="s">
        <v>780</v>
      </c>
      <c r="B121" s="1110"/>
      <c r="C121" s="1099">
        <v>-487947120</v>
      </c>
      <c r="D121" s="1099">
        <f>C121</f>
        <v>-487947120</v>
      </c>
      <c r="E121" s="1099"/>
      <c r="F121" s="1099"/>
      <c r="G121" s="1099"/>
      <c r="H121" s="1101" t="s">
        <v>823</v>
      </c>
      <c r="I121" s="575"/>
    </row>
    <row r="122" spans="1:11" ht="25.5">
      <c r="A122" s="1102" t="s">
        <v>795</v>
      </c>
      <c r="B122" s="1110"/>
      <c r="C122" s="1099">
        <v>-17599574</v>
      </c>
      <c r="D122" s="1099"/>
      <c r="E122" s="1099">
        <f>C122</f>
        <v>-17599574</v>
      </c>
      <c r="F122" s="1099"/>
      <c r="G122" s="1099"/>
      <c r="H122" s="1101" t="s">
        <v>824</v>
      </c>
      <c r="I122" s="575"/>
    </row>
    <row r="123" spans="1:11">
      <c r="A123" s="1102" t="s">
        <v>781</v>
      </c>
      <c r="B123" s="1110"/>
      <c r="C123" s="1099">
        <v>29651570</v>
      </c>
      <c r="D123" s="1099">
        <f>C123</f>
        <v>29651570</v>
      </c>
      <c r="E123" s="1099"/>
      <c r="F123" s="1099"/>
      <c r="G123" s="1099"/>
      <c r="H123" s="1105" t="s">
        <v>825</v>
      </c>
      <c r="I123" s="575"/>
    </row>
    <row r="124" spans="1:11" ht="76.5">
      <c r="A124" s="1102" t="s">
        <v>799</v>
      </c>
      <c r="B124" s="1110"/>
      <c r="C124" s="1099">
        <v>-66665026.010000229</v>
      </c>
      <c r="D124" s="1099">
        <f>C124</f>
        <v>-66665026.010000229</v>
      </c>
      <c r="E124" s="1099"/>
      <c r="F124" s="1099"/>
      <c r="G124" s="1099"/>
      <c r="H124" s="1100" t="s">
        <v>82</v>
      </c>
      <c r="I124" s="575"/>
      <c r="J124" s="775"/>
    </row>
    <row r="125" spans="1:11">
      <c r="A125" s="924"/>
      <c r="B125" s="925" t="s">
        <v>109</v>
      </c>
      <c r="C125" s="926">
        <f>SUBTOTAL(9,C107:C124)</f>
        <v>-815397686.01000023</v>
      </c>
      <c r="D125" s="721"/>
      <c r="E125" s="721"/>
      <c r="F125" s="721"/>
      <c r="G125" s="721"/>
      <c r="H125" s="722"/>
      <c r="I125" s="575"/>
    </row>
    <row r="126" spans="1:11">
      <c r="A126" s="720"/>
      <c r="B126" s="720"/>
      <c r="C126" s="721"/>
      <c r="D126" s="721"/>
      <c r="E126" s="721"/>
      <c r="F126" s="721"/>
      <c r="G126" s="721"/>
      <c r="H126" s="722"/>
      <c r="I126" s="735"/>
    </row>
    <row r="127" spans="1:11">
      <c r="A127" s="927" t="s">
        <v>502</v>
      </c>
      <c r="B127" s="1059"/>
      <c r="C127" s="814">
        <f>+C103+C104+C125</f>
        <v>-3832107908.0100002</v>
      </c>
      <c r="D127" s="814">
        <f>SUM(D103:D126)</f>
        <v>-867478406.01000023</v>
      </c>
      <c r="E127" s="814">
        <f>SUM(E103:E126)</f>
        <v>-17599574</v>
      </c>
      <c r="F127" s="814">
        <f>SUM(F103:F126)</f>
        <v>-2947029928</v>
      </c>
      <c r="G127" s="814">
        <f>SUM(G103:G126)</f>
        <v>0</v>
      </c>
      <c r="H127" s="737"/>
      <c r="I127" s="735"/>
      <c r="K127" s="1070"/>
    </row>
    <row r="128" spans="1:11" s="303" customFormat="1">
      <c r="A128" s="913" t="s">
        <v>417</v>
      </c>
      <c r="B128" s="1060"/>
      <c r="C128" s="902">
        <f>SUM(D128:G128)</f>
        <v>0</v>
      </c>
      <c r="D128" s="902"/>
      <c r="E128" s="902"/>
      <c r="F128" s="902"/>
      <c r="G128" s="902"/>
      <c r="H128" s="916"/>
      <c r="I128" s="728"/>
      <c r="K128" s="1071"/>
    </row>
    <row r="129" spans="1:9" s="303" customFormat="1">
      <c r="A129" s="917" t="s">
        <v>418</v>
      </c>
      <c r="B129" s="1061"/>
      <c r="C129" s="919">
        <f>SUM(D129:G129)</f>
        <v>0</v>
      </c>
      <c r="D129" s="919"/>
      <c r="E129" s="919"/>
      <c r="F129" s="919"/>
      <c r="G129" s="919"/>
      <c r="H129" s="916"/>
      <c r="I129" s="728"/>
    </row>
    <row r="130" spans="1:9" ht="13.5" thickBot="1">
      <c r="A130" s="1225" t="s">
        <v>576</v>
      </c>
      <c r="B130" s="1226"/>
      <c r="C130" s="744">
        <f>+C127-C128-C129</f>
        <v>-3832107908.0100002</v>
      </c>
      <c r="D130" s="744">
        <f>+D127-D128-D129</f>
        <v>-867478406.01000023</v>
      </c>
      <c r="E130" s="744">
        <f>+E127-E128-E129</f>
        <v>-17599574</v>
      </c>
      <c r="F130" s="744">
        <f>+F127-F128-F129</f>
        <v>-2947029928</v>
      </c>
      <c r="G130" s="744">
        <f>+G127-G128-G129</f>
        <v>0</v>
      </c>
      <c r="H130" s="694"/>
      <c r="I130" s="735"/>
    </row>
    <row r="131" spans="1:9" s="159" customFormat="1" ht="13.5" thickTop="1">
      <c r="A131" s="733"/>
      <c r="B131" s="738"/>
      <c r="C131" s="739"/>
      <c r="D131" s="735"/>
      <c r="E131" s="721"/>
      <c r="F131" s="720"/>
      <c r="G131" s="720"/>
      <c r="H131" s="722"/>
      <c r="I131" s="735"/>
    </row>
    <row r="132" spans="1:9" s="159" customFormat="1">
      <c r="A132" s="733"/>
      <c r="B132" s="738"/>
      <c r="C132" s="739"/>
      <c r="D132" s="735"/>
      <c r="E132" s="721"/>
      <c r="F132" s="720"/>
      <c r="G132" s="720"/>
      <c r="H132" s="722"/>
      <c r="I132" s="735"/>
    </row>
    <row r="133" spans="1:9" s="159" customFormat="1">
      <c r="A133" s="733"/>
      <c r="B133" s="823" t="s">
        <v>49</v>
      </c>
      <c r="C133" s="1062"/>
      <c r="D133" s="1062"/>
      <c r="E133" s="1062"/>
      <c r="F133" s="1069"/>
      <c r="G133" s="1065"/>
      <c r="H133" s="722"/>
      <c r="I133" s="735"/>
    </row>
    <row r="134" spans="1:9" s="159" customFormat="1">
      <c r="A134" s="733"/>
      <c r="B134" s="1213" t="s">
        <v>252</v>
      </c>
      <c r="C134" s="1214"/>
      <c r="D134" s="1214"/>
      <c r="E134" s="1214"/>
      <c r="F134" s="1214"/>
      <c r="G134" s="1215"/>
      <c r="H134" s="722"/>
      <c r="I134" s="735"/>
    </row>
    <row r="135" spans="1:9" s="159" customFormat="1">
      <c r="A135" s="733"/>
      <c r="B135" s="826" t="s">
        <v>253</v>
      </c>
      <c r="C135" s="1066"/>
      <c r="D135" s="1066"/>
      <c r="E135" s="1066"/>
      <c r="F135" s="1067"/>
      <c r="G135" s="1068"/>
      <c r="H135" s="722"/>
      <c r="I135" s="735"/>
    </row>
    <row r="136" spans="1:9" s="159" customFormat="1">
      <c r="A136" s="733"/>
      <c r="B136" s="826" t="s">
        <v>543</v>
      </c>
      <c r="C136" s="1066"/>
      <c r="D136" s="1066"/>
      <c r="E136" s="1066"/>
      <c r="F136" s="1067"/>
      <c r="G136" s="1068"/>
      <c r="H136" s="722"/>
      <c r="I136" s="735"/>
    </row>
    <row r="137" spans="1:9" s="159" customFormat="1">
      <c r="A137" s="733"/>
      <c r="B137" s="826" t="s">
        <v>544</v>
      </c>
      <c r="C137" s="1066"/>
      <c r="D137" s="1066"/>
      <c r="E137" s="1066"/>
      <c r="F137" s="1067"/>
      <c r="G137" s="1068"/>
      <c r="H137" s="722"/>
      <c r="I137" s="735"/>
    </row>
    <row r="138" spans="1:9" s="263" customFormat="1" ht="24.75" customHeight="1">
      <c r="A138" s="733"/>
      <c r="B138" s="1210" t="s">
        <v>705</v>
      </c>
      <c r="C138" s="1211"/>
      <c r="D138" s="1211"/>
      <c r="E138" s="1211"/>
      <c r="F138" s="1211"/>
      <c r="G138" s="1212"/>
      <c r="H138" s="735"/>
      <c r="I138" s="736"/>
    </row>
    <row r="139" spans="1:9" s="159" customFormat="1" ht="18">
      <c r="A139" s="730" t="str">
        <f>A1</f>
        <v>Commonwealth Edison Company</v>
      </c>
      <c r="B139" s="731"/>
      <c r="C139" s="732"/>
      <c r="D139" s="732"/>
      <c r="E139" s="732"/>
      <c r="F139" s="732"/>
      <c r="G139" s="732"/>
      <c r="H139" s="732"/>
      <c r="I139" s="735"/>
    </row>
    <row r="140" spans="1:9" s="263" customFormat="1" ht="18.75">
      <c r="A140" s="1231" t="s">
        <v>357</v>
      </c>
      <c r="B140" s="1231"/>
      <c r="C140" s="1231"/>
      <c r="D140" s="1231"/>
      <c r="E140" s="1231"/>
      <c r="F140" s="1231"/>
      <c r="G140" s="1231"/>
      <c r="H140" s="1231"/>
      <c r="I140" s="728"/>
    </row>
    <row r="141" spans="1:9" s="159" customFormat="1">
      <c r="A141" s="577"/>
      <c r="B141" s="582"/>
      <c r="C141" s="582"/>
      <c r="D141" s="582"/>
      <c r="E141" s="582"/>
      <c r="F141" s="582"/>
      <c r="G141" s="582"/>
      <c r="H141" s="582"/>
      <c r="I141" s="735"/>
    </row>
    <row r="142" spans="1:9" s="159" customFormat="1">
      <c r="A142" s="1219" t="s">
        <v>466</v>
      </c>
      <c r="B142" s="1219"/>
      <c r="C142" s="1090" t="s">
        <v>577</v>
      </c>
      <c r="D142" s="1090" t="s">
        <v>450</v>
      </c>
      <c r="E142" s="1090" t="s">
        <v>467</v>
      </c>
      <c r="F142" s="1090" t="s">
        <v>465</v>
      </c>
      <c r="G142" s="1090" t="s">
        <v>223</v>
      </c>
      <c r="H142" s="1090" t="s">
        <v>468</v>
      </c>
      <c r="I142" s="575"/>
    </row>
    <row r="143" spans="1:9" s="263" customFormat="1">
      <c r="A143" s="1220"/>
      <c r="B143" s="1220"/>
      <c r="C143" s="575"/>
      <c r="D143" s="724" t="s">
        <v>44</v>
      </c>
      <c r="E143" s="724" t="s">
        <v>46</v>
      </c>
      <c r="F143" s="724"/>
      <c r="G143" s="724"/>
      <c r="H143" s="575"/>
      <c r="I143" s="576"/>
    </row>
    <row r="144" spans="1:9" s="263" customFormat="1">
      <c r="A144" s="1220"/>
      <c r="B144" s="1220"/>
      <c r="C144" s="724"/>
      <c r="D144" s="724" t="s">
        <v>45</v>
      </c>
      <c r="E144" s="724" t="s">
        <v>35</v>
      </c>
      <c r="F144" s="724" t="s">
        <v>41</v>
      </c>
      <c r="G144" s="724" t="s">
        <v>43</v>
      </c>
      <c r="H144" s="575"/>
      <c r="I144" s="576"/>
    </row>
    <row r="145" spans="1:9" s="159" customFormat="1" ht="15">
      <c r="A145" s="1227" t="s">
        <v>38</v>
      </c>
      <c r="B145" s="1227"/>
      <c r="C145" s="725" t="s">
        <v>576</v>
      </c>
      <c r="D145" s="725" t="s">
        <v>42</v>
      </c>
      <c r="E145" s="725" t="s">
        <v>42</v>
      </c>
      <c r="F145" s="725" t="s">
        <v>42</v>
      </c>
      <c r="G145" s="725" t="s">
        <v>42</v>
      </c>
      <c r="H145" s="726" t="s">
        <v>441</v>
      </c>
      <c r="I145" s="575"/>
    </row>
    <row r="146" spans="1:9" s="159" customFormat="1">
      <c r="A146" s="577"/>
      <c r="B146" s="582"/>
      <c r="C146" s="582"/>
      <c r="D146" s="582"/>
      <c r="E146" s="582"/>
      <c r="F146" s="582"/>
      <c r="G146" s="582"/>
      <c r="H146" s="582"/>
      <c r="I146" s="735"/>
    </row>
    <row r="147" spans="1:9" ht="15.75">
      <c r="A147" s="912" t="s">
        <v>401</v>
      </c>
      <c r="B147" s="921"/>
      <c r="C147" s="721"/>
      <c r="D147" s="721"/>
      <c r="E147" s="721"/>
      <c r="F147" s="721"/>
      <c r="G147" s="721"/>
      <c r="H147" s="722"/>
      <c r="I147" s="575"/>
    </row>
    <row r="148" spans="1:9">
      <c r="A148" s="1103" t="s">
        <v>410</v>
      </c>
      <c r="B148" s="1103"/>
      <c r="C148" s="1099">
        <v>-11080967</v>
      </c>
      <c r="D148" s="1099">
        <f>C148</f>
        <v>-11080967</v>
      </c>
      <c r="E148" s="1099"/>
      <c r="F148" s="1099"/>
      <c r="G148" s="1099"/>
      <c r="H148" s="1100" t="s">
        <v>164</v>
      </c>
      <c r="I148" s="575"/>
    </row>
    <row r="149" spans="1:9" ht="63.75">
      <c r="A149" s="1102" t="s">
        <v>838</v>
      </c>
      <c r="B149" s="1103"/>
      <c r="C149" s="1099">
        <v>317699</v>
      </c>
      <c r="D149" s="1099"/>
      <c r="E149" s="1099"/>
      <c r="F149" s="1099"/>
      <c r="G149" s="1099">
        <f>C149</f>
        <v>317699</v>
      </c>
      <c r="H149" s="1101" t="s">
        <v>842</v>
      </c>
      <c r="I149" s="575"/>
    </row>
    <row r="150" spans="1:9" ht="38.25">
      <c r="A150" s="1103" t="s">
        <v>826</v>
      </c>
      <c r="B150" s="1103"/>
      <c r="C150" s="1099">
        <v>1350263</v>
      </c>
      <c r="D150" s="1099">
        <f>C150</f>
        <v>1350263</v>
      </c>
      <c r="E150" s="1099"/>
      <c r="F150" s="1099"/>
      <c r="G150" s="1099"/>
      <c r="H150" s="1101" t="s">
        <v>839</v>
      </c>
      <c r="I150" s="575"/>
    </row>
    <row r="151" spans="1:9">
      <c r="A151" s="924"/>
      <c r="B151" s="925" t="s">
        <v>109</v>
      </c>
      <c r="C151" s="814">
        <f>SUBTOTAL(9,C148:C150)</f>
        <v>-9413005</v>
      </c>
      <c r="D151" s="721"/>
      <c r="E151" s="721"/>
      <c r="F151" s="721"/>
      <c r="G151" s="721"/>
      <c r="H151" s="722"/>
      <c r="I151" s="575"/>
    </row>
    <row r="152" spans="1:9">
      <c r="A152" s="920"/>
      <c r="B152" s="920"/>
      <c r="C152" s="721"/>
      <c r="D152" s="721"/>
      <c r="E152" s="721"/>
      <c r="F152" s="721"/>
      <c r="G152" s="721"/>
      <c r="H152" s="722"/>
      <c r="I152" s="575"/>
    </row>
    <row r="153" spans="1:9" ht="15.75">
      <c r="A153" s="912" t="s">
        <v>402</v>
      </c>
      <c r="B153" s="733"/>
      <c r="C153" s="721"/>
      <c r="D153" s="721"/>
      <c r="E153" s="721"/>
      <c r="F153" s="721"/>
      <c r="G153" s="721"/>
      <c r="H153" s="722"/>
      <c r="I153" s="575"/>
    </row>
    <row r="154" spans="1:9">
      <c r="A154" s="1103" t="s">
        <v>2</v>
      </c>
      <c r="B154" s="1103"/>
      <c r="C154" s="1099">
        <v>-9664224</v>
      </c>
      <c r="D154" s="1099">
        <f>C154</f>
        <v>-9664224</v>
      </c>
      <c r="E154" s="1099"/>
      <c r="F154" s="1099"/>
      <c r="G154" s="1099"/>
      <c r="H154" s="1100" t="s">
        <v>165</v>
      </c>
      <c r="I154" s="575"/>
    </row>
    <row r="155" spans="1:9">
      <c r="A155" s="1103" t="s">
        <v>3</v>
      </c>
      <c r="B155" s="1103"/>
      <c r="C155" s="1099">
        <v>-4774319</v>
      </c>
      <c r="D155" s="1099"/>
      <c r="E155" s="1099"/>
      <c r="F155" s="1099">
        <f>C155</f>
        <v>-4774319</v>
      </c>
      <c r="G155" s="1099"/>
      <c r="H155" s="1100" t="s">
        <v>166</v>
      </c>
      <c r="I155" s="575"/>
    </row>
    <row r="156" spans="1:9" ht="38.25">
      <c r="A156" s="1103" t="s">
        <v>4</v>
      </c>
      <c r="B156" s="1103"/>
      <c r="C156" s="1099">
        <v>-3064132</v>
      </c>
      <c r="D156" s="1099">
        <f>C156</f>
        <v>-3064132</v>
      </c>
      <c r="E156" s="1099"/>
      <c r="F156" s="1099"/>
      <c r="G156" s="1099"/>
      <c r="H156" s="1100" t="s">
        <v>167</v>
      </c>
      <c r="I156" s="575"/>
    </row>
    <row r="157" spans="1:9" ht="25.5">
      <c r="A157" s="1103" t="s">
        <v>12</v>
      </c>
      <c r="B157" s="1103"/>
      <c r="C157" s="1099">
        <v>-19078691</v>
      </c>
      <c r="D157" s="1099">
        <f>C157</f>
        <v>-19078691</v>
      </c>
      <c r="E157" s="1099"/>
      <c r="F157" s="1099"/>
      <c r="G157" s="1099"/>
      <c r="H157" s="1100" t="s">
        <v>184</v>
      </c>
      <c r="I157" s="575"/>
    </row>
    <row r="158" spans="1:9" ht="38.25">
      <c r="A158" s="1103" t="s">
        <v>5</v>
      </c>
      <c r="B158" s="1103"/>
      <c r="C158" s="1099">
        <v>-10314119</v>
      </c>
      <c r="D158" s="1099">
        <f>C158</f>
        <v>-10314119</v>
      </c>
      <c r="E158" s="1099"/>
      <c r="F158" s="1099"/>
      <c r="G158" s="1099"/>
      <c r="H158" s="1101" t="s">
        <v>807</v>
      </c>
      <c r="I158" s="575"/>
    </row>
    <row r="159" spans="1:9" ht="25.5">
      <c r="A159" s="1103" t="s">
        <v>6</v>
      </c>
      <c r="B159" s="1103"/>
      <c r="C159" s="1099">
        <v>182831</v>
      </c>
      <c r="D159" s="1099"/>
      <c r="E159" s="1099"/>
      <c r="F159" s="1099">
        <f>C159</f>
        <v>182831</v>
      </c>
      <c r="G159" s="1099"/>
      <c r="H159" s="1100" t="s">
        <v>686</v>
      </c>
      <c r="I159" s="575"/>
    </row>
    <row r="160" spans="1:9" ht="38.25">
      <c r="A160" s="1102" t="s">
        <v>782</v>
      </c>
      <c r="B160" s="1111"/>
      <c r="C160" s="1099">
        <v>-259954338</v>
      </c>
      <c r="D160" s="1108"/>
      <c r="E160" s="1099"/>
      <c r="F160" s="1099"/>
      <c r="G160" s="1099">
        <f>C160</f>
        <v>-259954338</v>
      </c>
      <c r="H160" s="1101" t="s">
        <v>812</v>
      </c>
      <c r="I160" s="575"/>
    </row>
    <row r="161" spans="1:9" ht="25.5">
      <c r="A161" s="1103" t="s">
        <v>330</v>
      </c>
      <c r="B161" s="1111"/>
      <c r="C161" s="1107">
        <f>-50699902-360946830</f>
        <v>-411646732</v>
      </c>
      <c r="D161" s="1108">
        <f>C161</f>
        <v>-411646732</v>
      </c>
      <c r="E161" s="1099"/>
      <c r="F161" s="1099"/>
      <c r="G161" s="1099"/>
      <c r="H161" s="1100" t="s">
        <v>684</v>
      </c>
      <c r="I161" s="575"/>
    </row>
    <row r="162" spans="1:9" ht="38.25">
      <c r="A162" s="1103" t="s">
        <v>7</v>
      </c>
      <c r="B162" s="1103"/>
      <c r="C162" s="1107">
        <v>-707274</v>
      </c>
      <c r="D162" s="1099">
        <f>C162</f>
        <v>-707274</v>
      </c>
      <c r="E162" s="1099"/>
      <c r="F162" s="1099"/>
      <c r="G162" s="1099"/>
      <c r="H162" s="1101" t="s">
        <v>813</v>
      </c>
      <c r="I162" s="575"/>
    </row>
    <row r="163" spans="1:9" ht="25.5">
      <c r="A163" s="1103" t="s">
        <v>8</v>
      </c>
      <c r="B163" s="1103"/>
      <c r="C163" s="1107">
        <v>-4003455</v>
      </c>
      <c r="D163" s="1107"/>
      <c r="E163" s="1099"/>
      <c r="F163" s="1099">
        <f>C163</f>
        <v>-4003455</v>
      </c>
      <c r="G163" s="1099"/>
      <c r="H163" s="1101" t="s">
        <v>814</v>
      </c>
      <c r="I163" s="575"/>
    </row>
    <row r="164" spans="1:9" s="692" customFormat="1" ht="25.5">
      <c r="A164" s="1103" t="s">
        <v>107</v>
      </c>
      <c r="B164" s="1112"/>
      <c r="C164" s="1113">
        <v>-83228056</v>
      </c>
      <c r="D164" s="1113">
        <f t="shared" ref="D164:D174" si="3">C164</f>
        <v>-83228056</v>
      </c>
      <c r="E164" s="1114"/>
      <c r="F164" s="1114"/>
      <c r="G164" s="1114"/>
      <c r="H164" s="1100" t="s">
        <v>168</v>
      </c>
      <c r="I164" s="742"/>
    </row>
    <row r="165" spans="1:9" s="692" customFormat="1" ht="25.5">
      <c r="A165" s="1103" t="s">
        <v>106</v>
      </c>
      <c r="B165" s="1112"/>
      <c r="C165" s="1113">
        <v>-4715114</v>
      </c>
      <c r="D165" s="1113">
        <f t="shared" si="3"/>
        <v>-4715114</v>
      </c>
      <c r="E165" s="1114"/>
      <c r="F165" s="1114"/>
      <c r="G165" s="1114"/>
      <c r="H165" s="1100" t="s">
        <v>685</v>
      </c>
      <c r="I165" s="742"/>
    </row>
    <row r="166" spans="1:9" s="692" customFormat="1" ht="25.5">
      <c r="A166" s="1103" t="s">
        <v>658</v>
      </c>
      <c r="B166" s="1112"/>
      <c r="C166" s="1192">
        <f>-18118185.15+173960</f>
        <v>-17944225.149999999</v>
      </c>
      <c r="D166" s="1113">
        <f t="shared" si="3"/>
        <v>-17944225.149999999</v>
      </c>
      <c r="E166" s="1114"/>
      <c r="F166" s="1114"/>
      <c r="G166" s="1099"/>
      <c r="H166" s="1100" t="s">
        <v>659</v>
      </c>
      <c r="I166" s="742"/>
    </row>
    <row r="167" spans="1:9" s="692" customFormat="1">
      <c r="A167" s="1102" t="s">
        <v>783</v>
      </c>
      <c r="B167" s="1112"/>
      <c r="C167" s="1113">
        <v>-19042932</v>
      </c>
      <c r="D167" s="1113">
        <f t="shared" si="3"/>
        <v>-19042932</v>
      </c>
      <c r="E167" s="1114"/>
      <c r="F167" s="1114"/>
      <c r="G167" s="1099"/>
      <c r="H167" s="1100" t="s">
        <v>185</v>
      </c>
      <c r="I167" s="742"/>
    </row>
    <row r="168" spans="1:9" s="692" customFormat="1" ht="25.5">
      <c r="A168" s="1103" t="s">
        <v>83</v>
      </c>
      <c r="B168" s="1112"/>
      <c r="C168" s="1113">
        <v>-4433199</v>
      </c>
      <c r="D168" s="1113">
        <f t="shared" si="3"/>
        <v>-4433199</v>
      </c>
      <c r="E168" s="1114"/>
      <c r="F168" s="1114"/>
      <c r="G168" s="1099"/>
      <c r="H168" s="1100" t="s">
        <v>660</v>
      </c>
      <c r="I168" s="742"/>
    </row>
    <row r="169" spans="1:9">
      <c r="A169" s="1102" t="s">
        <v>797</v>
      </c>
      <c r="B169" s="1103"/>
      <c r="C169" s="1099">
        <v>-1673881</v>
      </c>
      <c r="D169" s="1099">
        <f t="shared" si="3"/>
        <v>-1673881</v>
      </c>
      <c r="E169" s="1099"/>
      <c r="F169" s="1099"/>
      <c r="G169" s="1099"/>
      <c r="H169" s="1101" t="s">
        <v>830</v>
      </c>
      <c r="I169" s="575"/>
    </row>
    <row r="170" spans="1:9">
      <c r="A170" s="1102" t="s">
        <v>798</v>
      </c>
      <c r="B170" s="1103"/>
      <c r="C170" s="1099">
        <v>-8920</v>
      </c>
      <c r="D170" s="1099">
        <f t="shared" ref="D170" si="4">C170</f>
        <v>-8920</v>
      </c>
      <c r="E170" s="1099"/>
      <c r="F170" s="1099"/>
      <c r="G170" s="1099"/>
      <c r="H170" s="1101" t="s">
        <v>830</v>
      </c>
      <c r="I170" s="575"/>
    </row>
    <row r="171" spans="1:9" ht="25.5">
      <c r="A171" s="1102" t="s">
        <v>787</v>
      </c>
      <c r="B171" s="1103"/>
      <c r="C171" s="1099">
        <v>0</v>
      </c>
      <c r="D171" s="1099">
        <f t="shared" si="3"/>
        <v>0</v>
      </c>
      <c r="E171" s="1099"/>
      <c r="F171" s="1099"/>
      <c r="G171" s="1099"/>
      <c r="H171" s="1101" t="s">
        <v>169</v>
      </c>
      <c r="I171" s="575"/>
    </row>
    <row r="172" spans="1:9" ht="25.5">
      <c r="A172" s="1102" t="s">
        <v>784</v>
      </c>
      <c r="B172" s="1103"/>
      <c r="C172" s="1099">
        <v>-164937068</v>
      </c>
      <c r="D172" s="1099">
        <f t="shared" ref="D172" si="5">C172</f>
        <v>-164937068</v>
      </c>
      <c r="E172" s="1099"/>
      <c r="F172" s="1099"/>
      <c r="G172" s="1099"/>
      <c r="H172" s="1101" t="s">
        <v>831</v>
      </c>
      <c r="I172" s="575"/>
    </row>
    <row r="173" spans="1:9">
      <c r="A173" s="1102" t="s">
        <v>785</v>
      </c>
      <c r="B173" s="1103"/>
      <c r="C173" s="1099">
        <v>-22465423</v>
      </c>
      <c r="D173" s="1099">
        <f t="shared" ref="D173" si="6">C173</f>
        <v>-22465423</v>
      </c>
      <c r="E173" s="1099"/>
      <c r="F173" s="1099"/>
      <c r="G173" s="1099"/>
      <c r="H173" s="1101" t="s">
        <v>832</v>
      </c>
      <c r="I173" s="575"/>
    </row>
    <row r="174" spans="1:9" ht="25.5">
      <c r="A174" s="1102" t="s">
        <v>786</v>
      </c>
      <c r="B174" s="1103"/>
      <c r="C174" s="1099">
        <v>-12810498</v>
      </c>
      <c r="D174" s="1099">
        <f t="shared" si="3"/>
        <v>-12810498</v>
      </c>
      <c r="E174" s="1099"/>
      <c r="F174" s="1099"/>
      <c r="G174" s="1099"/>
      <c r="H174" s="1101" t="s">
        <v>833</v>
      </c>
      <c r="I174" s="575"/>
    </row>
    <row r="175" spans="1:9">
      <c r="A175" s="1102" t="s">
        <v>827</v>
      </c>
      <c r="B175" s="1122"/>
      <c r="C175" s="1123">
        <v>-14109492</v>
      </c>
      <c r="D175" s="1123">
        <v>-2665804</v>
      </c>
      <c r="E175" s="1124"/>
      <c r="F175" s="1124"/>
      <c r="G175" s="1124"/>
      <c r="H175" s="1101" t="s">
        <v>840</v>
      </c>
      <c r="I175" s="575"/>
    </row>
    <row r="176" spans="1:9" ht="25.5">
      <c r="A176" s="1102" t="s">
        <v>828</v>
      </c>
      <c r="B176" s="1103"/>
      <c r="C176" s="1099">
        <v>-7796849</v>
      </c>
      <c r="D176" s="1099">
        <f>C176</f>
        <v>-7796849</v>
      </c>
      <c r="E176" s="1099"/>
      <c r="F176" s="1099"/>
      <c r="G176" s="1099"/>
      <c r="H176" s="1101" t="s">
        <v>841</v>
      </c>
      <c r="I176" s="575"/>
    </row>
    <row r="177" spans="1:11" ht="38.25">
      <c r="A177" s="1102" t="s">
        <v>829</v>
      </c>
      <c r="B177" s="1103"/>
      <c r="C177" s="1099">
        <v>2343613</v>
      </c>
      <c r="D177" s="1099">
        <f>C177</f>
        <v>2343613</v>
      </c>
      <c r="E177" s="1099"/>
      <c r="F177" s="1099"/>
      <c r="G177" s="1099"/>
      <c r="H177" s="1101" t="s">
        <v>839</v>
      </c>
      <c r="I177" s="575"/>
    </row>
    <row r="178" spans="1:11">
      <c r="A178" s="924"/>
      <c r="B178" s="925" t="s">
        <v>109</v>
      </c>
      <c r="C178" s="814">
        <f>SUBTOTAL(9,C154:C177)</f>
        <v>-1073846497.1500001</v>
      </c>
      <c r="D178" s="721"/>
      <c r="E178" s="721"/>
      <c r="F178" s="721"/>
      <c r="G178" s="721"/>
      <c r="H178" s="722"/>
      <c r="I178" s="575"/>
    </row>
    <row r="179" spans="1:11">
      <c r="A179" s="733"/>
      <c r="B179" s="735"/>
      <c r="C179" s="735"/>
      <c r="D179" s="735"/>
      <c r="E179" s="735"/>
      <c r="F179" s="735"/>
      <c r="G179" s="735"/>
      <c r="H179" s="722"/>
      <c r="I179" s="735"/>
    </row>
    <row r="180" spans="1:11">
      <c r="A180" s="927" t="s">
        <v>503</v>
      </c>
      <c r="B180" s="822"/>
      <c r="C180" s="814">
        <f>+C151+C178</f>
        <v>-1083259502.1500001</v>
      </c>
      <c r="D180" s="814">
        <f>SUM(D148:D179)</f>
        <v>-803584232.14999998</v>
      </c>
      <c r="E180" s="814">
        <f>SUM(E148:E179)</f>
        <v>0</v>
      </c>
      <c r="F180" s="814">
        <f>SUM(F148:F179)</f>
        <v>-8594943</v>
      </c>
      <c r="G180" s="814">
        <f>SUM(G148:G179)</f>
        <v>-259636639</v>
      </c>
      <c r="H180" s="722"/>
      <c r="I180" s="735"/>
      <c r="K180" s="1070"/>
    </row>
    <row r="181" spans="1:11">
      <c r="A181" s="913" t="s">
        <v>417</v>
      </c>
      <c r="B181" s="914"/>
      <c r="C181" s="922"/>
      <c r="D181" s="922"/>
      <c r="E181" s="922"/>
      <c r="F181" s="922">
        <f>C181</f>
        <v>0</v>
      </c>
      <c r="G181" s="922"/>
      <c r="H181" s="910"/>
      <c r="I181" s="735"/>
      <c r="K181" s="1071"/>
    </row>
    <row r="182" spans="1:11">
      <c r="A182" s="917" t="s">
        <v>418</v>
      </c>
      <c r="B182" s="918"/>
      <c r="C182" s="923">
        <f>SUM(D182:G182)</f>
        <v>0</v>
      </c>
      <c r="D182" s="923"/>
      <c r="E182" s="923"/>
      <c r="F182" s="923"/>
      <c r="G182" s="923"/>
      <c r="H182" s="910"/>
      <c r="I182" s="735"/>
    </row>
    <row r="183" spans="1:11" s="159" customFormat="1" ht="13.5" thickBot="1">
      <c r="A183" s="1225" t="s">
        <v>576</v>
      </c>
      <c r="B183" s="1226"/>
      <c r="C183" s="743">
        <f>+C180-C181-C182</f>
        <v>-1083259502.1500001</v>
      </c>
      <c r="D183" s="743">
        <f>+D180-D181-D182</f>
        <v>-803584232.14999998</v>
      </c>
      <c r="E183" s="743">
        <f>+E180-E181-E182</f>
        <v>0</v>
      </c>
      <c r="F183" s="743">
        <f>+F180-F181-F182</f>
        <v>-8594943</v>
      </c>
      <c r="G183" s="743">
        <f>+G180-G181-G182</f>
        <v>-259636639</v>
      </c>
      <c r="H183" s="694"/>
      <c r="I183" s="735"/>
    </row>
    <row r="184" spans="1:11" s="159" customFormat="1" ht="13.5" thickTop="1">
      <c r="A184" s="733"/>
      <c r="B184" s="738"/>
      <c r="C184" s="739"/>
      <c r="D184" s="721"/>
      <c r="E184" s="721"/>
      <c r="F184" s="721"/>
      <c r="G184" s="721"/>
      <c r="H184" s="722"/>
      <c r="I184" s="735"/>
    </row>
    <row r="185" spans="1:11" s="159" customFormat="1">
      <c r="A185" s="733"/>
      <c r="B185" s="738"/>
      <c r="C185" s="739"/>
      <c r="D185" s="721"/>
      <c r="E185" s="721"/>
      <c r="F185" s="721"/>
      <c r="G185" s="721"/>
      <c r="H185" s="722"/>
      <c r="I185" s="735"/>
    </row>
    <row r="186" spans="1:11" s="159" customFormat="1">
      <c r="A186" s="733"/>
      <c r="B186" s="823" t="s">
        <v>48</v>
      </c>
      <c r="C186" s="824"/>
      <c r="D186" s="824"/>
      <c r="E186" s="824"/>
      <c r="F186" s="830"/>
      <c r="G186" s="825"/>
      <c r="H186" s="734"/>
      <c r="I186" s="735"/>
    </row>
    <row r="187" spans="1:11" s="159" customFormat="1">
      <c r="A187" s="733"/>
      <c r="B187" s="1222" t="s">
        <v>252</v>
      </c>
      <c r="C187" s="1223"/>
      <c r="D187" s="1223"/>
      <c r="E187" s="1223"/>
      <c r="F187" s="1223"/>
      <c r="G187" s="1224"/>
      <c r="H187" s="722"/>
      <c r="I187" s="735"/>
    </row>
    <row r="188" spans="1:11" s="159" customFormat="1">
      <c r="A188" s="733"/>
      <c r="B188" s="826" t="s">
        <v>253</v>
      </c>
      <c r="C188" s="827"/>
      <c r="D188" s="827"/>
      <c r="E188" s="827"/>
      <c r="F188" s="828"/>
      <c r="G188" s="829"/>
      <c r="H188" s="734"/>
      <c r="I188" s="735"/>
    </row>
    <row r="189" spans="1:11" s="159" customFormat="1">
      <c r="A189" s="733"/>
      <c r="B189" s="826" t="s">
        <v>543</v>
      </c>
      <c r="C189" s="827"/>
      <c r="D189" s="827"/>
      <c r="E189" s="827"/>
      <c r="F189" s="828"/>
      <c r="G189" s="829"/>
      <c r="H189" s="722"/>
      <c r="I189" s="735"/>
    </row>
    <row r="190" spans="1:11" s="263" customFormat="1">
      <c r="A190" s="733"/>
      <c r="B190" s="826" t="s">
        <v>544</v>
      </c>
      <c r="C190" s="827"/>
      <c r="D190" s="827"/>
      <c r="E190" s="827"/>
      <c r="F190" s="827"/>
      <c r="G190" s="831"/>
      <c r="H190" s="736"/>
      <c r="I190" s="728"/>
    </row>
    <row r="191" spans="1:11" s="159" customFormat="1" ht="25.5" customHeight="1">
      <c r="A191" s="729"/>
      <c r="B191" s="1210" t="str">
        <f>+B138</f>
        <v>5. Deferred income taxes arise when items are included in taxable income in different periods than they are included in rates, therefore if the item giving rise to the ADIT is not included in the formula, the associated ADIT amount shall be excluded.</v>
      </c>
      <c r="C191" s="1211"/>
      <c r="D191" s="1211"/>
      <c r="E191" s="1211"/>
      <c r="F191" s="1211"/>
      <c r="G191" s="1212"/>
      <c r="H191" s="722"/>
      <c r="I191" s="735"/>
    </row>
    <row r="192" spans="1:11" s="159" customFormat="1">
      <c r="A192" s="957"/>
      <c r="B192" s="959"/>
      <c r="C192" s="959"/>
      <c r="D192" s="960"/>
      <c r="E192" s="960"/>
      <c r="F192" s="959"/>
      <c r="G192" s="959"/>
      <c r="H192" s="959"/>
      <c r="I192" s="958"/>
    </row>
    <row r="193" spans="1:9" s="159" customFormat="1">
      <c r="A193" s="272"/>
      <c r="B193" s="272"/>
      <c r="C193" s="272"/>
      <c r="D193" s="564"/>
      <c r="E193" s="564"/>
      <c r="F193" s="272"/>
      <c r="G193" s="272"/>
      <c r="H193" s="272"/>
      <c r="I193" s="272"/>
    </row>
  </sheetData>
  <mergeCells count="31">
    <mergeCell ref="A143:B143"/>
    <mergeCell ref="A142:B142"/>
    <mergeCell ref="A30:B30"/>
    <mergeCell ref="A28:B28"/>
    <mergeCell ref="A29:B29"/>
    <mergeCell ref="A130:B130"/>
    <mergeCell ref="A85:B85"/>
    <mergeCell ref="A99:B99"/>
    <mergeCell ref="A100:B100"/>
    <mergeCell ref="A140:H140"/>
    <mergeCell ref="A47:B47"/>
    <mergeCell ref="A72:B72"/>
    <mergeCell ref="B187:G187"/>
    <mergeCell ref="B191:G191"/>
    <mergeCell ref="A183:B183"/>
    <mergeCell ref="A144:B144"/>
    <mergeCell ref="A145:B145"/>
    <mergeCell ref="A1:H1"/>
    <mergeCell ref="B93:G93"/>
    <mergeCell ref="B89:G89"/>
    <mergeCell ref="B138:G138"/>
    <mergeCell ref="B134:G134"/>
    <mergeCell ref="A94:H94"/>
    <mergeCell ref="A102:C102"/>
    <mergeCell ref="A105:B105"/>
    <mergeCell ref="A2:H2"/>
    <mergeCell ref="A6:B6"/>
    <mergeCell ref="A97:B97"/>
    <mergeCell ref="A98:B98"/>
    <mergeCell ref="A32:B32"/>
    <mergeCell ref="A95:H95"/>
  </mergeCells>
  <phoneticPr fontId="0" type="noConversion"/>
  <printOptions horizontalCentered="1"/>
  <pageMargins left="0.25" right="0.25" top="0.55000000000000004" bottom="0.4" header="0.25" footer="0.25"/>
  <pageSetup scale="59" fitToHeight="0" orientation="landscape" r:id="rId1"/>
  <headerFooter>
    <oddHeader>&amp;R&amp;14ATTACHMENT H-13A
Page &amp;P of &amp;N</oddHeader>
  </headerFooter>
  <rowBreaks count="2" manualBreakCount="2">
    <brk id="138" max="8" man="1"/>
    <brk id="175" max="8" man="1"/>
  </rowBreaks>
</worksheet>
</file>

<file path=xl/worksheets/sheet3.xml><?xml version="1.0" encoding="utf-8"?>
<worksheet xmlns="http://schemas.openxmlformats.org/spreadsheetml/2006/main" xmlns:r="http://schemas.openxmlformats.org/officeDocument/2006/relationships">
  <sheetPr codeName="Sheet4">
    <pageSetUpPr fitToPage="1"/>
  </sheetPr>
  <dimension ref="A1:G64"/>
  <sheetViews>
    <sheetView zoomScale="80" workbookViewId="0">
      <selection activeCell="E45" sqref="E45"/>
    </sheetView>
  </sheetViews>
  <sheetFormatPr defaultRowHeight="12.75"/>
  <cols>
    <col min="1" max="2" width="4.7109375" style="303" customWidth="1"/>
    <col min="3" max="3" width="59.85546875" style="303" customWidth="1"/>
    <col min="4" max="4" width="3.140625" style="303" customWidth="1"/>
    <col min="5" max="5" width="15.140625" style="695" customWidth="1"/>
    <col min="6" max="6" width="15.28515625" style="303" customWidth="1"/>
    <col min="7" max="7" width="15.42578125" style="303" customWidth="1"/>
    <col min="8" max="16384" width="9.140625" style="303"/>
  </cols>
  <sheetData>
    <row r="1" spans="1:7" s="703" customFormat="1" ht="15.75">
      <c r="A1" s="1234" t="str">
        <f>+'Appendix A'!A3</f>
        <v>Commonwealth Edison Company</v>
      </c>
      <c r="B1" s="1234"/>
      <c r="C1" s="1234"/>
      <c r="D1" s="1234"/>
      <c r="E1" s="1234"/>
      <c r="F1" s="1234"/>
      <c r="G1" s="1234"/>
    </row>
    <row r="2" spans="1:7" s="703" customFormat="1" ht="15.75">
      <c r="A2" s="1"/>
      <c r="B2" s="39"/>
      <c r="C2" s="174"/>
      <c r="D2" s="472"/>
      <c r="E2" s="995"/>
      <c r="F2" s="472"/>
      <c r="G2" s="996"/>
    </row>
    <row r="3" spans="1:7" s="703" customFormat="1" ht="15.75">
      <c r="A3" s="1234" t="s">
        <v>358</v>
      </c>
      <c r="B3" s="1235"/>
      <c r="C3" s="1235"/>
      <c r="D3" s="1235"/>
      <c r="E3" s="1235"/>
      <c r="F3" s="1236"/>
      <c r="G3" s="1236"/>
    </row>
    <row r="4" spans="1:7" ht="16.5" customHeight="1"/>
    <row r="5" spans="1:7" ht="16.5" customHeight="1"/>
    <row r="6" spans="1:7" s="703" customFormat="1" ht="15">
      <c r="D6" s="707"/>
      <c r="E6" s="707" t="s">
        <v>52</v>
      </c>
      <c r="F6" s="707"/>
      <c r="G6" s="707" t="s">
        <v>60</v>
      </c>
    </row>
    <row r="7" spans="1:7" s="703" customFormat="1" ht="15">
      <c r="A7" s="706" t="s">
        <v>472</v>
      </c>
      <c r="B7" s="706"/>
      <c r="D7" s="707"/>
      <c r="E7" s="707" t="s">
        <v>53</v>
      </c>
      <c r="F7" s="707" t="s">
        <v>603</v>
      </c>
      <c r="G7" s="707" t="s">
        <v>61</v>
      </c>
    </row>
    <row r="8" spans="1:7" s="246" customFormat="1">
      <c r="A8" s="315"/>
      <c r="B8" s="315"/>
      <c r="D8" s="254"/>
      <c r="E8" s="254"/>
      <c r="F8" s="254"/>
      <c r="G8" s="254"/>
    </row>
    <row r="9" spans="1:7" s="703" customFormat="1" ht="15">
      <c r="A9" s="705"/>
      <c r="B9" s="706" t="s">
        <v>51</v>
      </c>
      <c r="D9" s="707"/>
      <c r="E9" s="708"/>
      <c r="F9" s="709" t="s">
        <v>569</v>
      </c>
      <c r="G9" s="707"/>
    </row>
    <row r="10" spans="1:7">
      <c r="A10" s="490">
        <v>1</v>
      </c>
      <c r="C10" s="263" t="s">
        <v>633</v>
      </c>
      <c r="D10" s="997"/>
      <c r="E10" s="1148">
        <f>-481747+24121060</f>
        <v>23639313</v>
      </c>
      <c r="F10" s="998"/>
      <c r="G10" s="263"/>
    </row>
    <row r="11" spans="1:7">
      <c r="A11" s="490">
        <v>2</v>
      </c>
      <c r="B11" s="695"/>
      <c r="C11" s="263" t="s">
        <v>725</v>
      </c>
      <c r="D11" s="997"/>
      <c r="E11" s="1148">
        <v>820956</v>
      </c>
      <c r="F11" s="998"/>
      <c r="G11" s="263"/>
    </row>
    <row r="12" spans="1:7">
      <c r="A12" s="490">
        <v>3</v>
      </c>
      <c r="C12" s="263" t="s">
        <v>723</v>
      </c>
      <c r="D12" s="263"/>
      <c r="E12" s="1148">
        <v>20147</v>
      </c>
      <c r="F12" s="998"/>
      <c r="G12" s="263"/>
    </row>
    <row r="13" spans="1:7">
      <c r="A13" s="490">
        <v>4</v>
      </c>
      <c r="C13" s="263" t="s">
        <v>731</v>
      </c>
      <c r="D13" s="263"/>
      <c r="E13" s="1148">
        <f>1017918+1129187</f>
        <v>2147105</v>
      </c>
      <c r="F13" s="998"/>
      <c r="G13" s="263"/>
    </row>
    <row r="14" spans="1:7">
      <c r="A14" s="490">
        <v>5</v>
      </c>
      <c r="C14" s="263" t="s">
        <v>728</v>
      </c>
      <c r="D14" s="263"/>
      <c r="E14" s="1148">
        <v>22863</v>
      </c>
      <c r="F14" s="998"/>
    </row>
    <row r="15" spans="1:7">
      <c r="A15" s="490">
        <v>6</v>
      </c>
      <c r="C15" s="997" t="s">
        <v>729</v>
      </c>
      <c r="D15" s="263"/>
      <c r="E15" s="1148">
        <v>0</v>
      </c>
    </row>
    <row r="16" spans="1:7">
      <c r="A16" s="490">
        <v>7</v>
      </c>
      <c r="C16" s="263" t="s">
        <v>327</v>
      </c>
      <c r="D16" s="997"/>
      <c r="E16" s="1149">
        <v>0</v>
      </c>
      <c r="F16" s="998"/>
      <c r="G16" s="1002"/>
    </row>
    <row r="17" spans="1:7" s="703" customFormat="1" ht="15">
      <c r="A17" s="705">
        <v>8</v>
      </c>
      <c r="B17" s="706" t="s">
        <v>56</v>
      </c>
      <c r="D17" s="710"/>
      <c r="E17" s="713">
        <f>SUM(E10:E16)</f>
        <v>26650384</v>
      </c>
      <c r="F17" s="1042">
        <f>'Appendix A'!H$30</f>
        <v>0.23105095344995236</v>
      </c>
      <c r="G17" s="713">
        <f>+E17*F17</f>
        <v>6157596.633007355</v>
      </c>
    </row>
    <row r="18" spans="1:7">
      <c r="A18" s="490"/>
      <c r="D18" s="999"/>
      <c r="E18" s="1000"/>
      <c r="F18" s="999"/>
      <c r="G18" s="999"/>
    </row>
    <row r="19" spans="1:7">
      <c r="A19" s="490"/>
      <c r="D19" s="999"/>
      <c r="E19" s="1000"/>
      <c r="F19" s="999"/>
      <c r="G19" s="999"/>
    </row>
    <row r="20" spans="1:7" s="703" customFormat="1" ht="15">
      <c r="A20" s="705"/>
      <c r="B20" s="706" t="s">
        <v>54</v>
      </c>
      <c r="D20" s="710"/>
      <c r="E20" s="711"/>
      <c r="F20" s="712" t="s">
        <v>586</v>
      </c>
      <c r="G20" s="710"/>
    </row>
    <row r="21" spans="1:7">
      <c r="A21" s="490">
        <v>9</v>
      </c>
      <c r="C21" s="263" t="s">
        <v>721</v>
      </c>
      <c r="D21" s="1001"/>
      <c r="E21" s="1150">
        <f>225609+470554</f>
        <v>696163</v>
      </c>
      <c r="F21" s="1001"/>
      <c r="G21" s="1001"/>
    </row>
    <row r="22" spans="1:7">
      <c r="A22" s="490">
        <v>10</v>
      </c>
      <c r="C22" s="263" t="s">
        <v>526</v>
      </c>
      <c r="E22" s="1148">
        <v>25790000</v>
      </c>
    </row>
    <row r="23" spans="1:7">
      <c r="A23" s="490">
        <v>11</v>
      </c>
      <c r="C23" s="263" t="s">
        <v>722</v>
      </c>
      <c r="E23" s="1148">
        <v>29782</v>
      </c>
    </row>
    <row r="24" spans="1:7">
      <c r="A24" s="490">
        <v>12</v>
      </c>
      <c r="C24" s="263"/>
      <c r="E24" s="1151" t="s">
        <v>216</v>
      </c>
    </row>
    <row r="25" spans="1:7">
      <c r="A25" s="490">
        <v>13</v>
      </c>
      <c r="C25" s="263"/>
      <c r="E25" s="1152"/>
      <c r="G25" s="1002"/>
    </row>
    <row r="26" spans="1:7" s="703" customFormat="1" ht="15">
      <c r="A26" s="705">
        <v>14</v>
      </c>
      <c r="B26" s="706" t="s">
        <v>57</v>
      </c>
      <c r="E26" s="713">
        <f>SUM(E21:E25)</f>
        <v>26515945</v>
      </c>
      <c r="F26" s="1043">
        <f>'Appendix A'!H15</f>
        <v>0.11348808706465031</v>
      </c>
      <c r="G26" s="713">
        <f>+F26*E26</f>
        <v>3009243.874761479</v>
      </c>
    </row>
    <row r="27" spans="1:7" s="246" customFormat="1">
      <c r="A27" s="490"/>
      <c r="B27" s="315"/>
      <c r="C27" s="701"/>
      <c r="E27" s="700"/>
      <c r="F27" s="159"/>
    </row>
    <row r="28" spans="1:7" s="246" customFormat="1">
      <c r="A28" s="484"/>
      <c r="B28" s="315"/>
      <c r="C28" s="701"/>
      <c r="E28" s="700"/>
      <c r="F28" s="159"/>
    </row>
    <row r="29" spans="1:7" s="703" customFormat="1" ht="15">
      <c r="A29" s="705"/>
      <c r="B29" s="706" t="s">
        <v>55</v>
      </c>
      <c r="E29" s="704"/>
      <c r="F29" s="709" t="s">
        <v>569</v>
      </c>
    </row>
    <row r="30" spans="1:7">
      <c r="A30" s="490">
        <v>15</v>
      </c>
      <c r="C30" s="1003"/>
      <c r="E30" s="1151"/>
    </row>
    <row r="31" spans="1:7">
      <c r="A31" s="490">
        <v>16</v>
      </c>
      <c r="C31" s="263"/>
      <c r="E31" s="1148"/>
    </row>
    <row r="32" spans="1:7">
      <c r="A32" s="490">
        <v>17</v>
      </c>
      <c r="C32" s="263"/>
      <c r="E32" s="1151"/>
    </row>
    <row r="33" spans="1:7">
      <c r="A33" s="490">
        <v>18</v>
      </c>
      <c r="C33" s="263"/>
      <c r="E33" s="1152"/>
      <c r="G33" s="1002"/>
    </row>
    <row r="34" spans="1:7" s="703" customFormat="1" ht="15">
      <c r="A34" s="705">
        <v>19</v>
      </c>
      <c r="B34" s="706" t="s">
        <v>58</v>
      </c>
      <c r="E34" s="713">
        <f>SUM(E30:E33)</f>
        <v>0</v>
      </c>
      <c r="F34" s="1043">
        <f>'Appendix A'!H30</f>
        <v>0.23105095344995236</v>
      </c>
      <c r="G34" s="713">
        <f>+F34*E34</f>
        <v>0</v>
      </c>
    </row>
    <row r="35" spans="1:7">
      <c r="A35" s="490"/>
    </row>
    <row r="36" spans="1:7" s="703" customFormat="1" ht="15">
      <c r="A36" s="705">
        <v>20</v>
      </c>
      <c r="B36" s="706" t="s">
        <v>532</v>
      </c>
      <c r="E36" s="714">
        <f>E17+E26+E34</f>
        <v>53166329</v>
      </c>
      <c r="G36" s="713">
        <f>+G34+G26+G17</f>
        <v>9166840.507768834</v>
      </c>
    </row>
    <row r="37" spans="1:7">
      <c r="A37" s="490"/>
      <c r="C37" s="573"/>
    </row>
    <row r="38" spans="1:7" s="703" customFormat="1" ht="15">
      <c r="A38" s="705"/>
      <c r="B38" s="706" t="s">
        <v>59</v>
      </c>
      <c r="E38" s="704"/>
    </row>
    <row r="39" spans="1:7">
      <c r="A39" s="490">
        <v>21</v>
      </c>
      <c r="C39" s="1155" t="s">
        <v>724</v>
      </c>
      <c r="D39" s="1155"/>
      <c r="E39" s="1148"/>
      <c r="F39" s="263"/>
      <c r="G39" s="263"/>
    </row>
    <row r="40" spans="1:7">
      <c r="A40" s="490">
        <v>22</v>
      </c>
      <c r="C40" s="1155" t="s">
        <v>68</v>
      </c>
      <c r="D40" s="1155"/>
      <c r="E40" s="1148">
        <v>41694243</v>
      </c>
      <c r="F40" s="263"/>
      <c r="G40" s="263"/>
    </row>
    <row r="41" spans="1:7">
      <c r="A41" s="490">
        <v>23</v>
      </c>
      <c r="C41" s="1155" t="s">
        <v>67</v>
      </c>
      <c r="D41" s="1155"/>
      <c r="E41" s="1148">
        <v>4342545</v>
      </c>
      <c r="G41" s="263"/>
    </row>
    <row r="42" spans="1:7">
      <c r="A42" s="490">
        <v>24</v>
      </c>
      <c r="C42" s="1156" t="s">
        <v>726</v>
      </c>
      <c r="D42" s="1155"/>
      <c r="E42" s="1148">
        <f>1061638+103896534</f>
        <v>104958172</v>
      </c>
    </row>
    <row r="43" spans="1:7">
      <c r="A43" s="301">
        <v>25</v>
      </c>
      <c r="C43" s="1155" t="s">
        <v>727</v>
      </c>
      <c r="D43" s="1156"/>
      <c r="E43" s="1148">
        <v>90337162</v>
      </c>
    </row>
    <row r="44" spans="1:7">
      <c r="A44" s="301">
        <v>26</v>
      </c>
      <c r="C44" s="1155" t="s">
        <v>190</v>
      </c>
      <c r="D44" s="1156"/>
      <c r="E44" s="1148">
        <v>1507</v>
      </c>
    </row>
    <row r="45" spans="1:7">
      <c r="A45" s="301">
        <v>27</v>
      </c>
      <c r="C45" s="1155" t="s">
        <v>730</v>
      </c>
      <c r="D45" s="1155"/>
      <c r="E45" s="1153">
        <f>11277+3816686</f>
        <v>3827963</v>
      </c>
    </row>
    <row r="46" spans="1:7" s="246" customFormat="1">
      <c r="A46" s="490">
        <v>28</v>
      </c>
      <c r="B46" s="303"/>
      <c r="C46" s="271" t="s">
        <v>531</v>
      </c>
      <c r="D46" s="159"/>
      <c r="E46" s="697">
        <f>SUM(E39:E45)</f>
        <v>245161592</v>
      </c>
    </row>
    <row r="47" spans="1:7" s="246" customFormat="1">
      <c r="A47" s="484"/>
      <c r="C47" s="159"/>
      <c r="D47" s="159"/>
      <c r="E47" s="697"/>
    </row>
    <row r="48" spans="1:7" s="703" customFormat="1" ht="15">
      <c r="A48" s="705">
        <v>29</v>
      </c>
      <c r="B48" s="715" t="s">
        <v>706</v>
      </c>
      <c r="C48" s="381"/>
      <c r="D48" s="716"/>
      <c r="E48" s="717">
        <f>E46+E36</f>
        <v>298327921</v>
      </c>
    </row>
    <row r="49" spans="1:7">
      <c r="A49" s="490"/>
      <c r="B49" s="263"/>
      <c r="C49" s="599"/>
      <c r="D49" s="263"/>
      <c r="E49" s="1004"/>
      <c r="F49" s="263"/>
    </row>
    <row r="50" spans="1:7" s="703" customFormat="1" ht="15">
      <c r="A50" s="705">
        <v>30</v>
      </c>
      <c r="B50" s="715" t="s">
        <v>533</v>
      </c>
      <c r="C50" s="381"/>
      <c r="D50" s="718"/>
      <c r="E50" s="1154">
        <v>298327921</v>
      </c>
      <c r="F50" s="719"/>
      <c r="G50" s="719"/>
    </row>
    <row r="51" spans="1:7">
      <c r="B51" s="263"/>
      <c r="C51" s="693"/>
      <c r="D51" s="693"/>
      <c r="E51" s="702"/>
      <c r="F51" s="698"/>
      <c r="G51" s="698"/>
    </row>
    <row r="52" spans="1:7">
      <c r="A52" s="490">
        <v>31</v>
      </c>
      <c r="B52" s="263"/>
      <c r="C52" s="693" t="s">
        <v>714</v>
      </c>
      <c r="D52" s="693"/>
      <c r="E52" s="699">
        <f>+E48-E50</f>
        <v>0</v>
      </c>
      <c r="F52" s="698"/>
      <c r="G52" s="698"/>
    </row>
    <row r="53" spans="1:7">
      <c r="B53" s="263"/>
      <c r="C53" s="693"/>
      <c r="D53" s="693"/>
      <c r="E53" s="699"/>
      <c r="F53" s="698"/>
      <c r="G53" s="698"/>
    </row>
    <row r="54" spans="1:7">
      <c r="B54" s="263"/>
      <c r="C54" s="693"/>
      <c r="D54" s="693"/>
      <c r="E54" s="699"/>
      <c r="F54" s="698"/>
      <c r="G54" s="698"/>
    </row>
    <row r="55" spans="1:7">
      <c r="B55" s="768" t="s">
        <v>585</v>
      </c>
      <c r="C55" s="263"/>
      <c r="D55" s="263"/>
      <c r="E55" s="696"/>
      <c r="F55" s="263"/>
      <c r="G55" s="263"/>
    </row>
    <row r="56" spans="1:7">
      <c r="B56" s="263" t="s">
        <v>466</v>
      </c>
      <c r="C56" s="263" t="s">
        <v>428</v>
      </c>
      <c r="D56" s="263"/>
      <c r="E56" s="696"/>
      <c r="F56" s="263"/>
      <c r="G56" s="263"/>
    </row>
    <row r="57" spans="1:7">
      <c r="B57" s="263"/>
      <c r="C57" s="1005" t="s">
        <v>23</v>
      </c>
      <c r="D57" s="263"/>
      <c r="E57" s="696"/>
      <c r="F57" s="263"/>
      <c r="G57" s="263"/>
    </row>
    <row r="58" spans="1:7">
      <c r="B58" s="263" t="s">
        <v>577</v>
      </c>
      <c r="C58" s="263" t="s">
        <v>429</v>
      </c>
      <c r="D58" s="263"/>
      <c r="E58" s="696"/>
      <c r="F58" s="263"/>
      <c r="G58" s="263"/>
    </row>
    <row r="59" spans="1:7">
      <c r="B59" s="263"/>
      <c r="C59" s="1005" t="s">
        <v>23</v>
      </c>
      <c r="D59" s="263"/>
      <c r="E59" s="696"/>
      <c r="F59" s="263"/>
      <c r="G59" s="263"/>
    </row>
    <row r="60" spans="1:7">
      <c r="B60" s="263" t="s">
        <v>450</v>
      </c>
      <c r="C60" s="263" t="s">
        <v>22</v>
      </c>
      <c r="D60" s="263"/>
      <c r="E60" s="696"/>
      <c r="F60" s="263"/>
      <c r="G60" s="263"/>
    </row>
    <row r="61" spans="1:7">
      <c r="B61" s="263" t="s">
        <v>467</v>
      </c>
      <c r="C61" s="1005" t="s">
        <v>628</v>
      </c>
      <c r="D61" s="263"/>
      <c r="E61" s="696"/>
      <c r="F61" s="263"/>
      <c r="G61" s="263"/>
    </row>
    <row r="62" spans="1:7">
      <c r="B62" s="263"/>
      <c r="C62" s="263" t="s">
        <v>629</v>
      </c>
      <c r="D62" s="263"/>
      <c r="E62" s="696"/>
      <c r="F62" s="263"/>
      <c r="G62" s="263"/>
    </row>
    <row r="63" spans="1:7">
      <c r="B63" s="263"/>
      <c r="C63" s="263" t="s">
        <v>646</v>
      </c>
    </row>
    <row r="64" spans="1:7">
      <c r="B64" s="263" t="s">
        <v>465</v>
      </c>
      <c r="C64" s="263" t="s">
        <v>649</v>
      </c>
    </row>
  </sheetData>
  <customSheetViews>
    <customSheetView guid="{DC91DEF3-837B-4BB9-A81E-3B78C5914E6C}" scale="75" showPageBreaks="1" fitToPage="1" showRuler="0" topLeftCell="A37">
      <selection activeCell="B71" sqref="B71:C74"/>
      <pageMargins left="0.75" right="0.75" top="1" bottom="1" header="0.5" footer="0.5"/>
      <pageSetup scale="71" orientation="portrait" r:id="rId1"/>
      <headerFooter alignWithMargins="0">
        <oddHeader>&amp;R&amp;12Page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2"/>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3"/>
      <headerFooter alignWithMargins="0">
        <oddHeader>&amp;R&amp;14Page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4"/>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5"/>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6"/>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7"/>
      <headerFooter alignWithMargins="0">
        <oddHeader>&amp;R&amp;12Page &amp;P of &amp;N</oddHeader>
      </headerFooter>
    </customSheetView>
    <customSheetView guid="{3A38DF7A-C35E-4DD3-9893-26310A3EF836}" scale="75" showPageBreaks="1" fitToPage="1" showRuler="0" topLeftCell="A19">
      <selection activeCell="G41" sqref="G41"/>
      <pageMargins left="0.75" right="0.75" top="1" bottom="1" header="0.5" footer="0.5"/>
      <pageSetup scale="74" orientation="portrait" r:id="rId8"/>
      <headerFooter alignWithMargins="0">
        <oddHeader>&amp;R&amp;12Page &amp;P of &amp;N</oddHeader>
      </headerFooter>
    </customSheetView>
  </customSheetViews>
  <mergeCells count="2">
    <mergeCell ref="A1:G1"/>
    <mergeCell ref="A3:G3"/>
  </mergeCells>
  <phoneticPr fontId="0" type="noConversion"/>
  <pageMargins left="0.75" right="0.75" top="1" bottom="1" header="0.5" footer="0.5"/>
  <pageSetup scale="76" orientation="portrait" r:id="rId9"/>
  <headerFooter alignWithMargins="0">
    <oddHeader>&amp;R&amp;12ATTACHMENT H-13A
Page &amp;P of &amp;N</oddHeader>
  </headerFooter>
</worksheet>
</file>

<file path=xl/worksheets/sheet4.xml><?xml version="1.0" encoding="utf-8"?>
<worksheet xmlns="http://schemas.openxmlformats.org/spreadsheetml/2006/main" xmlns:r="http://schemas.openxmlformats.org/officeDocument/2006/relationships">
  <sheetPr codeName="Sheet5">
    <pageSetUpPr fitToPage="1"/>
  </sheetPr>
  <dimension ref="A1:BW40"/>
  <sheetViews>
    <sheetView zoomScale="80" zoomScaleNormal="75" workbookViewId="0">
      <selection activeCell="B45" sqref="B45"/>
    </sheetView>
  </sheetViews>
  <sheetFormatPr defaultRowHeight="12.75"/>
  <cols>
    <col min="1" max="1" width="4.140625" style="1009" customWidth="1"/>
    <col min="2" max="2" width="84.7109375" style="976" customWidth="1"/>
    <col min="3" max="3" width="16.28515625" style="976" bestFit="1" customWidth="1"/>
    <col min="4" max="4" width="14" style="1010" bestFit="1" customWidth="1"/>
    <col min="5" max="5" width="15" style="976" bestFit="1" customWidth="1"/>
    <col min="6" max="6" width="10.85546875" style="976" bestFit="1" customWidth="1"/>
    <col min="7" max="16384" width="9.140625" style="976"/>
  </cols>
  <sheetData>
    <row r="1" spans="1:75" ht="18">
      <c r="A1" s="1199" t="str">
        <f>+'Appendix A'!A3</f>
        <v>Commonwealth Edison Company</v>
      </c>
      <c r="B1" s="1199"/>
      <c r="C1" s="1199"/>
      <c r="D1" s="1199"/>
    </row>
    <row r="2" spans="1:75" ht="20.25">
      <c r="A2" s="1006"/>
      <c r="B2" s="1007"/>
      <c r="C2" s="1008"/>
      <c r="D2" s="953"/>
      <c r="E2" s="159"/>
      <c r="F2" s="159"/>
      <c r="G2" s="159"/>
      <c r="H2" s="159"/>
      <c r="I2" s="159"/>
      <c r="J2" s="1008"/>
      <c r="K2" s="1008"/>
      <c r="L2" s="1008"/>
      <c r="M2" s="1008"/>
      <c r="N2" s="1008"/>
      <c r="O2" s="1008"/>
      <c r="P2" s="1008"/>
      <c r="Q2" s="1008"/>
      <c r="R2" s="1008"/>
      <c r="S2" s="1008"/>
      <c r="T2" s="1008"/>
    </row>
    <row r="3" spans="1:75" ht="15">
      <c r="A3" s="1237" t="s">
        <v>359</v>
      </c>
      <c r="B3" s="1238"/>
      <c r="C3" s="1238"/>
      <c r="D3" s="1238"/>
    </row>
    <row r="4" spans="1:75">
      <c r="B4" s="246"/>
      <c r="C4" s="1009"/>
      <c r="E4" s="1009"/>
    </row>
    <row r="5" spans="1:75">
      <c r="B5" s="246"/>
      <c r="C5" s="1009"/>
      <c r="E5" s="1009"/>
    </row>
    <row r="6" spans="1:75">
      <c r="B6" s="315" t="s">
        <v>653</v>
      </c>
      <c r="C6" s="1009"/>
      <c r="D6" s="895"/>
      <c r="E6" s="1009"/>
    </row>
    <row r="7" spans="1:75">
      <c r="A7" s="1009">
        <v>1</v>
      </c>
      <c r="B7" s="246" t="s">
        <v>652</v>
      </c>
      <c r="C7" s="1009"/>
      <c r="D7" s="1157">
        <v>2563000</v>
      </c>
      <c r="E7" s="1009"/>
    </row>
    <row r="8" spans="1:75">
      <c r="B8" s="1011"/>
      <c r="C8" s="1009"/>
      <c r="D8" s="1158">
        <v>0</v>
      </c>
      <c r="E8" s="1009"/>
    </row>
    <row r="9" spans="1:75">
      <c r="B9" s="243" t="s">
        <v>355</v>
      </c>
      <c r="D9" s="1125"/>
    </row>
    <row r="10" spans="1:75">
      <c r="A10" s="1009">
        <v>2</v>
      </c>
      <c r="B10" s="1012" t="s">
        <v>667</v>
      </c>
      <c r="C10" s="245"/>
      <c r="D10" s="1159">
        <v>10672000</v>
      </c>
      <c r="E10" s="1008"/>
      <c r="F10" s="1013"/>
      <c r="G10" s="1014"/>
    </row>
    <row r="11" spans="1:75">
      <c r="B11" s="1015"/>
      <c r="C11" s="1015"/>
      <c r="D11" s="1125"/>
      <c r="G11" s="1016"/>
    </row>
    <row r="12" spans="1:75" s="1019" customFormat="1">
      <c r="A12" s="1017"/>
      <c r="B12" s="356" t="s">
        <v>246</v>
      </c>
      <c r="C12" s="1015"/>
      <c r="D12" s="1126"/>
      <c r="E12" s="1008"/>
      <c r="F12" s="1008"/>
      <c r="G12" s="101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row>
    <row r="13" spans="1:75" s="1019" customFormat="1">
      <c r="A13" s="1017">
        <v>3</v>
      </c>
      <c r="B13" s="245" t="s">
        <v>742</v>
      </c>
      <c r="C13" s="1015"/>
      <c r="D13" s="1160">
        <v>189000</v>
      </c>
      <c r="E13" s="1008"/>
      <c r="F13" s="1008"/>
      <c r="G13" s="101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row>
    <row r="14" spans="1:75">
      <c r="A14" s="1017"/>
      <c r="B14" s="1020"/>
      <c r="C14" s="1021"/>
      <c r="D14" s="1125"/>
      <c r="F14" s="1008"/>
      <c r="G14" s="1022"/>
      <c r="H14" s="1008"/>
    </row>
    <row r="15" spans="1:75">
      <c r="A15" s="1017">
        <f>A13+1</f>
        <v>4</v>
      </c>
      <c r="B15" s="1023" t="s">
        <v>471</v>
      </c>
      <c r="C15" s="1014"/>
      <c r="D15" s="1158">
        <v>23716000</v>
      </c>
      <c r="E15" s="1008"/>
      <c r="F15" s="271"/>
      <c r="G15" s="1024"/>
      <c r="H15" s="1008"/>
    </row>
    <row r="16" spans="1:75" ht="38.25">
      <c r="A16" s="1025">
        <f t="shared" ref="A16:A22" si="0">+A15+1</f>
        <v>5</v>
      </c>
      <c r="B16" s="1014" t="s">
        <v>743</v>
      </c>
      <c r="C16" s="1014"/>
      <c r="D16" s="1158"/>
      <c r="E16" s="1008"/>
      <c r="F16" s="1008"/>
      <c r="G16" s="1024"/>
      <c r="H16" s="1008"/>
      <c r="I16" s="1008"/>
      <c r="J16" s="1008"/>
    </row>
    <row r="17" spans="1:28">
      <c r="A17" s="1017">
        <f t="shared" si="0"/>
        <v>6</v>
      </c>
      <c r="B17" s="1016" t="s">
        <v>25</v>
      </c>
      <c r="C17" s="1014"/>
      <c r="D17" s="1158">
        <v>0</v>
      </c>
      <c r="G17" s="1024"/>
      <c r="H17" s="1008"/>
      <c r="I17" s="1008"/>
      <c r="J17" s="1008"/>
    </row>
    <row r="18" spans="1:28">
      <c r="A18" s="1009">
        <f t="shared" si="0"/>
        <v>7</v>
      </c>
      <c r="B18" s="1016" t="s">
        <v>247</v>
      </c>
      <c r="C18" s="1021"/>
      <c r="D18" s="1158"/>
      <c r="E18" s="1008"/>
      <c r="F18" s="1008"/>
      <c r="G18" s="1022"/>
      <c r="H18" s="1008"/>
      <c r="I18" s="1008"/>
      <c r="J18" s="1008"/>
    </row>
    <row r="19" spans="1:28">
      <c r="A19" s="1009">
        <f t="shared" si="0"/>
        <v>8</v>
      </c>
      <c r="B19" s="1016" t="s">
        <v>248</v>
      </c>
      <c r="C19" s="1014"/>
      <c r="D19" s="1158"/>
      <c r="E19" s="1008"/>
      <c r="F19" s="159"/>
      <c r="G19" s="1024"/>
      <c r="H19" s="1008"/>
      <c r="I19" s="1008"/>
      <c r="J19" s="1008"/>
    </row>
    <row r="20" spans="1:28">
      <c r="A20" s="1009">
        <f t="shared" si="0"/>
        <v>9</v>
      </c>
      <c r="B20" s="1015" t="s">
        <v>665</v>
      </c>
      <c r="C20" s="245"/>
      <c r="D20" s="1158"/>
      <c r="E20" s="1008"/>
      <c r="G20" s="1010"/>
    </row>
    <row r="21" spans="1:28">
      <c r="A21" s="1009">
        <f t="shared" si="0"/>
        <v>10</v>
      </c>
      <c r="B21" s="1015" t="s">
        <v>249</v>
      </c>
      <c r="C21" s="159"/>
      <c r="D21" s="1158">
        <v>0</v>
      </c>
    </row>
    <row r="22" spans="1:28">
      <c r="A22" s="1009">
        <f t="shared" si="0"/>
        <v>11</v>
      </c>
      <c r="B22" s="1015" t="s">
        <v>666</v>
      </c>
      <c r="C22" s="159"/>
      <c r="D22" s="1158">
        <v>0</v>
      </c>
      <c r="E22" s="1008"/>
    </row>
    <row r="23" spans="1:28">
      <c r="B23" s="1016"/>
      <c r="C23" s="159"/>
      <c r="D23" s="1158"/>
      <c r="E23" s="1008"/>
    </row>
    <row r="24" spans="1:28" ht="13.5" thickBot="1">
      <c r="A24" s="1009">
        <f>+A22+1</f>
        <v>12</v>
      </c>
      <c r="B24" s="1016" t="s">
        <v>430</v>
      </c>
      <c r="C24" s="246" t="s">
        <v>654</v>
      </c>
      <c r="D24" s="1161">
        <f>SUM(D7:D22)</f>
        <v>37140000</v>
      </c>
      <c r="E24" s="1008"/>
      <c r="F24" s="1008"/>
      <c r="G24" s="1008"/>
      <c r="H24" s="1008"/>
      <c r="I24" s="1008"/>
      <c r="J24" s="1008"/>
      <c r="K24" s="1008"/>
      <c r="L24" s="1008"/>
      <c r="M24" s="1008"/>
      <c r="N24" s="1008"/>
      <c r="O24" s="1008"/>
      <c r="P24" s="1008"/>
      <c r="Q24" s="1008"/>
      <c r="R24" s="1008"/>
      <c r="S24" s="1008"/>
      <c r="T24" s="1008"/>
      <c r="U24" s="1008"/>
      <c r="V24" s="1008"/>
      <c r="W24" s="1008"/>
      <c r="X24" s="1008"/>
      <c r="Y24" s="1008"/>
      <c r="Z24" s="1008"/>
      <c r="AA24" s="1008"/>
      <c r="AB24" s="1008"/>
    </row>
    <row r="25" spans="1:28" ht="13.5" thickTop="1">
      <c r="A25" s="302"/>
      <c r="B25" s="304"/>
      <c r="C25" s="303"/>
      <c r="D25" s="305"/>
      <c r="E25" s="1008"/>
    </row>
    <row r="26" spans="1:28">
      <c r="A26" s="302">
        <v>13</v>
      </c>
      <c r="B26" s="159" t="s">
        <v>121</v>
      </c>
      <c r="C26" s="159"/>
      <c r="D26" s="253"/>
      <c r="E26" s="1008"/>
    </row>
    <row r="27" spans="1:28">
      <c r="A27" s="302"/>
      <c r="B27" s="159"/>
      <c r="C27" s="159"/>
      <c r="D27" s="253"/>
      <c r="E27" s="1008"/>
    </row>
    <row r="28" spans="1:28">
      <c r="A28" s="302">
        <v>14</v>
      </c>
      <c r="B28" s="159" t="s">
        <v>443</v>
      </c>
      <c r="C28" s="159"/>
      <c r="D28" s="253"/>
      <c r="E28" s="1008"/>
    </row>
    <row r="29" spans="1:28">
      <c r="A29" s="302"/>
      <c r="B29" s="159"/>
      <c r="C29" s="246"/>
      <c r="D29" s="253"/>
      <c r="E29" s="1008"/>
    </row>
    <row r="30" spans="1:28" ht="50.25" customHeight="1">
      <c r="A30" s="306">
        <v>15</v>
      </c>
      <c r="B30" s="298" t="s">
        <v>495</v>
      </c>
      <c r="C30" s="246"/>
      <c r="D30" s="253"/>
      <c r="E30" s="377"/>
    </row>
    <row r="31" spans="1:28">
      <c r="A31" s="306"/>
      <c r="B31" s="245"/>
      <c r="C31" s="246"/>
      <c r="D31" s="253"/>
      <c r="E31" s="1008"/>
    </row>
    <row r="32" spans="1:28" ht="49.5" customHeight="1">
      <c r="A32" s="306">
        <v>16</v>
      </c>
      <c r="B32" s="298" t="s">
        <v>24</v>
      </c>
      <c r="C32" s="315"/>
      <c r="D32" s="896"/>
      <c r="E32" s="377"/>
    </row>
    <row r="33" spans="1:7">
      <c r="A33" s="306"/>
      <c r="B33" s="159"/>
      <c r="C33" s="246"/>
      <c r="D33" s="895"/>
      <c r="E33" s="1008"/>
      <c r="F33" s="1008"/>
      <c r="G33" s="1008"/>
    </row>
    <row r="34" spans="1:7" ht="61.5" customHeight="1">
      <c r="A34" s="306">
        <v>17</v>
      </c>
      <c r="B34" s="298" t="s">
        <v>664</v>
      </c>
      <c r="C34" s="307"/>
      <c r="D34" s="262"/>
      <c r="E34" s="377"/>
    </row>
    <row r="35" spans="1:7">
      <c r="A35" s="1017"/>
      <c r="B35" s="1008"/>
      <c r="D35" s="1018"/>
      <c r="E35" s="1008"/>
    </row>
    <row r="36" spans="1:7">
      <c r="A36" s="1017"/>
      <c r="B36" s="1008"/>
      <c r="D36" s="1018"/>
      <c r="E36" s="159"/>
    </row>
    <row r="37" spans="1:7">
      <c r="D37" s="1026"/>
      <c r="E37" s="1009"/>
    </row>
    <row r="38" spans="1:7">
      <c r="C38" s="159"/>
      <c r="D38" s="299"/>
      <c r="E38" s="253"/>
      <c r="F38" s="246"/>
      <c r="G38" s="246"/>
    </row>
    <row r="39" spans="1:7">
      <c r="D39" s="1018"/>
    </row>
    <row r="40" spans="1:7">
      <c r="D40" s="1018"/>
    </row>
  </sheetData>
  <customSheetViews>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1"/>
      <headerFooter alignWithMargins="0">
        <oddHeader>&amp;R&amp;12Page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2"/>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3"/>
      <headerFooter alignWithMargins="0">
        <oddHeader>&amp;R&amp;14Page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4"/>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5"/>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6"/>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7"/>
      <headerFooter alignWithMargins="0">
        <oddHeader>&amp;R&amp;12Page &amp;P of &amp;N</oddHeader>
      </headerFooter>
    </customSheetView>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8"/>
      <headerFooter alignWithMargins="0">
        <oddHeader>&amp;R&amp;12Page &amp;P of &amp;N</oddHeader>
      </headerFooter>
    </customSheetView>
  </customSheetViews>
  <mergeCells count="2">
    <mergeCell ref="A3:D3"/>
    <mergeCell ref="A1:D1"/>
  </mergeCells>
  <phoneticPr fontId="0" type="noConversion"/>
  <printOptions horizontalCentered="1"/>
  <pageMargins left="0.5" right="0.5" top="1" bottom="1" header="0.5" footer="0.5"/>
  <pageSetup scale="80" orientation="portrait" r:id="rId9"/>
  <headerFooter alignWithMargins="0">
    <oddHeader xml:space="preserve">&amp;R&amp;12ATTACHMENT H-13A
Page &amp;P of &amp;N  </oddHeader>
  </headerFooter>
</worksheet>
</file>

<file path=xl/worksheets/sheet5.xml><?xml version="1.0" encoding="utf-8"?>
<worksheet xmlns="http://schemas.openxmlformats.org/spreadsheetml/2006/main" xmlns:r="http://schemas.openxmlformats.org/officeDocument/2006/relationships">
  <sheetPr codeName="Sheet6">
    <pageSetUpPr fitToPage="1"/>
  </sheetPr>
  <dimension ref="A1:L2251"/>
  <sheetViews>
    <sheetView topLeftCell="A30" zoomScale="60" workbookViewId="0">
      <selection activeCell="K45" sqref="K45"/>
    </sheetView>
  </sheetViews>
  <sheetFormatPr defaultRowHeight="12.75"/>
  <cols>
    <col min="1" max="1" width="9.28515625" bestFit="1" customWidth="1"/>
    <col min="2" max="2" width="3" customWidth="1"/>
    <col min="3" max="3" width="8.140625" customWidth="1"/>
    <col min="4" max="4" width="38.7109375" customWidth="1"/>
    <col min="5" max="5" width="28.7109375" customWidth="1"/>
    <col min="6" max="6" width="34.28515625" bestFit="1" customWidth="1"/>
    <col min="7" max="7" width="37.140625" bestFit="1" customWidth="1"/>
    <col min="8" max="8" width="3.85546875" customWidth="1"/>
    <col min="9" max="9" width="18" customWidth="1"/>
  </cols>
  <sheetData>
    <row r="1" spans="1:10" ht="18">
      <c r="A1" s="1199" t="str">
        <f>+'Appendix A'!A3</f>
        <v>Commonwealth Edison Company</v>
      </c>
      <c r="B1" s="1199"/>
      <c r="C1" s="1199"/>
      <c r="D1" s="1199"/>
      <c r="E1" s="1199"/>
      <c r="F1" s="1199"/>
      <c r="G1" s="1199"/>
      <c r="H1" s="1239"/>
      <c r="I1" s="1239"/>
    </row>
    <row r="2" spans="1:10" ht="18">
      <c r="A2" s="1240" t="s">
        <v>264</v>
      </c>
      <c r="B2" s="1240"/>
      <c r="C2" s="1240"/>
      <c r="D2" s="1240"/>
      <c r="E2" s="1240"/>
      <c r="F2" s="1240"/>
      <c r="G2" s="1240"/>
      <c r="H2" s="1239"/>
      <c r="I2" s="1239"/>
    </row>
    <row r="3" spans="1:10" s="39" customFormat="1" ht="15">
      <c r="B3" s="165"/>
    </row>
    <row r="4" spans="1:10" s="39" customFormat="1" ht="15"/>
    <row r="5" spans="1:10" s="39" customFormat="1" ht="15"/>
    <row r="6" spans="1:10" s="39" customFormat="1" ht="15">
      <c r="C6" s="39" t="s">
        <v>255</v>
      </c>
    </row>
    <row r="7" spans="1:10" s="39" customFormat="1" ht="15">
      <c r="A7" s="77" t="s">
        <v>466</v>
      </c>
      <c r="B7" s="77"/>
      <c r="D7" s="39" t="s">
        <v>256</v>
      </c>
      <c r="G7" s="35" t="str">
        <f>"Line "&amp;A54&amp;" + Line "&amp;A76&amp;" from below"</f>
        <v>Line 30 + Line 42 from below</v>
      </c>
      <c r="I7" s="126">
        <f>+I54+I76</f>
        <v>328891723.04536271</v>
      </c>
    </row>
    <row r="8" spans="1:10" s="39" customFormat="1" ht="15">
      <c r="A8" s="77"/>
      <c r="B8" s="77"/>
      <c r="G8" s="44"/>
    </row>
    <row r="9" spans="1:10" s="39" customFormat="1" ht="15">
      <c r="A9" s="77" t="s">
        <v>577</v>
      </c>
      <c r="B9" s="77"/>
      <c r="D9" s="39" t="str">
        <f>I9*10000&amp;" Basis Point increase in ROE"</f>
        <v>100 Basis Point increase in ROE</v>
      </c>
      <c r="I9" s="177">
        <v>0.01</v>
      </c>
    </row>
    <row r="10" spans="1:10" s="44" customFormat="1" ht="15">
      <c r="A10" s="77"/>
      <c r="B10" s="77"/>
      <c r="C10" s="39"/>
      <c r="D10" s="39"/>
      <c r="E10" s="39"/>
      <c r="F10" s="39"/>
      <c r="G10" s="39"/>
      <c r="H10" s="39"/>
    </row>
    <row r="11" spans="1:10" s="44" customFormat="1" ht="15.75">
      <c r="A11" s="233" t="s">
        <v>340</v>
      </c>
      <c r="B11" s="108"/>
      <c r="C11" s="108"/>
      <c r="D11" s="108"/>
      <c r="E11" s="108"/>
      <c r="F11" s="108"/>
      <c r="G11" s="108"/>
      <c r="H11" s="108"/>
      <c r="I11" s="108"/>
    </row>
    <row r="12" spans="1:10" s="44" customFormat="1" ht="15.75">
      <c r="A12" s="276"/>
      <c r="G12" s="277" t="s">
        <v>540</v>
      </c>
    </row>
    <row r="13" spans="1:10" s="39" customFormat="1" ht="15">
      <c r="A13" s="44"/>
      <c r="D13" s="44"/>
      <c r="E13" s="44"/>
      <c r="F13" s="44"/>
      <c r="G13" s="44"/>
      <c r="H13" s="44"/>
      <c r="I13" s="275"/>
      <c r="J13" s="44"/>
    </row>
    <row r="14" spans="1:10" s="39" customFormat="1" ht="15.75">
      <c r="A14" s="78">
        <v>1</v>
      </c>
      <c r="C14" s="367" t="str">
        <f>+'Appendix A'!B100</f>
        <v>Rate Base</v>
      </c>
      <c r="D14" s="54"/>
      <c r="E14" s="44"/>
      <c r="F14" s="54"/>
      <c r="G14" s="54" t="str">
        <f>+'Appendix A'!F100</f>
        <v>(Line 41 + Line 54)</v>
      </c>
      <c r="H14" s="54"/>
      <c r="I14" s="265">
        <f>+'Appendix A'!H100</f>
        <v>2358496277.0594425</v>
      </c>
      <c r="J14" s="44"/>
    </row>
    <row r="15" spans="1:10" s="39" customFormat="1" ht="15">
      <c r="A15" s="44"/>
      <c r="G15" s="55"/>
      <c r="I15" s="175"/>
    </row>
    <row r="16" spans="1:10" s="39" customFormat="1" ht="15.75">
      <c r="A16" s="44"/>
      <c r="B16" s="55"/>
      <c r="C16" s="290" t="str">
        <f>'Appendix A'!B170</f>
        <v>Long Term Interest</v>
      </c>
      <c r="D16" s="73"/>
      <c r="E16" s="32"/>
      <c r="F16" s="27"/>
      <c r="G16" s="192"/>
      <c r="H16" s="20"/>
    </row>
    <row r="17" spans="1:9" s="39" customFormat="1" ht="15">
      <c r="A17" s="24">
        <f>A14+1</f>
        <v>2</v>
      </c>
      <c r="B17" s="55"/>
      <c r="C17" s="130"/>
      <c r="D17" s="130" t="str">
        <f>'Appendix A'!C171</f>
        <v>Long Term Interest</v>
      </c>
      <c r="E17" s="32"/>
      <c r="F17" s="27"/>
      <c r="G17" s="130" t="str">
        <f>'Appendix A'!F171</f>
        <v>Attachment 5</v>
      </c>
      <c r="H17" s="20"/>
      <c r="I17" s="265">
        <f>'Appendix A'!H171</f>
        <v>299115016</v>
      </c>
    </row>
    <row r="18" spans="1:9" s="39" customFormat="1" ht="15.75">
      <c r="A18" s="24">
        <f>A17+1</f>
        <v>3</v>
      </c>
      <c r="B18" s="55"/>
      <c r="C18" s="130"/>
      <c r="D18" s="247" t="str">
        <f>'Appendix A'!C172</f>
        <v xml:space="preserve">    Less LTD Interest on Securitization Bonds</v>
      </c>
      <c r="E18" s="170"/>
      <c r="F18" s="364"/>
      <c r="G18" s="247" t="str">
        <f>'Appendix A'!F172</f>
        <v>Attachment 8</v>
      </c>
      <c r="H18" s="92"/>
      <c r="I18" s="363">
        <f>'Appendix A'!H172</f>
        <v>0</v>
      </c>
    </row>
    <row r="19" spans="1:9" s="39" customFormat="1" ht="15.75">
      <c r="A19" s="24">
        <v>4</v>
      </c>
      <c r="B19" s="55"/>
      <c r="C19" s="130"/>
      <c r="D19" s="130" t="str">
        <f>'Appendix A'!C173</f>
        <v>Long Term Interest</v>
      </c>
      <c r="E19" s="32"/>
      <c r="F19" s="73"/>
      <c r="G19" s="130" t="str">
        <f>'Appendix A'!F173</f>
        <v>(Line 99 - Line 100)</v>
      </c>
      <c r="H19" s="20"/>
      <c r="I19" s="265">
        <f>'Appendix A'!H173</f>
        <v>299115016</v>
      </c>
    </row>
    <row r="20" spans="1:9" s="39" customFormat="1" ht="15">
      <c r="A20" s="24"/>
      <c r="B20" s="55"/>
      <c r="C20" s="4"/>
      <c r="D20" s="40"/>
      <c r="E20" s="9"/>
      <c r="F20" s="5"/>
      <c r="G20" s="166"/>
      <c r="H20" s="5"/>
      <c r="I20" s="265"/>
    </row>
    <row r="21" spans="1:9" s="39" customFormat="1" ht="15.75">
      <c r="A21" s="65">
        <v>5</v>
      </c>
      <c r="B21" s="55"/>
      <c r="C21" s="367" t="str">
        <f>'Appendix A'!B175</f>
        <v>Preferred Dividends</v>
      </c>
      <c r="D21" s="191"/>
      <c r="F21" s="9" t="str">
        <f>'Appendix A'!E175</f>
        <v xml:space="preserve"> enter positive</v>
      </c>
      <c r="G21" s="132" t="str">
        <f>'Appendix A'!F175</f>
        <v>p118.29.c</v>
      </c>
      <c r="H21" s="5"/>
      <c r="I21" s="35">
        <f>+'Appendix A'!H175</f>
        <v>0</v>
      </c>
    </row>
    <row r="22" spans="1:9" s="39" customFormat="1" ht="15">
      <c r="A22" s="24"/>
      <c r="B22" s="55"/>
      <c r="C22" s="4"/>
      <c r="D22" s="40"/>
      <c r="E22" s="9"/>
      <c r="F22" s="3"/>
      <c r="G22" s="132"/>
      <c r="H22" s="5"/>
      <c r="I22" s="10"/>
    </row>
    <row r="23" spans="1:9" s="39" customFormat="1" ht="15.75">
      <c r="A23" s="24"/>
      <c r="B23" s="55"/>
      <c r="C23" s="86" t="str">
        <f>'Appendix A'!B177</f>
        <v>Common Stock</v>
      </c>
      <c r="D23" s="86"/>
      <c r="E23" s="9"/>
      <c r="F23" s="27"/>
      <c r="G23" s="132"/>
      <c r="H23" s="5"/>
      <c r="I23" s="10"/>
    </row>
    <row r="24" spans="1:9" s="39" customFormat="1" ht="15">
      <c r="A24" s="24">
        <f>A21+1</f>
        <v>6</v>
      </c>
      <c r="B24" s="55"/>
      <c r="C24" s="55"/>
      <c r="D24" s="40" t="str">
        <f>'Appendix A'!C178</f>
        <v>Proprietary Capital</v>
      </c>
      <c r="E24" s="5"/>
      <c r="F24" s="5"/>
      <c r="G24" s="132" t="str">
        <f>'Appendix A'!F178</f>
        <v>p112.16.c</v>
      </c>
      <c r="H24" s="5"/>
      <c r="I24" s="35">
        <f>+'Appendix A'!H178</f>
        <v>7527157071</v>
      </c>
    </row>
    <row r="25" spans="1:9" s="39" customFormat="1" ht="15">
      <c r="A25" s="24">
        <v>7</v>
      </c>
      <c r="B25" s="55"/>
      <c r="C25" s="55"/>
      <c r="D25" s="10" t="s">
        <v>679</v>
      </c>
      <c r="E25" s="10"/>
      <c r="F25" s="23"/>
      <c r="G25" s="10" t="s">
        <v>680</v>
      </c>
      <c r="H25" s="5"/>
      <c r="I25" s="10">
        <f>'Appendix A'!H179</f>
        <v>-64362</v>
      </c>
    </row>
    <row r="26" spans="1:9" s="39" customFormat="1" ht="15">
      <c r="A26" s="24">
        <v>8</v>
      </c>
      <c r="B26" s="55"/>
      <c r="C26" s="55"/>
      <c r="D26" s="42" t="str">
        <f>'Appendix A'!C180</f>
        <v xml:space="preserve">    Less Preferred Stock</v>
      </c>
      <c r="F26" s="10"/>
      <c r="G26" s="193" t="str">
        <f>'Appendix A'!F180</f>
        <v>(Line 114)</v>
      </c>
      <c r="H26" s="5"/>
      <c r="I26" s="10">
        <f>-I37</f>
        <v>0</v>
      </c>
    </row>
    <row r="27" spans="1:9" s="39" customFormat="1" ht="15">
      <c r="A27" s="24">
        <v>9</v>
      </c>
      <c r="B27" s="55"/>
      <c r="C27" s="55"/>
      <c r="D27" s="128" t="str">
        <f>'Appendix A'!C181</f>
        <v xml:space="preserve">    Less Account 216.1</v>
      </c>
      <c r="E27" s="176"/>
      <c r="F27" s="94"/>
      <c r="G27" s="366" t="str">
        <f>'Appendix A'!F181</f>
        <v>p112.12.c</v>
      </c>
      <c r="H27" s="92"/>
      <c r="I27" s="94">
        <f>+'Appendix A'!H181</f>
        <v>7793690</v>
      </c>
    </row>
    <row r="28" spans="1:9" s="39" customFormat="1" ht="15">
      <c r="A28" s="24">
        <v>10</v>
      </c>
      <c r="B28" s="55"/>
      <c r="C28" s="55"/>
      <c r="D28" s="42" t="str">
        <f>'Appendix A'!C182</f>
        <v>Common Stock</v>
      </c>
      <c r="F28" s="35"/>
      <c r="G28" s="194" t="str">
        <f>'Appendix A'!F182</f>
        <v>(Line 103 - 104 - 105 - 106)</v>
      </c>
      <c r="H28" s="110"/>
      <c r="I28" s="5">
        <f>I24-I25-I26-I27</f>
        <v>7519427743</v>
      </c>
    </row>
    <row r="29" spans="1:9" s="39" customFormat="1" ht="15">
      <c r="A29" s="24"/>
      <c r="B29" s="55"/>
      <c r="C29" s="4"/>
      <c r="D29" s="40"/>
      <c r="F29" s="9"/>
      <c r="G29" s="132"/>
      <c r="H29" s="27"/>
      <c r="I29" s="10"/>
    </row>
    <row r="30" spans="1:9" s="39" customFormat="1" ht="15.75">
      <c r="A30" s="24"/>
      <c r="B30" s="55"/>
      <c r="C30" s="86" t="str">
        <f>'Appendix A'!B184</f>
        <v>Capitalization</v>
      </c>
      <c r="D30" s="86"/>
      <c r="F30" s="9"/>
      <c r="G30" s="132"/>
      <c r="H30" s="27"/>
      <c r="I30" s="10"/>
    </row>
    <row r="31" spans="1:9" s="39" customFormat="1" ht="15">
      <c r="A31" s="24">
        <f>A28+1</f>
        <v>11</v>
      </c>
      <c r="B31" s="55"/>
      <c r="C31" s="55"/>
      <c r="D31" s="40" t="str">
        <f>'Appendix A'!C185</f>
        <v>Long Term Debt</v>
      </c>
      <c r="F31" s="9"/>
      <c r="G31" s="4" t="str">
        <f>'Appendix A'!F185</f>
        <v>p112.18-21.c</v>
      </c>
      <c r="H31" s="27"/>
      <c r="I31" s="35">
        <f>+'Appendix A'!H185</f>
        <v>5891786000</v>
      </c>
    </row>
    <row r="32" spans="1:9" s="39" customFormat="1" ht="15">
      <c r="A32" s="24">
        <f t="shared" ref="A32:A39" si="0">A31+1</f>
        <v>12</v>
      </c>
      <c r="B32" s="55"/>
      <c r="C32" s="55"/>
      <c r="D32" s="40" t="str">
        <f>'Appendix A'!C186</f>
        <v xml:space="preserve">      Less Loss on Reacquired Debt </v>
      </c>
      <c r="F32" s="9"/>
      <c r="G32" s="132" t="str">
        <f>'Appendix A'!F186</f>
        <v>p111.81.c</v>
      </c>
      <c r="H32" s="27"/>
      <c r="I32" s="35">
        <f>+'Appendix A'!H186</f>
        <v>49178323</v>
      </c>
    </row>
    <row r="33" spans="1:12" s="39" customFormat="1" ht="15">
      <c r="A33" s="24">
        <f t="shared" si="0"/>
        <v>13</v>
      </c>
      <c r="B33" s="54"/>
      <c r="C33" s="54"/>
      <c r="D33" s="42" t="str">
        <f>'Appendix A'!C187</f>
        <v xml:space="preserve">      Plus Gain on Reacquired Debt</v>
      </c>
      <c r="F33" s="22"/>
      <c r="G33" s="130" t="str">
        <f>'Appendix A'!F187</f>
        <v>p113.61.c</v>
      </c>
      <c r="H33" s="43"/>
      <c r="I33" s="35">
        <f>+'Appendix A'!H187</f>
        <v>0</v>
      </c>
    </row>
    <row r="34" spans="1:12" s="39" customFormat="1" ht="15">
      <c r="A34" s="24">
        <f t="shared" si="0"/>
        <v>14</v>
      </c>
      <c r="B34" s="54"/>
      <c r="C34" s="54"/>
      <c r="D34" s="42" t="str">
        <f>'Appendix A'!C188</f>
        <v xml:space="preserve">      Less ADIT associated with Gain or Loss</v>
      </c>
      <c r="F34" s="9"/>
      <c r="G34" s="130" t="str">
        <f>'Appendix A'!F188</f>
        <v>Attachment 1</v>
      </c>
      <c r="H34" s="43"/>
      <c r="I34" s="35">
        <f>+'Appendix A'!H188</f>
        <v>-19078691</v>
      </c>
    </row>
    <row r="35" spans="1:12" s="39" customFormat="1" ht="15">
      <c r="A35" s="24">
        <f t="shared" si="0"/>
        <v>15</v>
      </c>
      <c r="B35" s="54"/>
      <c r="C35" s="54"/>
      <c r="D35" s="128" t="str">
        <f>'Appendix A'!C189</f>
        <v xml:space="preserve">      Less LTD on Securitization Bonds</v>
      </c>
      <c r="F35" s="22"/>
      <c r="G35" s="130" t="str">
        <f>'Appendix A'!F189</f>
        <v>Attachment 8</v>
      </c>
      <c r="H35" s="43"/>
      <c r="I35" s="35">
        <f>+'Appendix A'!H189</f>
        <v>0</v>
      </c>
    </row>
    <row r="36" spans="1:12" s="39" customFormat="1" ht="15">
      <c r="A36" s="24">
        <f t="shared" si="0"/>
        <v>16</v>
      </c>
      <c r="B36" s="54"/>
      <c r="C36" s="54"/>
      <c r="D36" s="42" t="str">
        <f>'Appendix A'!C190</f>
        <v>Total Long Term Debt</v>
      </c>
      <c r="E36" s="259"/>
      <c r="F36" s="38"/>
      <c r="G36" s="264" t="str">
        <f>'Appendix A'!F190</f>
        <v>(Line 108 - 109 + 110 - 111 - 112)</v>
      </c>
      <c r="H36" s="45"/>
      <c r="I36" s="48">
        <f>I31-I32+I33-I34-I35</f>
        <v>5861686368</v>
      </c>
    </row>
    <row r="37" spans="1:12" s="39" customFormat="1" ht="15">
      <c r="A37" s="24">
        <f t="shared" si="0"/>
        <v>17</v>
      </c>
      <c r="B37" s="54"/>
      <c r="C37" s="54"/>
      <c r="D37" s="42" t="str">
        <f>'Appendix A'!C191</f>
        <v>Preferred Stock</v>
      </c>
      <c r="E37" s="22"/>
      <c r="F37" s="21"/>
      <c r="G37" s="130" t="str">
        <f>'Appendix A'!F191</f>
        <v>p112.3.c</v>
      </c>
      <c r="H37" s="43"/>
      <c r="I37" s="35">
        <f>+'Appendix A'!H191</f>
        <v>0</v>
      </c>
    </row>
    <row r="38" spans="1:12" s="39" customFormat="1" ht="15">
      <c r="A38" s="24">
        <f t="shared" si="0"/>
        <v>18</v>
      </c>
      <c r="B38" s="55"/>
      <c r="C38" s="55"/>
      <c r="D38" s="81" t="str">
        <f>'Appendix A'!C192</f>
        <v>Common Stock</v>
      </c>
      <c r="E38" s="84"/>
      <c r="F38" s="3"/>
      <c r="G38" s="55" t="str">
        <f>'Appendix A'!F192</f>
        <v>(Line 107)</v>
      </c>
      <c r="H38" s="27"/>
      <c r="I38" s="35">
        <f>I28</f>
        <v>7519427743</v>
      </c>
    </row>
    <row r="39" spans="1:12" s="39" customFormat="1" ht="15.75">
      <c r="A39" s="24">
        <f t="shared" si="0"/>
        <v>19</v>
      </c>
      <c r="B39" s="55"/>
      <c r="C39" s="55"/>
      <c r="D39" s="40" t="str">
        <f>'Appendix A'!C193</f>
        <v>Total  Capitalization</v>
      </c>
      <c r="E39" s="51"/>
      <c r="F39" s="76"/>
      <c r="G39" s="195" t="str">
        <f>'Appendix A'!F193</f>
        <v>(Sum Lines 113 to 115)</v>
      </c>
      <c r="H39" s="30"/>
      <c r="I39" s="48">
        <f>I38+I37+I36</f>
        <v>13381114111</v>
      </c>
    </row>
    <row r="40" spans="1:12" s="39" customFormat="1" ht="15">
      <c r="A40" s="24"/>
      <c r="B40" s="55"/>
      <c r="C40" s="55"/>
      <c r="D40" s="40"/>
      <c r="E40" s="27"/>
      <c r="F40" s="3"/>
      <c r="G40" s="55"/>
      <c r="H40" s="5"/>
      <c r="I40" s="23"/>
    </row>
    <row r="41" spans="1:12" s="39" customFormat="1" ht="15">
      <c r="A41" s="65">
        <f>A39+1</f>
        <v>20</v>
      </c>
      <c r="B41" s="55"/>
      <c r="C41" s="55"/>
      <c r="D41" s="40" t="str">
        <f>'Appendix A'!C195</f>
        <v>Debt %</v>
      </c>
      <c r="E41" s="37"/>
      <c r="F41" s="131" t="str">
        <f>'Appendix A'!D195</f>
        <v>Total Long Term Debt</v>
      </c>
      <c r="G41" s="55" t="str">
        <f>'Appendix A'!F195</f>
        <v>(Line 113 / Line 116)</v>
      </c>
      <c r="H41" s="5"/>
      <c r="I41" s="815">
        <f>1-I42-I43</f>
        <v>0.44999999999999996</v>
      </c>
    </row>
    <row r="42" spans="1:12" s="39" customFormat="1" ht="15">
      <c r="A42" s="24">
        <f>A41+1</f>
        <v>21</v>
      </c>
      <c r="B42" s="55"/>
      <c r="C42" s="55"/>
      <c r="D42" s="40" t="str">
        <f>'Appendix A'!C196</f>
        <v>Preferred %</v>
      </c>
      <c r="E42" s="3"/>
      <c r="F42" s="131" t="str">
        <f>'Appendix A'!D196</f>
        <v>Preferred Stock</v>
      </c>
      <c r="G42" s="55" t="str">
        <f>'Appendix A'!F196</f>
        <v>(Line 114 / Line 116)</v>
      </c>
      <c r="H42" s="5"/>
      <c r="I42" s="452">
        <f>I37/I39</f>
        <v>0</v>
      </c>
    </row>
    <row r="43" spans="1:12" s="39" customFormat="1" ht="15">
      <c r="A43" s="24">
        <f>A42+1</f>
        <v>22</v>
      </c>
      <c r="B43" s="55"/>
      <c r="C43" s="55"/>
      <c r="D43" s="40" t="str">
        <f>'Appendix A'!C197</f>
        <v>Common %</v>
      </c>
      <c r="E43" s="3"/>
      <c r="F43" s="131" t="str">
        <f>'Appendix A'!D197</f>
        <v>Common Stock</v>
      </c>
      <c r="G43" s="55" t="str">
        <f>'Appendix A'!F197</f>
        <v>(Line 115 / Line 116)</v>
      </c>
      <c r="H43" s="5"/>
      <c r="I43" s="815">
        <f>'Appendix A'!H197</f>
        <v>0.55000000000000004</v>
      </c>
      <c r="L43" s="974"/>
    </row>
    <row r="44" spans="1:12" s="39" customFormat="1" ht="15">
      <c r="A44" s="24"/>
      <c r="B44" s="55"/>
      <c r="C44" s="55"/>
      <c r="D44" s="40"/>
      <c r="E44" s="27"/>
      <c r="F44" s="132"/>
      <c r="G44" s="55"/>
      <c r="H44" s="5"/>
      <c r="I44" s="23"/>
    </row>
    <row r="45" spans="1:12" s="39" customFormat="1" ht="15">
      <c r="A45" s="65">
        <f>A43+1</f>
        <v>23</v>
      </c>
      <c r="B45" s="55"/>
      <c r="C45" s="55"/>
      <c r="D45" s="40" t="str">
        <f>'Appendix A'!C199</f>
        <v>Debt Cost</v>
      </c>
      <c r="E45" s="37"/>
      <c r="F45" s="132" t="str">
        <f>'Appendix A'!D199</f>
        <v>Total Long Term Debt</v>
      </c>
      <c r="G45" s="55" t="str">
        <f>'Appendix A'!F199</f>
        <v>(Line 101 / Line 113)</v>
      </c>
      <c r="H45" s="5"/>
      <c r="I45" s="149">
        <f>IF(I36&gt;0,I19/I36,0)</f>
        <v>5.1028833209658342E-2</v>
      </c>
    </row>
    <row r="46" spans="1:12" s="39" customFormat="1" ht="15">
      <c r="A46" s="24">
        <f>A45+1</f>
        <v>24</v>
      </c>
      <c r="B46" s="55"/>
      <c r="C46" s="55"/>
      <c r="D46" s="40" t="str">
        <f>'Appendix A'!C200</f>
        <v>Preferred Cost</v>
      </c>
      <c r="E46" s="3"/>
      <c r="F46" s="132" t="str">
        <f>'Appendix A'!D200</f>
        <v>Preferred Stock</v>
      </c>
      <c r="G46" s="55" t="str">
        <f>'Appendix A'!F200</f>
        <v>(Line 102 / Line 114)</v>
      </c>
      <c r="H46" s="5"/>
      <c r="I46" s="149">
        <f>IF(I37&gt;0,I21/I37,0)</f>
        <v>0</v>
      </c>
    </row>
    <row r="47" spans="1:12" s="39" customFormat="1" ht="15">
      <c r="A47" s="24">
        <f>A46+1</f>
        <v>25</v>
      </c>
      <c r="B47" s="55"/>
      <c r="C47" s="55"/>
      <c r="D47" s="40" t="str">
        <f>'Appendix A'!C201</f>
        <v>Common Cost</v>
      </c>
      <c r="E47" s="313"/>
      <c r="F47" s="193" t="str">
        <f>'Appendix A'!D201</f>
        <v>Common Stock</v>
      </c>
      <c r="G47" s="35" t="str">
        <f>"(Line "&amp;'Appendix A'!A201&amp;" + 100 basis points)"</f>
        <v>(Line 122 + 100 basis points)</v>
      </c>
      <c r="H47" s="5"/>
      <c r="I47" s="1044">
        <f>+'Appendix A'!H201+I9</f>
        <v>0.125</v>
      </c>
    </row>
    <row r="48" spans="1:12" s="39" customFormat="1" ht="15">
      <c r="A48" s="24"/>
      <c r="B48" s="55"/>
      <c r="C48" s="55"/>
      <c r="D48" s="40"/>
      <c r="E48" s="27"/>
      <c r="F48" s="132"/>
      <c r="G48" s="55"/>
      <c r="H48" s="5"/>
      <c r="I48" s="473"/>
    </row>
    <row r="49" spans="1:10" s="39" customFormat="1" ht="15">
      <c r="A49" s="65">
        <f>A47+1</f>
        <v>26</v>
      </c>
      <c r="B49" s="55"/>
      <c r="C49" s="55"/>
      <c r="D49" s="40" t="str">
        <f>'Appendix A'!C203</f>
        <v>Weighted Cost of Debt</v>
      </c>
      <c r="E49" s="37"/>
      <c r="F49" s="131" t="str">
        <f>'Appendix A'!D203</f>
        <v>Total Long Term Debt (WCLTD)</v>
      </c>
      <c r="G49" s="55" t="str">
        <f>'Appendix A'!F203</f>
        <v>(Line 117 * Line 120)</v>
      </c>
      <c r="H49" s="25"/>
      <c r="I49" s="1045">
        <f>I45*I41</f>
        <v>2.2962974944346251E-2</v>
      </c>
    </row>
    <row r="50" spans="1:10" s="39" customFormat="1" ht="15">
      <c r="A50" s="24">
        <f>A49+1</f>
        <v>27</v>
      </c>
      <c r="B50" s="55"/>
      <c r="C50" s="55"/>
      <c r="D50" s="40" t="str">
        <f>'Appendix A'!C204</f>
        <v>Weighted Cost of Preferred</v>
      </c>
      <c r="E50" s="3"/>
      <c r="F50" s="131" t="str">
        <f>'Appendix A'!D204</f>
        <v>Preferred Stock</v>
      </c>
      <c r="G50" s="55" t="str">
        <f>'Appendix A'!F204</f>
        <v>(Line 118 * Line 121)</v>
      </c>
      <c r="H50" s="63"/>
      <c r="I50" s="1045">
        <f>I46*I42</f>
        <v>0</v>
      </c>
    </row>
    <row r="51" spans="1:10" s="39" customFormat="1" ht="15">
      <c r="A51" s="24">
        <f>A50+1</f>
        <v>28</v>
      </c>
      <c r="B51" s="55"/>
      <c r="C51" s="55"/>
      <c r="D51" s="81" t="str">
        <f>'Appendix A'!C205</f>
        <v>Weighted Cost of Common</v>
      </c>
      <c r="E51" s="137"/>
      <c r="F51" s="136" t="str">
        <f>'Appendix A'!D205</f>
        <v>Common Stock</v>
      </c>
      <c r="G51" s="196" t="str">
        <f>'Appendix A'!F205</f>
        <v>(Line 119 * Line 122)</v>
      </c>
      <c r="H51" s="93"/>
      <c r="I51" s="1046">
        <f>I47*I43</f>
        <v>6.8750000000000006E-2</v>
      </c>
    </row>
    <row r="52" spans="1:10" s="39" customFormat="1" ht="15.75">
      <c r="A52" s="24">
        <f>A51+1</f>
        <v>29</v>
      </c>
      <c r="B52" s="55"/>
      <c r="C52" s="367" t="str">
        <f>'Appendix A'!B206</f>
        <v>Rate of Return on Rate Base ( ROR )</v>
      </c>
      <c r="D52" s="55"/>
      <c r="E52" s="111"/>
      <c r="F52" s="72"/>
      <c r="G52" s="197" t="str">
        <f>'Appendix A'!F206</f>
        <v>(Sum Lines 123 to 125)</v>
      </c>
      <c r="H52" s="74"/>
      <c r="I52" s="1041">
        <f>SUM(I49:I51)</f>
        <v>9.1712974944346257E-2</v>
      </c>
    </row>
    <row r="53" spans="1:10" s="39" customFormat="1" ht="15.75">
      <c r="A53" s="36"/>
      <c r="B53" s="55"/>
      <c r="C53" s="55"/>
      <c r="D53" s="55"/>
      <c r="E53" s="111"/>
      <c r="F53" s="72"/>
      <c r="G53" s="197"/>
      <c r="H53" s="74"/>
      <c r="I53" s="64"/>
    </row>
    <row r="54" spans="1:10" s="39" customFormat="1" ht="16.5" thickBot="1">
      <c r="A54" s="65">
        <f>A52+1</f>
        <v>30</v>
      </c>
      <c r="B54" s="55"/>
      <c r="C54" s="90" t="str">
        <f>'Appendix A'!B208</f>
        <v>Investment Return = Rate Base * Rate of Return</v>
      </c>
      <c r="D54" s="90"/>
      <c r="E54" s="90"/>
      <c r="F54" s="91"/>
      <c r="G54" s="198" t="str">
        <f>'Appendix A'!F208</f>
        <v>(Line 55 * Line 126)</v>
      </c>
      <c r="H54" s="96"/>
      <c r="I54" s="34">
        <f>+I52*I14</f>
        <v>216304709.96428657</v>
      </c>
    </row>
    <row r="55" spans="1:10" s="39" customFormat="1" ht="15.75" thickTop="1">
      <c r="A55" s="24"/>
      <c r="B55" s="6"/>
      <c r="C55" s="26"/>
      <c r="D55" s="3"/>
      <c r="E55" s="27"/>
      <c r="F55" s="77"/>
      <c r="G55" s="5"/>
      <c r="H55" s="5"/>
      <c r="I55" s="17"/>
    </row>
    <row r="56" spans="1:10" s="39" customFormat="1" ht="15.75">
      <c r="A56" s="314" t="s">
        <v>257</v>
      </c>
      <c r="B56" s="104"/>
      <c r="C56" s="105"/>
      <c r="D56" s="106"/>
      <c r="E56" s="107"/>
      <c r="F56" s="140"/>
      <c r="G56" s="108"/>
      <c r="H56" s="108"/>
      <c r="I56" s="109"/>
    </row>
    <row r="57" spans="1:10" s="39" customFormat="1" ht="15.75">
      <c r="A57" s="42"/>
      <c r="B57" s="42"/>
      <c r="C57" s="26"/>
      <c r="D57" s="19"/>
      <c r="E57" s="43"/>
      <c r="F57" s="16"/>
      <c r="G57" s="27"/>
      <c r="H57" s="27"/>
      <c r="I57" s="33"/>
    </row>
    <row r="58" spans="1:10" s="39" customFormat="1" ht="15.75">
      <c r="A58" s="65" t="s">
        <v>464</v>
      </c>
      <c r="B58" s="26"/>
      <c r="C58" s="115" t="s">
        <v>553</v>
      </c>
      <c r="D58" s="27"/>
      <c r="E58" s="27"/>
      <c r="F58" s="16"/>
      <c r="G58" s="5"/>
      <c r="H58" s="13"/>
      <c r="I58" s="27"/>
    </row>
    <row r="59" spans="1:10" s="39" customFormat="1" ht="15">
      <c r="A59" s="65">
        <f>+A54+1</f>
        <v>31</v>
      </c>
      <c r="B59" s="77"/>
      <c r="C59" s="26"/>
      <c r="D59" s="27" t="s">
        <v>551</v>
      </c>
      <c r="E59" s="27"/>
      <c r="F59" s="77"/>
      <c r="G59" s="250"/>
      <c r="H59" s="28"/>
      <c r="I59" s="185">
        <f>+'Appendix A'!H213</f>
        <v>0.35</v>
      </c>
    </row>
    <row r="60" spans="1:10" s="39" customFormat="1" ht="15">
      <c r="A60" s="24">
        <f>+A59+1</f>
        <v>32</v>
      </c>
      <c r="B60" s="77"/>
      <c r="C60" s="26"/>
      <c r="D60" s="28" t="s">
        <v>550</v>
      </c>
      <c r="E60" s="18"/>
      <c r="F60" s="77"/>
      <c r="G60" s="250"/>
      <c r="H60" s="28"/>
      <c r="I60" s="185">
        <f>+'Appendix A'!H214</f>
        <v>9.5000000000000001E-2</v>
      </c>
    </row>
    <row r="61" spans="1:10" s="39" customFormat="1" ht="15">
      <c r="A61" s="24">
        <f>+A60+1</f>
        <v>33</v>
      </c>
      <c r="B61" s="77"/>
      <c r="C61" s="26"/>
      <c r="D61" s="28" t="s">
        <v>147</v>
      </c>
      <c r="E61" s="28"/>
      <c r="F61" s="77"/>
      <c r="G61" s="7" t="str">
        <f>+'Appendix A'!F215</f>
        <v>Per State Tax Code</v>
      </c>
      <c r="H61" s="28"/>
      <c r="I61" s="185">
        <f>+'Appendix A'!H215</f>
        <v>0</v>
      </c>
    </row>
    <row r="62" spans="1:10" s="39" customFormat="1" ht="15">
      <c r="A62" s="24">
        <f>+A61+1</f>
        <v>34</v>
      </c>
      <c r="B62" s="77"/>
      <c r="C62" s="26"/>
      <c r="D62" s="28" t="s">
        <v>606</v>
      </c>
      <c r="E62" s="12" t="s">
        <v>617</v>
      </c>
      <c r="F62" s="77"/>
      <c r="G62" s="31"/>
      <c r="H62" s="28"/>
      <c r="I62" s="185">
        <f>+'Appendix A'!H216</f>
        <v>0.41174999999999995</v>
      </c>
    </row>
    <row r="63" spans="1:10" s="39" customFormat="1" ht="15">
      <c r="A63" s="24">
        <v>35</v>
      </c>
      <c r="B63" s="78"/>
      <c r="C63" s="65"/>
      <c r="D63" s="308" t="s">
        <v>769</v>
      </c>
      <c r="E63" s="2"/>
      <c r="F63" s="2"/>
      <c r="G63" s="2"/>
      <c r="H63" s="2"/>
      <c r="I63" s="326">
        <f>I62/(1-I62)</f>
        <v>0.69995750106247334</v>
      </c>
      <c r="J63" s="44"/>
    </row>
    <row r="64" spans="1:10" s="39" customFormat="1" ht="15">
      <c r="A64" s="24">
        <v>36</v>
      </c>
      <c r="B64" s="78"/>
      <c r="C64" s="65"/>
      <c r="D64" s="308" t="s">
        <v>768</v>
      </c>
      <c r="E64" s="365"/>
      <c r="F64" s="78"/>
      <c r="G64" s="43"/>
      <c r="H64" s="28"/>
      <c r="I64" s="326">
        <f>1/(1-I62)</f>
        <v>1.6999575010624732</v>
      </c>
      <c r="J64" s="44"/>
    </row>
    <row r="65" spans="1:11" s="39" customFormat="1" ht="15">
      <c r="A65" s="65"/>
      <c r="B65" s="26"/>
      <c r="C65" s="26"/>
      <c r="D65" s="27"/>
      <c r="E65" s="27"/>
      <c r="F65" s="11"/>
      <c r="G65" s="12"/>
      <c r="H65" s="13"/>
      <c r="I65" s="14"/>
    </row>
    <row r="66" spans="1:11" s="39" customFormat="1" ht="15.75">
      <c r="A66" s="65"/>
      <c r="B66" s="26"/>
      <c r="C66" s="115" t="s">
        <v>525</v>
      </c>
      <c r="D66" s="3"/>
      <c r="E66" s="27"/>
      <c r="F66" s="16"/>
      <c r="G66" s="5"/>
      <c r="H66" s="13"/>
      <c r="I66" s="149"/>
    </row>
    <row r="67" spans="1:11" s="39" customFormat="1" ht="15">
      <c r="A67" s="65">
        <f>+A64+1</f>
        <v>37</v>
      </c>
      <c r="B67" s="77"/>
      <c r="C67" s="26"/>
      <c r="D67" s="3" t="s">
        <v>580</v>
      </c>
      <c r="E67" s="27"/>
      <c r="F67" s="23" t="s">
        <v>604</v>
      </c>
      <c r="G67" s="7" t="str">
        <f>+'Appendix A'!F220</f>
        <v>p266.8.f</v>
      </c>
      <c r="H67" s="13"/>
      <c r="I67" s="266">
        <f>+'Appendix A'!H220</f>
        <v>-2313602</v>
      </c>
    </row>
    <row r="68" spans="1:11" s="39" customFormat="1" ht="15">
      <c r="A68" s="65">
        <f>+A67+1</f>
        <v>38</v>
      </c>
      <c r="B68" s="77"/>
      <c r="C68" s="26"/>
      <c r="D68" s="3" t="s">
        <v>599</v>
      </c>
      <c r="E68" s="27"/>
      <c r="F68" s="6"/>
      <c r="G68" s="7" t="str">
        <f>+'Appendix A'!F221</f>
        <v>1 / (1 -Line 131)</v>
      </c>
      <c r="H68" s="13"/>
      <c r="I68" s="267">
        <f>+'Appendix A'!H221</f>
        <v>1.6999575010624732</v>
      </c>
    </row>
    <row r="69" spans="1:11" s="39" customFormat="1" ht="15.75">
      <c r="A69" s="65">
        <f>+A68+1</f>
        <v>39</v>
      </c>
      <c r="B69" s="77"/>
      <c r="C69" s="66"/>
      <c r="D69" s="79" t="s">
        <v>520</v>
      </c>
      <c r="E69" s="80"/>
      <c r="F69" s="135"/>
      <c r="G69" s="278" t="str">
        <f>+'Appendix A'!F222</f>
        <v>(Line 14)</v>
      </c>
      <c r="H69" s="69"/>
      <c r="I69" s="112">
        <f>+'Appendix A'!H30</f>
        <v>0.23105095344995236</v>
      </c>
    </row>
    <row r="70" spans="1:11" s="39" customFormat="1" ht="15.75">
      <c r="A70" s="24">
        <f>+A69+1</f>
        <v>40</v>
      </c>
      <c r="B70" s="77"/>
      <c r="C70" s="26"/>
      <c r="D70" s="117" t="s">
        <v>549</v>
      </c>
      <c r="E70" s="45"/>
      <c r="F70" s="147"/>
      <c r="G70" s="7" t="str">
        <f>+'Appendix A'!F223</f>
        <v>(Line 133 * Line 134 * Line 135)</v>
      </c>
      <c r="H70" s="71"/>
      <c r="I70" s="929">
        <f>+I67*I68*I69</f>
        <v>-908729.19337648374</v>
      </c>
      <c r="K70" s="75"/>
    </row>
    <row r="71" spans="1:11" s="39" customFormat="1" ht="15.75">
      <c r="A71" s="24"/>
      <c r="B71" s="6"/>
      <c r="C71" s="26"/>
      <c r="D71" s="129"/>
      <c r="E71" s="68"/>
      <c r="F71" s="154"/>
      <c r="G71" s="151"/>
      <c r="H71" s="69"/>
      <c r="I71" s="152"/>
    </row>
    <row r="72" spans="1:11" s="39" customFormat="1" ht="15.75">
      <c r="A72" s="24"/>
      <c r="B72" s="6"/>
      <c r="C72" s="26"/>
      <c r="D72" s="129"/>
      <c r="E72" s="68"/>
      <c r="F72" s="154"/>
      <c r="G72" s="151"/>
      <c r="H72" s="69"/>
      <c r="I72" s="153"/>
    </row>
    <row r="73" spans="1:11" s="39" customFormat="1" ht="15.75">
      <c r="A73" s="65"/>
      <c r="B73" s="26"/>
      <c r="C73" s="26"/>
      <c r="D73" s="27"/>
      <c r="E73" s="27"/>
      <c r="F73" s="11"/>
      <c r="G73" s="12"/>
      <c r="H73" s="13"/>
      <c r="I73" s="150"/>
    </row>
    <row r="74" spans="1:11" s="39" customFormat="1" ht="15.75">
      <c r="A74" s="65">
        <f>+A70+1</f>
        <v>41</v>
      </c>
      <c r="B74" s="77"/>
      <c r="C74" s="1" t="s">
        <v>571</v>
      </c>
      <c r="E74" s="9" t="s">
        <v>573</v>
      </c>
      <c r="F74" s="16"/>
      <c r="G74" s="20"/>
      <c r="H74" s="27"/>
      <c r="I74" s="133">
        <f>+I63*(1-I49/I52)*I54</f>
        <v>113495742.2744526</v>
      </c>
    </row>
    <row r="75" spans="1:11" s="39" customFormat="1" ht="15.75">
      <c r="A75" s="65"/>
      <c r="B75" s="26"/>
      <c r="C75" s="26"/>
      <c r="D75" s="67"/>
      <c r="E75" s="68"/>
      <c r="F75" s="141"/>
      <c r="G75" s="20"/>
      <c r="H75" s="69"/>
      <c r="I75" s="53"/>
    </row>
    <row r="76" spans="1:11" s="39" customFormat="1" ht="16.5" thickBot="1">
      <c r="A76" s="65">
        <f>+A74+1</f>
        <v>42</v>
      </c>
      <c r="B76" s="77"/>
      <c r="C76" s="95" t="s">
        <v>444</v>
      </c>
      <c r="D76" s="95"/>
      <c r="E76" s="90"/>
      <c r="F76" s="139"/>
      <c r="G76" s="34"/>
      <c r="H76" s="114"/>
      <c r="I76" s="134">
        <f>+I74+I70</f>
        <v>112587013.08107612</v>
      </c>
    </row>
    <row r="77" spans="1:11" s="39" customFormat="1" ht="15.75" thickTop="1">
      <c r="A77" s="65"/>
      <c r="B77" s="26"/>
      <c r="C77" s="26"/>
      <c r="D77" s="12"/>
      <c r="E77" s="27"/>
      <c r="F77" s="77"/>
      <c r="G77" s="15"/>
      <c r="H77" s="8"/>
      <c r="I77" s="116"/>
    </row>
    <row r="78" spans="1:11" s="39" customFormat="1" ht="15">
      <c r="A78" s="44"/>
    </row>
    <row r="79" spans="1:11">
      <c r="A79" s="2"/>
    </row>
    <row r="80" spans="1:11">
      <c r="A80" s="2"/>
    </row>
    <row r="81" spans="1:1">
      <c r="A81" s="2"/>
    </row>
    <row r="82" spans="1:1">
      <c r="A82" s="2"/>
    </row>
    <row r="83" spans="1:1">
      <c r="A83" s="2"/>
    </row>
    <row r="84" spans="1:1">
      <c r="A84" s="2"/>
    </row>
    <row r="85" spans="1:1">
      <c r="A85" s="2"/>
    </row>
    <row r="86" spans="1:1">
      <c r="A86" s="2"/>
    </row>
    <row r="87" spans="1:1">
      <c r="A87" s="2"/>
    </row>
    <row r="88" spans="1:1">
      <c r="A88" s="2"/>
    </row>
    <row r="89" spans="1:1">
      <c r="A89" s="2"/>
    </row>
    <row r="90" spans="1:1">
      <c r="A90" s="2"/>
    </row>
    <row r="91" spans="1:1">
      <c r="A91" s="2"/>
    </row>
    <row r="92" spans="1:1">
      <c r="A92" s="2"/>
    </row>
    <row r="93" spans="1:1">
      <c r="A93" s="2"/>
    </row>
    <row r="94" spans="1:1">
      <c r="A94" s="2"/>
    </row>
    <row r="95" spans="1:1">
      <c r="A95" s="2"/>
    </row>
    <row r="96" spans="1:1">
      <c r="A96" s="2"/>
    </row>
    <row r="97" spans="1:1">
      <c r="A97" s="2"/>
    </row>
    <row r="98" spans="1:1">
      <c r="A98" s="2"/>
    </row>
    <row r="99" spans="1:1">
      <c r="A99" s="2"/>
    </row>
    <row r="100" spans="1:1">
      <c r="A100" s="2"/>
    </row>
    <row r="101" spans="1:1">
      <c r="A101" s="2"/>
    </row>
    <row r="102" spans="1:1">
      <c r="A102" s="2"/>
    </row>
    <row r="103" spans="1:1">
      <c r="A103" s="2"/>
    </row>
    <row r="104" spans="1:1">
      <c r="A104" s="2"/>
    </row>
    <row r="105" spans="1:1">
      <c r="A105" s="2"/>
    </row>
    <row r="106" spans="1:1">
      <c r="A106" s="2"/>
    </row>
    <row r="107" spans="1:1">
      <c r="A107" s="2"/>
    </row>
    <row r="108" spans="1:1">
      <c r="A108" s="2"/>
    </row>
    <row r="109" spans="1:1">
      <c r="A109" s="2"/>
    </row>
    <row r="110" spans="1:1">
      <c r="A110" s="2"/>
    </row>
    <row r="111" spans="1:1">
      <c r="A111" s="2"/>
    </row>
    <row r="112" spans="1:1">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6">
      <c r="A305" s="2"/>
    </row>
    <row r="306" spans="1:6">
      <c r="A306" s="2"/>
    </row>
    <row r="307" spans="1:6">
      <c r="A307" s="231"/>
      <c r="B307" s="231"/>
      <c r="C307" s="231"/>
      <c r="D307" s="231"/>
      <c r="E307" s="231"/>
      <c r="F307" s="231"/>
    </row>
    <row r="308" spans="1:6">
      <c r="A308" s="231"/>
      <c r="B308" s="231"/>
      <c r="C308" s="231"/>
      <c r="D308" s="231"/>
      <c r="E308" s="231"/>
      <c r="F308" s="231"/>
    </row>
    <row r="309" spans="1:6">
      <c r="A309" s="231"/>
      <c r="B309" s="231"/>
      <c r="C309" s="231"/>
      <c r="D309" s="231"/>
      <c r="E309" s="231"/>
      <c r="F309" s="231"/>
    </row>
    <row r="310" spans="1:6">
      <c r="A310" s="231"/>
      <c r="B310" s="231"/>
      <c r="C310" s="231"/>
      <c r="D310" s="231"/>
      <c r="E310" s="231"/>
      <c r="F310" s="231"/>
    </row>
    <row r="311" spans="1:6">
      <c r="A311" s="231"/>
      <c r="B311" s="231"/>
      <c r="C311" s="231"/>
      <c r="D311" s="231"/>
      <c r="E311" s="231"/>
      <c r="F311" s="231"/>
    </row>
    <row r="312" spans="1:6">
      <c r="A312" s="231"/>
      <c r="B312" s="231"/>
      <c r="C312" s="231"/>
      <c r="D312" s="231"/>
      <c r="E312" s="231"/>
      <c r="F312" s="231"/>
    </row>
    <row r="313" spans="1:6">
      <c r="A313" s="231"/>
      <c r="B313" s="231"/>
      <c r="C313" s="231"/>
      <c r="D313" s="231"/>
      <c r="E313" s="231"/>
      <c r="F313" s="231"/>
    </row>
    <row r="314" spans="1:6">
      <c r="A314" s="231"/>
      <c r="B314" s="231"/>
      <c r="C314" s="231"/>
      <c r="D314" s="231"/>
      <c r="E314" s="231"/>
      <c r="F314" s="231"/>
    </row>
    <row r="315" spans="1:6">
      <c r="A315" s="231"/>
      <c r="B315" s="231"/>
      <c r="C315" s="231"/>
      <c r="D315" s="231"/>
      <c r="E315" s="231"/>
      <c r="F315" s="231"/>
    </row>
    <row r="316" spans="1:6">
      <c r="A316" s="2"/>
    </row>
    <row r="317" spans="1:6">
      <c r="A317" s="2"/>
    </row>
    <row r="318" spans="1:6">
      <c r="A318" s="2"/>
    </row>
    <row r="319" spans="1:6">
      <c r="A319" s="2"/>
    </row>
    <row r="320" spans="1:6">
      <c r="A320" s="2"/>
    </row>
    <row r="321" spans="1:1">
      <c r="A321" s="2"/>
    </row>
    <row r="322" spans="1:1">
      <c r="A322" s="2"/>
    </row>
    <row r="323" spans="1:1">
      <c r="A323" s="2"/>
    </row>
    <row r="324" spans="1:1">
      <c r="A324" s="2"/>
    </row>
    <row r="325" spans="1:1">
      <c r="A325" s="2"/>
    </row>
    <row r="326" spans="1:1">
      <c r="A326" s="2"/>
    </row>
    <row r="327" spans="1:1">
      <c r="A327" s="2"/>
    </row>
    <row r="328" spans="1:1">
      <c r="A328" s="2"/>
    </row>
    <row r="329" spans="1:1">
      <c r="A329" s="2"/>
    </row>
    <row r="330" spans="1:1">
      <c r="A330" s="2"/>
    </row>
    <row r="331" spans="1:1">
      <c r="A331" s="2"/>
    </row>
    <row r="332" spans="1:1">
      <c r="A332" s="2"/>
    </row>
    <row r="333" spans="1:1">
      <c r="A333" s="2"/>
    </row>
    <row r="334" spans="1:1">
      <c r="A334" s="2"/>
    </row>
    <row r="335" spans="1:1">
      <c r="A335" s="2"/>
    </row>
    <row r="336" spans="1:1">
      <c r="A336" s="2"/>
    </row>
    <row r="337" spans="1:1">
      <c r="A337" s="2"/>
    </row>
    <row r="338" spans="1:1">
      <c r="A338" s="2"/>
    </row>
    <row r="339" spans="1:1">
      <c r="A339" s="2"/>
    </row>
    <row r="340" spans="1:1">
      <c r="A340" s="2"/>
    </row>
    <row r="341" spans="1:1">
      <c r="A341" s="2"/>
    </row>
    <row r="342" spans="1:1">
      <c r="A342" s="2"/>
    </row>
    <row r="343" spans="1:1">
      <c r="A343" s="2"/>
    </row>
    <row r="344" spans="1:1">
      <c r="A344" s="2"/>
    </row>
    <row r="345" spans="1:1">
      <c r="A345" s="2"/>
    </row>
    <row r="346" spans="1:1">
      <c r="A346" s="2"/>
    </row>
    <row r="347" spans="1:1">
      <c r="A347" s="2"/>
    </row>
    <row r="348" spans="1:1">
      <c r="A348" s="2"/>
    </row>
    <row r="349" spans="1:1">
      <c r="A349" s="2"/>
    </row>
    <row r="350" spans="1:1">
      <c r="A350" s="2"/>
    </row>
    <row r="351" spans="1:1">
      <c r="A351" s="2"/>
    </row>
    <row r="352" spans="1:1">
      <c r="A352" s="2"/>
    </row>
    <row r="353" spans="1:1">
      <c r="A353" s="2"/>
    </row>
    <row r="354" spans="1:1">
      <c r="A354" s="2"/>
    </row>
    <row r="355" spans="1:1">
      <c r="A355" s="2"/>
    </row>
    <row r="356" spans="1:1">
      <c r="A356" s="2"/>
    </row>
    <row r="357" spans="1:1">
      <c r="A357" s="2"/>
    </row>
    <row r="358" spans="1:1">
      <c r="A358" s="2"/>
    </row>
    <row r="359" spans="1:1">
      <c r="A359" s="2"/>
    </row>
    <row r="360" spans="1:1">
      <c r="A360" s="2"/>
    </row>
    <row r="361" spans="1:1">
      <c r="A361" s="2"/>
    </row>
    <row r="362" spans="1:1">
      <c r="A362" s="2"/>
    </row>
    <row r="363" spans="1:1">
      <c r="A363" s="2"/>
    </row>
    <row r="364" spans="1:1">
      <c r="A364" s="2"/>
    </row>
    <row r="365" spans="1:1">
      <c r="A365" s="2"/>
    </row>
    <row r="366" spans="1:1">
      <c r="A366" s="2"/>
    </row>
    <row r="367" spans="1:1">
      <c r="A367" s="2"/>
    </row>
    <row r="368" spans="1:1">
      <c r="A368" s="2"/>
    </row>
    <row r="369" spans="1:1">
      <c r="A369" s="2"/>
    </row>
    <row r="370" spans="1:1">
      <c r="A370" s="2"/>
    </row>
    <row r="371" spans="1:1">
      <c r="A371" s="2"/>
    </row>
    <row r="372" spans="1:1">
      <c r="A372" s="2"/>
    </row>
    <row r="373" spans="1:1">
      <c r="A373" s="2"/>
    </row>
    <row r="374" spans="1:1">
      <c r="A374" s="2"/>
    </row>
    <row r="375" spans="1:1">
      <c r="A375" s="2"/>
    </row>
    <row r="376" spans="1:1">
      <c r="A376" s="2"/>
    </row>
    <row r="377" spans="1:1">
      <c r="A377" s="2"/>
    </row>
    <row r="378" spans="1:1">
      <c r="A378" s="2"/>
    </row>
    <row r="379" spans="1:1">
      <c r="A379" s="2"/>
    </row>
    <row r="380" spans="1:1">
      <c r="A380" s="2"/>
    </row>
    <row r="381" spans="1:1">
      <c r="A381" s="2"/>
    </row>
    <row r="382" spans="1:1">
      <c r="A382" s="2"/>
    </row>
    <row r="383" spans="1:1">
      <c r="A383" s="2"/>
    </row>
    <row r="384" spans="1:1">
      <c r="A384" s="2"/>
    </row>
    <row r="385" spans="1:1">
      <c r="A385" s="2"/>
    </row>
    <row r="386" spans="1:1">
      <c r="A386" s="2"/>
    </row>
    <row r="387" spans="1:1">
      <c r="A387" s="2"/>
    </row>
    <row r="388" spans="1:1">
      <c r="A388" s="2"/>
    </row>
    <row r="389" spans="1:1">
      <c r="A389" s="2"/>
    </row>
    <row r="390" spans="1:1">
      <c r="A390" s="2"/>
    </row>
    <row r="391" spans="1:1">
      <c r="A391" s="2"/>
    </row>
    <row r="392" spans="1:1">
      <c r="A392" s="2"/>
    </row>
    <row r="393" spans="1:1">
      <c r="A393" s="2"/>
    </row>
    <row r="394" spans="1:1">
      <c r="A394" s="2"/>
    </row>
    <row r="395" spans="1:1">
      <c r="A395" s="2"/>
    </row>
    <row r="396" spans="1:1">
      <c r="A396" s="2"/>
    </row>
    <row r="397" spans="1:1">
      <c r="A397" s="2"/>
    </row>
    <row r="398" spans="1:1">
      <c r="A398" s="2"/>
    </row>
    <row r="399" spans="1:1">
      <c r="A399" s="2"/>
    </row>
    <row r="400" spans="1:1">
      <c r="A400" s="2"/>
    </row>
    <row r="401" spans="1:1">
      <c r="A401" s="2"/>
    </row>
    <row r="402" spans="1:1">
      <c r="A402" s="2"/>
    </row>
    <row r="403" spans="1:1">
      <c r="A403" s="2"/>
    </row>
    <row r="404" spans="1:1">
      <c r="A404" s="2"/>
    </row>
    <row r="405" spans="1:1">
      <c r="A405" s="2"/>
    </row>
    <row r="406" spans="1:1">
      <c r="A406" s="2"/>
    </row>
    <row r="407" spans="1:1">
      <c r="A407" s="2"/>
    </row>
    <row r="408" spans="1:1">
      <c r="A408" s="2"/>
    </row>
    <row r="409" spans="1:1">
      <c r="A409" s="2"/>
    </row>
    <row r="410" spans="1:1">
      <c r="A410" s="2"/>
    </row>
    <row r="411" spans="1:1">
      <c r="A411" s="2"/>
    </row>
    <row r="412" spans="1:1">
      <c r="A412" s="2"/>
    </row>
    <row r="413" spans="1:1">
      <c r="A413" s="2"/>
    </row>
    <row r="414" spans="1:1">
      <c r="A414" s="2"/>
    </row>
    <row r="415" spans="1:1">
      <c r="A415" s="2"/>
    </row>
    <row r="416" spans="1:1">
      <c r="A416" s="2"/>
    </row>
    <row r="417" spans="1:1">
      <c r="A417" s="2"/>
    </row>
    <row r="418" spans="1:1">
      <c r="A418" s="2"/>
    </row>
    <row r="419" spans="1:1">
      <c r="A419" s="2"/>
    </row>
    <row r="420" spans="1:1">
      <c r="A420" s="2"/>
    </row>
    <row r="421" spans="1:1">
      <c r="A421" s="2"/>
    </row>
    <row r="422" spans="1:1">
      <c r="A422" s="2"/>
    </row>
    <row r="423" spans="1:1">
      <c r="A423" s="2"/>
    </row>
    <row r="424" spans="1:1">
      <c r="A424" s="2"/>
    </row>
    <row r="425" spans="1:1">
      <c r="A425" s="2"/>
    </row>
    <row r="426" spans="1:1">
      <c r="A426" s="2"/>
    </row>
    <row r="427" spans="1:1">
      <c r="A427" s="2"/>
    </row>
    <row r="428" spans="1:1">
      <c r="A428" s="2"/>
    </row>
    <row r="429" spans="1:1">
      <c r="A429" s="2"/>
    </row>
    <row r="430" spans="1:1">
      <c r="A430" s="2"/>
    </row>
    <row r="431" spans="1:1">
      <c r="A431" s="2"/>
    </row>
    <row r="432" spans="1:1">
      <c r="A432" s="2"/>
    </row>
    <row r="433" spans="1:1">
      <c r="A433" s="2"/>
    </row>
    <row r="434" spans="1:1">
      <c r="A434" s="2"/>
    </row>
    <row r="435" spans="1:1">
      <c r="A435" s="2"/>
    </row>
    <row r="436" spans="1:1">
      <c r="A436" s="2"/>
    </row>
    <row r="437" spans="1:1">
      <c r="A437" s="2"/>
    </row>
    <row r="438" spans="1:1">
      <c r="A438" s="2"/>
    </row>
    <row r="439" spans="1:1">
      <c r="A439" s="2"/>
    </row>
    <row r="440" spans="1:1">
      <c r="A440" s="2"/>
    </row>
    <row r="441" spans="1:1">
      <c r="A441" s="2"/>
    </row>
    <row r="442" spans="1:1">
      <c r="A442" s="2"/>
    </row>
    <row r="443" spans="1:1">
      <c r="A443" s="2"/>
    </row>
    <row r="444" spans="1:1">
      <c r="A444" s="2"/>
    </row>
    <row r="445" spans="1:1">
      <c r="A445" s="2"/>
    </row>
    <row r="446" spans="1:1">
      <c r="A446" s="2"/>
    </row>
    <row r="447" spans="1:1">
      <c r="A447" s="2"/>
    </row>
    <row r="448" spans="1:1">
      <c r="A448" s="2"/>
    </row>
    <row r="449" spans="1:1">
      <c r="A449" s="2"/>
    </row>
    <row r="450" spans="1:1">
      <c r="A450" s="2"/>
    </row>
    <row r="451" spans="1:1">
      <c r="A451" s="2"/>
    </row>
    <row r="452" spans="1:1">
      <c r="A452" s="2"/>
    </row>
    <row r="453" spans="1:1">
      <c r="A453" s="2"/>
    </row>
    <row r="454" spans="1:1">
      <c r="A454" s="2"/>
    </row>
    <row r="455" spans="1:1">
      <c r="A455" s="2"/>
    </row>
    <row r="456" spans="1:1">
      <c r="A456" s="2"/>
    </row>
    <row r="457" spans="1:1">
      <c r="A457" s="2"/>
    </row>
    <row r="458" spans="1:1">
      <c r="A458" s="2"/>
    </row>
    <row r="459" spans="1:1">
      <c r="A459" s="2"/>
    </row>
    <row r="460" spans="1:1">
      <c r="A460" s="2"/>
    </row>
    <row r="461" spans="1:1">
      <c r="A461" s="2"/>
    </row>
    <row r="462" spans="1:1">
      <c r="A462" s="2"/>
    </row>
    <row r="463" spans="1:1">
      <c r="A463" s="2"/>
    </row>
    <row r="464" spans="1:1">
      <c r="A464" s="2"/>
    </row>
    <row r="465" spans="1:1">
      <c r="A465" s="2"/>
    </row>
    <row r="466" spans="1:1">
      <c r="A466" s="2"/>
    </row>
    <row r="467" spans="1:1">
      <c r="A467" s="2"/>
    </row>
    <row r="468" spans="1:1">
      <c r="A468" s="2"/>
    </row>
    <row r="469" spans="1:1">
      <c r="A469" s="2"/>
    </row>
    <row r="470" spans="1:1">
      <c r="A470" s="2"/>
    </row>
    <row r="471" spans="1:1">
      <c r="A471" s="2"/>
    </row>
    <row r="472" spans="1:1">
      <c r="A472" s="2"/>
    </row>
    <row r="473" spans="1:1">
      <c r="A473" s="2"/>
    </row>
    <row r="474" spans="1:1">
      <c r="A474" s="2"/>
    </row>
    <row r="475" spans="1:1">
      <c r="A475" s="2"/>
    </row>
    <row r="476" spans="1:1">
      <c r="A476" s="2"/>
    </row>
    <row r="477" spans="1:1">
      <c r="A477" s="2"/>
    </row>
    <row r="478" spans="1:1">
      <c r="A478" s="2"/>
    </row>
    <row r="479" spans="1:1">
      <c r="A479" s="2"/>
    </row>
    <row r="480" spans="1:1">
      <c r="A480" s="2"/>
    </row>
    <row r="481" spans="1:1">
      <c r="A481" s="2"/>
    </row>
    <row r="482" spans="1:1">
      <c r="A482" s="2"/>
    </row>
    <row r="483" spans="1:1">
      <c r="A483" s="2"/>
    </row>
    <row r="484" spans="1:1">
      <c r="A484" s="2"/>
    </row>
    <row r="485" spans="1:1">
      <c r="A485" s="2"/>
    </row>
    <row r="486" spans="1:1">
      <c r="A486" s="2"/>
    </row>
    <row r="487" spans="1:1">
      <c r="A487" s="2"/>
    </row>
    <row r="488" spans="1:1">
      <c r="A488" s="2"/>
    </row>
    <row r="489" spans="1:1">
      <c r="A489" s="2"/>
    </row>
    <row r="490" spans="1:1">
      <c r="A490" s="2"/>
    </row>
    <row r="491" spans="1:1">
      <c r="A491" s="2"/>
    </row>
    <row r="492" spans="1:1">
      <c r="A492" s="2"/>
    </row>
    <row r="493" spans="1:1">
      <c r="A493" s="2"/>
    </row>
    <row r="494" spans="1:1">
      <c r="A494" s="2"/>
    </row>
    <row r="495" spans="1:1">
      <c r="A495" s="2"/>
    </row>
    <row r="496" spans="1:1">
      <c r="A496" s="2"/>
    </row>
    <row r="497" spans="1:1">
      <c r="A497" s="2"/>
    </row>
    <row r="498" spans="1:1">
      <c r="A498" s="2"/>
    </row>
    <row r="499" spans="1:1">
      <c r="A499" s="2"/>
    </row>
    <row r="500" spans="1:1">
      <c r="A500" s="2"/>
    </row>
    <row r="501" spans="1:1">
      <c r="A501" s="2"/>
    </row>
    <row r="502" spans="1:1">
      <c r="A502" s="2"/>
    </row>
    <row r="503" spans="1:1">
      <c r="A503" s="2"/>
    </row>
    <row r="504" spans="1:1">
      <c r="A504" s="2"/>
    </row>
    <row r="505" spans="1:1">
      <c r="A505" s="2"/>
    </row>
    <row r="506" spans="1:1">
      <c r="A506" s="2"/>
    </row>
    <row r="507" spans="1:1">
      <c r="A507" s="2"/>
    </row>
    <row r="508" spans="1:1">
      <c r="A508" s="2"/>
    </row>
    <row r="509" spans="1:1">
      <c r="A509" s="2"/>
    </row>
    <row r="510" spans="1:1">
      <c r="A510" s="2"/>
    </row>
    <row r="511" spans="1:1">
      <c r="A511" s="2"/>
    </row>
    <row r="512" spans="1:1">
      <c r="A512" s="2"/>
    </row>
    <row r="513" spans="1:1">
      <c r="A513" s="2"/>
    </row>
    <row r="514" spans="1:1">
      <c r="A514" s="2"/>
    </row>
    <row r="515" spans="1:1">
      <c r="A515" s="2"/>
    </row>
    <row r="516" spans="1:1">
      <c r="A516" s="2"/>
    </row>
    <row r="517" spans="1:1">
      <c r="A517" s="2"/>
    </row>
    <row r="518" spans="1:1">
      <c r="A518" s="2"/>
    </row>
    <row r="519" spans="1:1">
      <c r="A519" s="2"/>
    </row>
    <row r="520" spans="1:1">
      <c r="A520" s="2"/>
    </row>
    <row r="521" spans="1:1">
      <c r="A521" s="2"/>
    </row>
    <row r="522" spans="1:1">
      <c r="A522" s="2"/>
    </row>
    <row r="523" spans="1:1">
      <c r="A523" s="2"/>
    </row>
    <row r="524" spans="1:1">
      <c r="A524" s="2"/>
    </row>
    <row r="525" spans="1:1">
      <c r="A525" s="2"/>
    </row>
    <row r="526" spans="1:1">
      <c r="A526" s="2"/>
    </row>
    <row r="527" spans="1:1">
      <c r="A527" s="2"/>
    </row>
    <row r="528" spans="1:1">
      <c r="A528" s="2"/>
    </row>
    <row r="529" spans="1:1">
      <c r="A529" s="2"/>
    </row>
    <row r="530" spans="1:1">
      <c r="A530" s="2"/>
    </row>
    <row r="531" spans="1:1">
      <c r="A531" s="2"/>
    </row>
    <row r="532" spans="1:1">
      <c r="A532" s="2"/>
    </row>
    <row r="533" spans="1:1">
      <c r="A533" s="2"/>
    </row>
    <row r="534" spans="1:1">
      <c r="A534" s="2"/>
    </row>
    <row r="535" spans="1:1">
      <c r="A535" s="2"/>
    </row>
    <row r="536" spans="1:1">
      <c r="A536" s="2"/>
    </row>
    <row r="537" spans="1:1">
      <c r="A537" s="2"/>
    </row>
    <row r="538" spans="1:1">
      <c r="A538" s="2"/>
    </row>
    <row r="539" spans="1:1">
      <c r="A539" s="2"/>
    </row>
    <row r="540" spans="1:1">
      <c r="A540" s="2"/>
    </row>
    <row r="541" spans="1:1">
      <c r="A541" s="2"/>
    </row>
    <row r="542" spans="1:1">
      <c r="A542" s="2"/>
    </row>
    <row r="543" spans="1:1">
      <c r="A543" s="2"/>
    </row>
    <row r="544" spans="1:1">
      <c r="A544" s="2"/>
    </row>
    <row r="545" spans="1:1">
      <c r="A545" s="2"/>
    </row>
    <row r="546" spans="1:1">
      <c r="A546" s="2"/>
    </row>
    <row r="547" spans="1:1">
      <c r="A547" s="2"/>
    </row>
    <row r="548" spans="1:1">
      <c r="A548" s="2"/>
    </row>
    <row r="549" spans="1:1">
      <c r="A549" s="2"/>
    </row>
    <row r="550" spans="1:1">
      <c r="A550" s="2"/>
    </row>
    <row r="551" spans="1:1">
      <c r="A551" s="2"/>
    </row>
    <row r="552" spans="1:1">
      <c r="A552" s="2"/>
    </row>
    <row r="553" spans="1:1">
      <c r="A553" s="2"/>
    </row>
    <row r="554" spans="1:1">
      <c r="A554" s="2"/>
    </row>
    <row r="555" spans="1:1">
      <c r="A555" s="2"/>
    </row>
    <row r="556" spans="1:1">
      <c r="A556" s="2"/>
    </row>
    <row r="557" spans="1:1">
      <c r="A557" s="2"/>
    </row>
    <row r="558" spans="1:1">
      <c r="A558" s="2"/>
    </row>
    <row r="559" spans="1:1">
      <c r="A559" s="2"/>
    </row>
    <row r="560" spans="1:1">
      <c r="A560" s="2"/>
    </row>
    <row r="561" spans="1:1">
      <c r="A561" s="2"/>
    </row>
    <row r="562" spans="1:1">
      <c r="A562" s="2"/>
    </row>
    <row r="563" spans="1:1">
      <c r="A563" s="2"/>
    </row>
    <row r="564" spans="1:1">
      <c r="A564" s="2"/>
    </row>
    <row r="565" spans="1:1">
      <c r="A565" s="2"/>
    </row>
    <row r="566" spans="1:1">
      <c r="A566" s="2"/>
    </row>
    <row r="567" spans="1:1">
      <c r="A567" s="2"/>
    </row>
    <row r="568" spans="1:1">
      <c r="A568" s="2"/>
    </row>
    <row r="569" spans="1:1">
      <c r="A569" s="2"/>
    </row>
    <row r="570" spans="1:1">
      <c r="A570" s="2"/>
    </row>
    <row r="571" spans="1:1">
      <c r="A571" s="2"/>
    </row>
    <row r="572" spans="1:1">
      <c r="A572" s="2"/>
    </row>
    <row r="573" spans="1:1">
      <c r="A573" s="2"/>
    </row>
    <row r="574" spans="1:1">
      <c r="A574" s="2"/>
    </row>
    <row r="575" spans="1:1">
      <c r="A575" s="2"/>
    </row>
    <row r="576" spans="1:1">
      <c r="A576" s="2"/>
    </row>
    <row r="577" spans="1:1">
      <c r="A577" s="2"/>
    </row>
    <row r="578" spans="1:1">
      <c r="A578" s="2"/>
    </row>
    <row r="579" spans="1:1">
      <c r="A579" s="2"/>
    </row>
    <row r="580" spans="1:1">
      <c r="A580" s="2"/>
    </row>
    <row r="581" spans="1:1">
      <c r="A581" s="2"/>
    </row>
    <row r="582" spans="1:1">
      <c r="A582" s="2"/>
    </row>
    <row r="583" spans="1:1">
      <c r="A583" s="2"/>
    </row>
    <row r="584" spans="1:1">
      <c r="A584" s="2"/>
    </row>
    <row r="585" spans="1:1">
      <c r="A585" s="2"/>
    </row>
    <row r="586" spans="1:1">
      <c r="A586" s="2"/>
    </row>
    <row r="587" spans="1:1">
      <c r="A587" s="2"/>
    </row>
    <row r="588" spans="1:1">
      <c r="A588" s="2"/>
    </row>
    <row r="589" spans="1:1">
      <c r="A589" s="2"/>
    </row>
    <row r="590" spans="1:1">
      <c r="A590" s="2"/>
    </row>
    <row r="591" spans="1:1">
      <c r="A591" s="2"/>
    </row>
    <row r="592" spans="1:1">
      <c r="A592" s="2"/>
    </row>
    <row r="593" spans="1:1">
      <c r="A593" s="2"/>
    </row>
    <row r="594" spans="1:1">
      <c r="A594" s="2"/>
    </row>
    <row r="595" spans="1:1">
      <c r="A595" s="2"/>
    </row>
    <row r="596" spans="1:1">
      <c r="A596" s="2"/>
    </row>
    <row r="597" spans="1:1">
      <c r="A597" s="2"/>
    </row>
    <row r="598" spans="1:1">
      <c r="A598" s="2"/>
    </row>
    <row r="599" spans="1:1">
      <c r="A599" s="2"/>
    </row>
    <row r="600" spans="1:1">
      <c r="A600" s="2"/>
    </row>
    <row r="601" spans="1:1">
      <c r="A601" s="2"/>
    </row>
    <row r="602" spans="1:1">
      <c r="A602" s="2"/>
    </row>
    <row r="603" spans="1:1">
      <c r="A603" s="2"/>
    </row>
    <row r="604" spans="1:1">
      <c r="A604" s="2"/>
    </row>
    <row r="605" spans="1:1">
      <c r="A605" s="2"/>
    </row>
    <row r="606" spans="1:1">
      <c r="A606" s="2"/>
    </row>
    <row r="607" spans="1:1">
      <c r="A607" s="2"/>
    </row>
    <row r="608" spans="1:1">
      <c r="A608" s="2"/>
    </row>
    <row r="609" spans="1:1">
      <c r="A609" s="2"/>
    </row>
    <row r="610" spans="1:1">
      <c r="A610" s="2"/>
    </row>
    <row r="611" spans="1:1">
      <c r="A611" s="2"/>
    </row>
    <row r="612" spans="1:1">
      <c r="A612" s="2"/>
    </row>
    <row r="613" spans="1:1">
      <c r="A613" s="2"/>
    </row>
    <row r="614" spans="1:1">
      <c r="A614" s="2"/>
    </row>
    <row r="615" spans="1:1">
      <c r="A615" s="2"/>
    </row>
    <row r="616" spans="1:1">
      <c r="A616" s="2"/>
    </row>
    <row r="617" spans="1:1">
      <c r="A617" s="2"/>
    </row>
    <row r="618" spans="1:1">
      <c r="A618" s="2"/>
    </row>
    <row r="619" spans="1:1">
      <c r="A619" s="2"/>
    </row>
    <row r="620" spans="1:1">
      <c r="A620" s="2"/>
    </row>
    <row r="621" spans="1:1">
      <c r="A621" s="2"/>
    </row>
    <row r="622" spans="1:1">
      <c r="A622" s="2"/>
    </row>
    <row r="623" spans="1:1">
      <c r="A623" s="2"/>
    </row>
    <row r="624" spans="1:1">
      <c r="A624" s="2"/>
    </row>
    <row r="625" spans="1:1">
      <c r="A625" s="2"/>
    </row>
    <row r="626" spans="1:1">
      <c r="A626" s="2"/>
    </row>
    <row r="627" spans="1:1">
      <c r="A627" s="2"/>
    </row>
    <row r="628" spans="1:1">
      <c r="A628" s="2"/>
    </row>
    <row r="629" spans="1:1">
      <c r="A629" s="2"/>
    </row>
    <row r="630" spans="1:1">
      <c r="A630" s="2"/>
    </row>
    <row r="631" spans="1:1">
      <c r="A631" s="2"/>
    </row>
    <row r="632" spans="1:1">
      <c r="A632" s="2"/>
    </row>
    <row r="633" spans="1:1">
      <c r="A633" s="2"/>
    </row>
    <row r="634" spans="1:1">
      <c r="A634" s="2"/>
    </row>
    <row r="635" spans="1:1">
      <c r="A635" s="2"/>
    </row>
    <row r="636" spans="1:1">
      <c r="A636" s="2"/>
    </row>
    <row r="637" spans="1:1">
      <c r="A637" s="2"/>
    </row>
    <row r="638" spans="1:1">
      <c r="A638" s="2"/>
    </row>
    <row r="639" spans="1:1">
      <c r="A639" s="2"/>
    </row>
    <row r="640" spans="1:1">
      <c r="A640" s="2"/>
    </row>
    <row r="641" spans="1:1">
      <c r="A641" s="2"/>
    </row>
    <row r="642" spans="1:1">
      <c r="A642" s="2"/>
    </row>
    <row r="643" spans="1:1">
      <c r="A643" s="2"/>
    </row>
    <row r="644" spans="1:1">
      <c r="A644" s="2"/>
    </row>
    <row r="645" spans="1:1">
      <c r="A645" s="2"/>
    </row>
    <row r="646" spans="1:1">
      <c r="A646" s="2"/>
    </row>
    <row r="647" spans="1:1">
      <c r="A647" s="2"/>
    </row>
    <row r="648" spans="1:1">
      <c r="A648" s="2"/>
    </row>
    <row r="649" spans="1:1">
      <c r="A649" s="2"/>
    </row>
    <row r="650" spans="1:1">
      <c r="A650" s="2"/>
    </row>
    <row r="651" spans="1:1">
      <c r="A651" s="2"/>
    </row>
    <row r="652" spans="1:1">
      <c r="A652" s="2"/>
    </row>
    <row r="653" spans="1:1">
      <c r="A653" s="2"/>
    </row>
    <row r="654" spans="1:1">
      <c r="A654" s="2"/>
    </row>
    <row r="655" spans="1:1">
      <c r="A655" s="2"/>
    </row>
    <row r="656" spans="1:1">
      <c r="A656" s="2"/>
    </row>
    <row r="657" spans="1:1">
      <c r="A657" s="2"/>
    </row>
    <row r="658" spans="1:1">
      <c r="A658" s="2"/>
    </row>
    <row r="659" spans="1:1">
      <c r="A659" s="2"/>
    </row>
    <row r="660" spans="1:1">
      <c r="A660" s="2"/>
    </row>
    <row r="661" spans="1:1">
      <c r="A661" s="2"/>
    </row>
    <row r="662" spans="1:1">
      <c r="A662" s="2"/>
    </row>
    <row r="663" spans="1:1">
      <c r="A663" s="2"/>
    </row>
    <row r="664" spans="1:1">
      <c r="A664" s="2"/>
    </row>
    <row r="665" spans="1:1">
      <c r="A665" s="2"/>
    </row>
    <row r="666" spans="1:1">
      <c r="A666" s="2"/>
    </row>
    <row r="667" spans="1:1">
      <c r="A667" s="2"/>
    </row>
    <row r="668" spans="1:1">
      <c r="A668" s="2"/>
    </row>
    <row r="669" spans="1:1">
      <c r="A669" s="2"/>
    </row>
    <row r="670" spans="1:1">
      <c r="A670" s="2"/>
    </row>
    <row r="671" spans="1:1">
      <c r="A671" s="2"/>
    </row>
    <row r="672" spans="1:1">
      <c r="A672" s="2"/>
    </row>
    <row r="673" spans="1:1">
      <c r="A673" s="2"/>
    </row>
    <row r="674" spans="1:1">
      <c r="A674" s="2"/>
    </row>
    <row r="675" spans="1:1">
      <c r="A675" s="2"/>
    </row>
    <row r="676" spans="1:1">
      <c r="A676" s="2"/>
    </row>
    <row r="677" spans="1:1">
      <c r="A677" s="2"/>
    </row>
    <row r="678" spans="1:1">
      <c r="A678" s="2"/>
    </row>
    <row r="679" spans="1:1">
      <c r="A679" s="2"/>
    </row>
    <row r="680" spans="1:1">
      <c r="A680" s="2"/>
    </row>
    <row r="681" spans="1:1">
      <c r="A681" s="2"/>
    </row>
    <row r="682" spans="1:1">
      <c r="A682" s="2"/>
    </row>
    <row r="683" spans="1:1">
      <c r="A683" s="2"/>
    </row>
    <row r="684" spans="1:1">
      <c r="A684" s="2"/>
    </row>
    <row r="685" spans="1:1">
      <c r="A685" s="2"/>
    </row>
    <row r="686" spans="1:1">
      <c r="A686" s="2"/>
    </row>
    <row r="687" spans="1:1">
      <c r="A687" s="2"/>
    </row>
    <row r="688" spans="1:1">
      <c r="A688" s="2"/>
    </row>
    <row r="689" spans="1:1">
      <c r="A689" s="2"/>
    </row>
    <row r="690" spans="1:1">
      <c r="A690" s="2"/>
    </row>
    <row r="691" spans="1:1">
      <c r="A691" s="2"/>
    </row>
    <row r="692" spans="1:1">
      <c r="A692" s="2"/>
    </row>
    <row r="693" spans="1:1">
      <c r="A693" s="2"/>
    </row>
    <row r="694" spans="1:1">
      <c r="A694" s="2"/>
    </row>
    <row r="695" spans="1:1">
      <c r="A695" s="2"/>
    </row>
    <row r="696" spans="1:1">
      <c r="A696" s="2"/>
    </row>
    <row r="697" spans="1:1">
      <c r="A697" s="2"/>
    </row>
    <row r="698" spans="1:1">
      <c r="A698" s="2"/>
    </row>
    <row r="699" spans="1:1">
      <c r="A699" s="2"/>
    </row>
    <row r="700" spans="1:1">
      <c r="A700" s="2"/>
    </row>
    <row r="701" spans="1:1">
      <c r="A701" s="2"/>
    </row>
    <row r="702" spans="1:1">
      <c r="A702" s="2"/>
    </row>
    <row r="703" spans="1:1">
      <c r="A703" s="2"/>
    </row>
    <row r="704" spans="1:1">
      <c r="A704" s="2"/>
    </row>
    <row r="705" spans="1:1">
      <c r="A705" s="2"/>
    </row>
    <row r="706" spans="1:1">
      <c r="A706" s="2"/>
    </row>
    <row r="707" spans="1:1">
      <c r="A707" s="2"/>
    </row>
    <row r="708" spans="1:1">
      <c r="A708" s="2"/>
    </row>
    <row r="709" spans="1:1">
      <c r="A709" s="2"/>
    </row>
    <row r="710" spans="1:1">
      <c r="A710" s="2"/>
    </row>
    <row r="711" spans="1:1">
      <c r="A711" s="2"/>
    </row>
    <row r="712" spans="1:1">
      <c r="A712" s="2"/>
    </row>
    <row r="713" spans="1:1">
      <c r="A713" s="2"/>
    </row>
    <row r="714" spans="1:1">
      <c r="A714" s="2"/>
    </row>
    <row r="715" spans="1:1">
      <c r="A715" s="2"/>
    </row>
    <row r="716" spans="1:1">
      <c r="A716" s="2"/>
    </row>
    <row r="717" spans="1:1">
      <c r="A717" s="2"/>
    </row>
    <row r="718" spans="1:1">
      <c r="A718" s="2"/>
    </row>
    <row r="719" spans="1:1">
      <c r="A719" s="2"/>
    </row>
    <row r="720" spans="1:1">
      <c r="A720" s="2"/>
    </row>
    <row r="721" spans="1:1">
      <c r="A721" s="2"/>
    </row>
    <row r="722" spans="1:1">
      <c r="A722" s="2"/>
    </row>
    <row r="723" spans="1:1">
      <c r="A723" s="2"/>
    </row>
    <row r="724" spans="1:1">
      <c r="A724" s="2"/>
    </row>
    <row r="725" spans="1:1">
      <c r="A725" s="2"/>
    </row>
    <row r="726" spans="1:1">
      <c r="A726" s="2"/>
    </row>
    <row r="727" spans="1:1">
      <c r="A727" s="2"/>
    </row>
    <row r="728" spans="1:1">
      <c r="A728" s="2"/>
    </row>
    <row r="729" spans="1:1">
      <c r="A729" s="2"/>
    </row>
    <row r="730" spans="1:1">
      <c r="A730" s="2"/>
    </row>
    <row r="731" spans="1:1">
      <c r="A731" s="2"/>
    </row>
    <row r="732" spans="1:1">
      <c r="A732" s="2"/>
    </row>
    <row r="733" spans="1:1">
      <c r="A733" s="2"/>
    </row>
    <row r="734" spans="1:1">
      <c r="A734" s="2"/>
    </row>
    <row r="735" spans="1:1">
      <c r="A735" s="2"/>
    </row>
    <row r="736" spans="1:1">
      <c r="A736" s="2"/>
    </row>
    <row r="737" spans="1:1">
      <c r="A737" s="2"/>
    </row>
    <row r="738" spans="1:1">
      <c r="A738" s="2"/>
    </row>
    <row r="739" spans="1:1">
      <c r="A739" s="2"/>
    </row>
    <row r="740" spans="1:1">
      <c r="A740" s="2"/>
    </row>
    <row r="741" spans="1:1">
      <c r="A741" s="2"/>
    </row>
    <row r="742" spans="1:1">
      <c r="A742" s="2"/>
    </row>
    <row r="743" spans="1:1">
      <c r="A743" s="2"/>
    </row>
    <row r="744" spans="1:1">
      <c r="A744" s="2"/>
    </row>
    <row r="745" spans="1:1">
      <c r="A745" s="2"/>
    </row>
    <row r="746" spans="1:1">
      <c r="A746" s="2"/>
    </row>
    <row r="747" spans="1:1">
      <c r="A747" s="2"/>
    </row>
    <row r="748" spans="1:1">
      <c r="A748" s="2"/>
    </row>
    <row r="749" spans="1:1">
      <c r="A749" s="2"/>
    </row>
    <row r="750" spans="1:1">
      <c r="A750" s="2"/>
    </row>
    <row r="751" spans="1:1">
      <c r="A751" s="2"/>
    </row>
    <row r="752" spans="1:1">
      <c r="A752" s="2"/>
    </row>
    <row r="753" spans="1:1">
      <c r="A753" s="2"/>
    </row>
    <row r="754" spans="1:1">
      <c r="A754" s="2"/>
    </row>
    <row r="755" spans="1:1">
      <c r="A755" s="2"/>
    </row>
    <row r="756" spans="1:1">
      <c r="A756" s="2"/>
    </row>
    <row r="757" spans="1:1">
      <c r="A757" s="2"/>
    </row>
    <row r="758" spans="1:1">
      <c r="A758" s="2"/>
    </row>
    <row r="759" spans="1:1">
      <c r="A759" s="2"/>
    </row>
    <row r="760" spans="1:1">
      <c r="A760" s="2"/>
    </row>
    <row r="761" spans="1:1">
      <c r="A761" s="2"/>
    </row>
    <row r="762" spans="1:1">
      <c r="A762" s="2"/>
    </row>
    <row r="763" spans="1:1">
      <c r="A763" s="2"/>
    </row>
    <row r="764" spans="1:1">
      <c r="A764" s="2"/>
    </row>
    <row r="765" spans="1:1">
      <c r="A765" s="2"/>
    </row>
    <row r="766" spans="1:1">
      <c r="A766" s="2"/>
    </row>
    <row r="767" spans="1:1">
      <c r="A767" s="2"/>
    </row>
    <row r="768" spans="1:1">
      <c r="A768" s="2"/>
    </row>
    <row r="769" spans="1:1">
      <c r="A769" s="2"/>
    </row>
    <row r="770" spans="1:1">
      <c r="A770" s="2"/>
    </row>
    <row r="771" spans="1:1">
      <c r="A771" s="2"/>
    </row>
    <row r="772" spans="1:1">
      <c r="A772" s="2"/>
    </row>
    <row r="773" spans="1:1">
      <c r="A773" s="2"/>
    </row>
    <row r="774" spans="1:1">
      <c r="A774" s="2"/>
    </row>
    <row r="775" spans="1:1">
      <c r="A775" s="2"/>
    </row>
    <row r="776" spans="1:1">
      <c r="A776" s="2"/>
    </row>
    <row r="777" spans="1:1">
      <c r="A777" s="2"/>
    </row>
    <row r="778" spans="1:1">
      <c r="A778" s="2"/>
    </row>
    <row r="779" spans="1:1">
      <c r="A779" s="2"/>
    </row>
    <row r="780" spans="1:1">
      <c r="A780" s="2"/>
    </row>
    <row r="781" spans="1:1">
      <c r="A781" s="2"/>
    </row>
    <row r="782" spans="1:1">
      <c r="A782" s="2"/>
    </row>
    <row r="783" spans="1:1">
      <c r="A783" s="2"/>
    </row>
    <row r="784" spans="1:1">
      <c r="A784" s="2"/>
    </row>
    <row r="785" spans="1:1">
      <c r="A785" s="2"/>
    </row>
    <row r="786" spans="1:1">
      <c r="A786" s="2"/>
    </row>
    <row r="787" spans="1:1">
      <c r="A787" s="2"/>
    </row>
    <row r="788" spans="1:1">
      <c r="A788" s="2"/>
    </row>
    <row r="789" spans="1:1">
      <c r="A789" s="2"/>
    </row>
    <row r="790" spans="1:1">
      <c r="A790" s="2"/>
    </row>
    <row r="791" spans="1:1">
      <c r="A791" s="2"/>
    </row>
    <row r="792" spans="1:1">
      <c r="A792" s="2"/>
    </row>
    <row r="793" spans="1:1">
      <c r="A793" s="2"/>
    </row>
    <row r="794" spans="1:1">
      <c r="A794" s="2"/>
    </row>
    <row r="795" spans="1:1">
      <c r="A795" s="2"/>
    </row>
    <row r="796" spans="1:1">
      <c r="A796" s="2"/>
    </row>
    <row r="797" spans="1:1">
      <c r="A797" s="2"/>
    </row>
    <row r="798" spans="1:1">
      <c r="A798" s="2"/>
    </row>
    <row r="799" spans="1:1">
      <c r="A799" s="2"/>
    </row>
    <row r="800" spans="1:1">
      <c r="A800" s="2"/>
    </row>
    <row r="801" spans="1:1">
      <c r="A801" s="2"/>
    </row>
    <row r="802" spans="1:1">
      <c r="A802" s="2"/>
    </row>
    <row r="803" spans="1:1">
      <c r="A803" s="2"/>
    </row>
    <row r="804" spans="1:1">
      <c r="A804" s="2"/>
    </row>
    <row r="805" spans="1:1">
      <c r="A805" s="2"/>
    </row>
    <row r="806" spans="1:1">
      <c r="A806" s="2"/>
    </row>
    <row r="807" spans="1:1">
      <c r="A807" s="2"/>
    </row>
    <row r="808" spans="1:1">
      <c r="A808" s="2"/>
    </row>
    <row r="809" spans="1:1">
      <c r="A809" s="2"/>
    </row>
    <row r="810" spans="1:1">
      <c r="A810" s="2"/>
    </row>
    <row r="811" spans="1:1">
      <c r="A811" s="2"/>
    </row>
    <row r="812" spans="1:1">
      <c r="A812" s="2"/>
    </row>
    <row r="813" spans="1:1">
      <c r="A813" s="2"/>
    </row>
    <row r="814" spans="1:1">
      <c r="A814" s="2"/>
    </row>
    <row r="815" spans="1:1">
      <c r="A815" s="2"/>
    </row>
    <row r="816" spans="1:1">
      <c r="A816" s="2"/>
    </row>
    <row r="817" spans="1:1">
      <c r="A817" s="2"/>
    </row>
    <row r="818" spans="1:1">
      <c r="A818" s="2"/>
    </row>
    <row r="819" spans="1:1">
      <c r="A819" s="2"/>
    </row>
    <row r="820" spans="1:1">
      <c r="A820" s="2"/>
    </row>
    <row r="821" spans="1:1">
      <c r="A821" s="2"/>
    </row>
    <row r="822" spans="1:1">
      <c r="A822" s="2"/>
    </row>
    <row r="823" spans="1:1">
      <c r="A823" s="2"/>
    </row>
    <row r="824" spans="1:1">
      <c r="A824" s="2"/>
    </row>
    <row r="825" spans="1:1">
      <c r="A825" s="2"/>
    </row>
    <row r="826" spans="1:1">
      <c r="A826" s="2"/>
    </row>
    <row r="827" spans="1:1">
      <c r="A827" s="2"/>
    </row>
    <row r="828" spans="1:1">
      <c r="A828" s="2"/>
    </row>
    <row r="829" spans="1:1">
      <c r="A829" s="2"/>
    </row>
    <row r="830" spans="1:1">
      <c r="A830" s="2"/>
    </row>
    <row r="831" spans="1:1">
      <c r="A831" s="2"/>
    </row>
    <row r="832" spans="1:1">
      <c r="A832" s="2"/>
    </row>
    <row r="833" spans="1:1">
      <c r="A833" s="2"/>
    </row>
    <row r="834" spans="1:1">
      <c r="A834" s="2"/>
    </row>
    <row r="835" spans="1:1">
      <c r="A835" s="2"/>
    </row>
    <row r="836" spans="1:1">
      <c r="A836" s="2"/>
    </row>
    <row r="837" spans="1:1">
      <c r="A837" s="2"/>
    </row>
    <row r="838" spans="1:1">
      <c r="A838" s="2"/>
    </row>
    <row r="839" spans="1:1">
      <c r="A839" s="2"/>
    </row>
    <row r="840" spans="1:1">
      <c r="A840" s="2"/>
    </row>
    <row r="841" spans="1:1">
      <c r="A841" s="2"/>
    </row>
    <row r="842" spans="1:1">
      <c r="A842" s="2"/>
    </row>
    <row r="843" spans="1:1">
      <c r="A843" s="2"/>
    </row>
    <row r="844" spans="1:1">
      <c r="A844" s="2"/>
    </row>
    <row r="845" spans="1:1">
      <c r="A845" s="2"/>
    </row>
    <row r="846" spans="1:1">
      <c r="A846" s="2"/>
    </row>
    <row r="847" spans="1:1">
      <c r="A847" s="2"/>
    </row>
    <row r="848" spans="1:1">
      <c r="A848" s="2"/>
    </row>
    <row r="849" spans="1:1">
      <c r="A849" s="2"/>
    </row>
    <row r="850" spans="1:1">
      <c r="A850" s="2"/>
    </row>
    <row r="851" spans="1:1">
      <c r="A851" s="2"/>
    </row>
    <row r="852" spans="1:1">
      <c r="A852" s="2"/>
    </row>
    <row r="853" spans="1:1">
      <c r="A853" s="2"/>
    </row>
    <row r="854" spans="1:1">
      <c r="A854" s="2"/>
    </row>
    <row r="855" spans="1:1">
      <c r="A855" s="2"/>
    </row>
    <row r="856" spans="1:1">
      <c r="A856" s="2"/>
    </row>
    <row r="857" spans="1:1">
      <c r="A857" s="2"/>
    </row>
    <row r="858" spans="1:1">
      <c r="A858" s="2"/>
    </row>
    <row r="859" spans="1:1">
      <c r="A859" s="2"/>
    </row>
    <row r="860" spans="1:1">
      <c r="A860" s="2"/>
    </row>
    <row r="861" spans="1:1">
      <c r="A861" s="2"/>
    </row>
    <row r="862" spans="1:1">
      <c r="A862" s="2"/>
    </row>
    <row r="863" spans="1:1">
      <c r="A863" s="2"/>
    </row>
    <row r="864" spans="1:1">
      <c r="A864" s="2"/>
    </row>
    <row r="865" spans="1:1">
      <c r="A865" s="2"/>
    </row>
    <row r="866" spans="1:1">
      <c r="A866" s="2"/>
    </row>
    <row r="867" spans="1:1">
      <c r="A867" s="2"/>
    </row>
    <row r="868" spans="1:1">
      <c r="A868" s="2"/>
    </row>
    <row r="869" spans="1:1">
      <c r="A869" s="2"/>
    </row>
    <row r="870" spans="1:1">
      <c r="A870" s="2"/>
    </row>
    <row r="871" spans="1:1">
      <c r="A871" s="2"/>
    </row>
    <row r="872" spans="1:1">
      <c r="A872" s="2"/>
    </row>
    <row r="873" spans="1:1">
      <c r="A873" s="2"/>
    </row>
    <row r="874" spans="1:1">
      <c r="A874" s="2"/>
    </row>
    <row r="875" spans="1:1">
      <c r="A875" s="2"/>
    </row>
    <row r="876" spans="1:1">
      <c r="A876" s="2"/>
    </row>
    <row r="877" spans="1:1">
      <c r="A877" s="2"/>
    </row>
    <row r="878" spans="1:1">
      <c r="A878" s="2"/>
    </row>
    <row r="879" spans="1:1">
      <c r="A879" s="2"/>
    </row>
    <row r="880" spans="1:1">
      <c r="A880" s="2"/>
    </row>
    <row r="881" spans="1:1">
      <c r="A881" s="2"/>
    </row>
    <row r="882" spans="1:1">
      <c r="A882" s="2"/>
    </row>
    <row r="883" spans="1:1">
      <c r="A883" s="2"/>
    </row>
    <row r="884" spans="1:1">
      <c r="A884" s="2"/>
    </row>
    <row r="885" spans="1:1">
      <c r="A885" s="2"/>
    </row>
    <row r="886" spans="1:1">
      <c r="A886" s="2"/>
    </row>
    <row r="887" spans="1:1">
      <c r="A887" s="2"/>
    </row>
    <row r="888" spans="1:1">
      <c r="A888" s="2"/>
    </row>
    <row r="889" spans="1:1">
      <c r="A889" s="2"/>
    </row>
    <row r="890" spans="1:1">
      <c r="A890" s="2"/>
    </row>
    <row r="891" spans="1:1">
      <c r="A891" s="2"/>
    </row>
    <row r="892" spans="1:1">
      <c r="A892" s="2"/>
    </row>
    <row r="893" spans="1:1">
      <c r="A893" s="2"/>
    </row>
    <row r="894" spans="1:1">
      <c r="A894" s="2"/>
    </row>
    <row r="895" spans="1:1">
      <c r="A895" s="2"/>
    </row>
    <row r="896" spans="1:1">
      <c r="A896" s="2"/>
    </row>
    <row r="897" spans="1:1">
      <c r="A897" s="2"/>
    </row>
    <row r="898" spans="1:1">
      <c r="A898" s="2"/>
    </row>
    <row r="899" spans="1:1">
      <c r="A899" s="2"/>
    </row>
    <row r="900" spans="1:1">
      <c r="A900" s="2"/>
    </row>
    <row r="901" spans="1:1">
      <c r="A901" s="2"/>
    </row>
    <row r="902" spans="1:1">
      <c r="A902" s="2"/>
    </row>
    <row r="903" spans="1:1">
      <c r="A903" s="2"/>
    </row>
    <row r="904" spans="1:1">
      <c r="A904" s="2"/>
    </row>
    <row r="905" spans="1:1">
      <c r="A905" s="2"/>
    </row>
    <row r="906" spans="1:1">
      <c r="A906" s="2"/>
    </row>
    <row r="907" spans="1:1">
      <c r="A907" s="2"/>
    </row>
    <row r="908" spans="1:1">
      <c r="A908" s="2"/>
    </row>
    <row r="909" spans="1:1">
      <c r="A909" s="2"/>
    </row>
    <row r="910" spans="1:1">
      <c r="A910" s="2"/>
    </row>
    <row r="911" spans="1:1">
      <c r="A911" s="2"/>
    </row>
    <row r="912" spans="1:1">
      <c r="A912" s="2"/>
    </row>
    <row r="913" spans="1:1">
      <c r="A913" s="2"/>
    </row>
    <row r="914" spans="1:1">
      <c r="A914" s="2"/>
    </row>
    <row r="915" spans="1:1">
      <c r="A915" s="2"/>
    </row>
    <row r="916" spans="1:1">
      <c r="A916" s="2"/>
    </row>
    <row r="917" spans="1:1">
      <c r="A917" s="2"/>
    </row>
    <row r="918" spans="1:1">
      <c r="A918" s="2"/>
    </row>
    <row r="919" spans="1:1">
      <c r="A919" s="2"/>
    </row>
    <row r="920" spans="1:1">
      <c r="A920" s="2"/>
    </row>
    <row r="921" spans="1:1">
      <c r="A921" s="2"/>
    </row>
    <row r="922" spans="1:1">
      <c r="A922" s="2"/>
    </row>
    <row r="923" spans="1:1">
      <c r="A923" s="2"/>
    </row>
    <row r="924" spans="1:1">
      <c r="A924" s="2"/>
    </row>
    <row r="925" spans="1:1">
      <c r="A925" s="2"/>
    </row>
    <row r="926" spans="1:1">
      <c r="A926" s="2"/>
    </row>
    <row r="927" spans="1:1">
      <c r="A927" s="2"/>
    </row>
    <row r="928" spans="1:1">
      <c r="A928" s="2"/>
    </row>
    <row r="929" spans="1:1">
      <c r="A929" s="2"/>
    </row>
    <row r="930" spans="1:1">
      <c r="A930" s="2"/>
    </row>
    <row r="931" spans="1:1">
      <c r="A931" s="2"/>
    </row>
    <row r="932" spans="1:1">
      <c r="A932" s="2"/>
    </row>
    <row r="933" spans="1:1">
      <c r="A933" s="2"/>
    </row>
    <row r="934" spans="1:1">
      <c r="A934" s="2"/>
    </row>
    <row r="935" spans="1:1">
      <c r="A935" s="2"/>
    </row>
    <row r="936" spans="1:1">
      <c r="A936" s="2"/>
    </row>
    <row r="937" spans="1:1">
      <c r="A937" s="2"/>
    </row>
    <row r="938" spans="1:1">
      <c r="A938" s="2"/>
    </row>
    <row r="939" spans="1:1">
      <c r="A939" s="2"/>
    </row>
    <row r="940" spans="1:1">
      <c r="A940" s="2"/>
    </row>
    <row r="941" spans="1:1">
      <c r="A941" s="2"/>
    </row>
    <row r="942" spans="1:1">
      <c r="A942" s="2"/>
    </row>
    <row r="943" spans="1:1">
      <c r="A943" s="2"/>
    </row>
    <row r="944" spans="1:1">
      <c r="A944" s="2"/>
    </row>
    <row r="945" spans="1:1">
      <c r="A945" s="2"/>
    </row>
    <row r="946" spans="1:1">
      <c r="A946" s="2"/>
    </row>
    <row r="947" spans="1:1">
      <c r="A947" s="2"/>
    </row>
    <row r="948" spans="1:1">
      <c r="A948" s="2"/>
    </row>
    <row r="949" spans="1:1">
      <c r="A949" s="2"/>
    </row>
    <row r="950" spans="1:1">
      <c r="A950" s="2"/>
    </row>
    <row r="951" spans="1:1">
      <c r="A951" s="2"/>
    </row>
    <row r="952" spans="1:1">
      <c r="A952" s="2"/>
    </row>
    <row r="953" spans="1:1">
      <c r="A953" s="2"/>
    </row>
    <row r="954" spans="1:1">
      <c r="A954" s="2"/>
    </row>
    <row r="955" spans="1:1">
      <c r="A955" s="2"/>
    </row>
    <row r="956" spans="1:1">
      <c r="A956" s="2"/>
    </row>
    <row r="957" spans="1:1">
      <c r="A957" s="2"/>
    </row>
    <row r="958" spans="1:1">
      <c r="A958" s="2"/>
    </row>
    <row r="959" spans="1:1">
      <c r="A959" s="2"/>
    </row>
    <row r="960" spans="1:1">
      <c r="A960" s="2"/>
    </row>
    <row r="961" spans="1:1">
      <c r="A961" s="2"/>
    </row>
    <row r="962" spans="1:1">
      <c r="A962" s="2"/>
    </row>
    <row r="963" spans="1:1">
      <c r="A963" s="2"/>
    </row>
    <row r="964" spans="1:1">
      <c r="A964" s="2"/>
    </row>
    <row r="965" spans="1:1">
      <c r="A965" s="2"/>
    </row>
    <row r="966" spans="1:1">
      <c r="A966" s="2"/>
    </row>
    <row r="967" spans="1:1">
      <c r="A967" s="2"/>
    </row>
    <row r="968" spans="1:1">
      <c r="A968" s="2"/>
    </row>
    <row r="969" spans="1:1">
      <c r="A969" s="2"/>
    </row>
    <row r="970" spans="1:1">
      <c r="A970" s="2"/>
    </row>
    <row r="971" spans="1:1">
      <c r="A971" s="2"/>
    </row>
    <row r="972" spans="1:1">
      <c r="A972" s="2"/>
    </row>
    <row r="973" spans="1:1">
      <c r="A973" s="2"/>
    </row>
    <row r="974" spans="1:1">
      <c r="A974" s="2"/>
    </row>
    <row r="975" spans="1:1">
      <c r="A975" s="2"/>
    </row>
    <row r="976" spans="1:1">
      <c r="A976" s="2"/>
    </row>
    <row r="977" spans="1:1">
      <c r="A977" s="2"/>
    </row>
    <row r="978" spans="1:1">
      <c r="A978" s="2"/>
    </row>
    <row r="979" spans="1:1">
      <c r="A979" s="2"/>
    </row>
    <row r="980" spans="1:1">
      <c r="A980" s="2"/>
    </row>
    <row r="981" spans="1:1">
      <c r="A981" s="2"/>
    </row>
    <row r="982" spans="1:1">
      <c r="A982" s="2"/>
    </row>
    <row r="983" spans="1:1">
      <c r="A983" s="2"/>
    </row>
    <row r="984" spans="1:1">
      <c r="A984" s="2"/>
    </row>
    <row r="985" spans="1:1">
      <c r="A985" s="2"/>
    </row>
    <row r="986" spans="1:1">
      <c r="A986" s="2"/>
    </row>
    <row r="987" spans="1:1">
      <c r="A987" s="2"/>
    </row>
    <row r="988" spans="1:1">
      <c r="A988" s="2"/>
    </row>
    <row r="989" spans="1:1">
      <c r="A989" s="2"/>
    </row>
    <row r="990" spans="1:1">
      <c r="A990" s="2"/>
    </row>
    <row r="991" spans="1:1">
      <c r="A991" s="2"/>
    </row>
    <row r="992" spans="1:1">
      <c r="A992" s="2"/>
    </row>
    <row r="993" spans="1:1">
      <c r="A993" s="2"/>
    </row>
    <row r="994" spans="1:1">
      <c r="A994" s="2"/>
    </row>
    <row r="995" spans="1:1">
      <c r="A995" s="2"/>
    </row>
    <row r="996" spans="1:1">
      <c r="A996" s="2"/>
    </row>
    <row r="997" spans="1:1">
      <c r="A997" s="2"/>
    </row>
    <row r="998" spans="1:1">
      <c r="A998" s="2"/>
    </row>
    <row r="999" spans="1:1">
      <c r="A999" s="2"/>
    </row>
    <row r="1000" spans="1:1">
      <c r="A1000" s="2"/>
    </row>
    <row r="1001" spans="1:1">
      <c r="A1001" s="2"/>
    </row>
    <row r="1002" spans="1:1">
      <c r="A1002" s="2"/>
    </row>
    <row r="1003" spans="1:1">
      <c r="A1003" s="2"/>
    </row>
    <row r="1004" spans="1:1">
      <c r="A1004" s="2"/>
    </row>
    <row r="1005" spans="1:1">
      <c r="A1005" s="2"/>
    </row>
    <row r="1006" spans="1:1">
      <c r="A1006" s="2"/>
    </row>
    <row r="1007" spans="1:1">
      <c r="A1007" s="2"/>
    </row>
    <row r="1008" spans="1:1">
      <c r="A1008" s="2"/>
    </row>
    <row r="1009" spans="1:1">
      <c r="A1009" s="2"/>
    </row>
    <row r="1010" spans="1:1">
      <c r="A1010" s="2"/>
    </row>
    <row r="1011" spans="1:1">
      <c r="A1011" s="2"/>
    </row>
    <row r="1012" spans="1:1">
      <c r="A1012" s="2"/>
    </row>
    <row r="1013" spans="1:1">
      <c r="A1013" s="2"/>
    </row>
    <row r="1014" spans="1:1">
      <c r="A1014" s="2"/>
    </row>
    <row r="1015" spans="1:1">
      <c r="A1015" s="2"/>
    </row>
    <row r="1016" spans="1:1">
      <c r="A1016" s="2"/>
    </row>
    <row r="1017" spans="1:1">
      <c r="A1017" s="2"/>
    </row>
    <row r="1018" spans="1:1">
      <c r="A1018" s="2"/>
    </row>
    <row r="1019" spans="1:1">
      <c r="A1019" s="2"/>
    </row>
    <row r="1020" spans="1:1">
      <c r="A1020" s="2"/>
    </row>
    <row r="1021" spans="1:1">
      <c r="A1021" s="2"/>
    </row>
    <row r="1022" spans="1:1">
      <c r="A1022" s="2"/>
    </row>
    <row r="1023" spans="1:1">
      <c r="A1023" s="2"/>
    </row>
    <row r="1024" spans="1:1">
      <c r="A1024" s="2"/>
    </row>
    <row r="1025" spans="1:1">
      <c r="A1025" s="2"/>
    </row>
    <row r="1026" spans="1:1">
      <c r="A1026" s="2"/>
    </row>
    <row r="1027" spans="1:1">
      <c r="A1027" s="2"/>
    </row>
    <row r="1028" spans="1:1">
      <c r="A1028" s="2"/>
    </row>
    <row r="1029" spans="1:1">
      <c r="A1029" s="2"/>
    </row>
    <row r="1030" spans="1:1">
      <c r="A1030" s="2"/>
    </row>
    <row r="1031" spans="1:1">
      <c r="A1031" s="2"/>
    </row>
    <row r="1032" spans="1:1">
      <c r="A1032" s="2"/>
    </row>
    <row r="1033" spans="1:1">
      <c r="A1033" s="2"/>
    </row>
    <row r="1034" spans="1:1">
      <c r="A1034" s="2"/>
    </row>
    <row r="1035" spans="1:1">
      <c r="A1035" s="2"/>
    </row>
    <row r="1036" spans="1:1">
      <c r="A1036" s="2"/>
    </row>
    <row r="1037" spans="1:1">
      <c r="A1037" s="2"/>
    </row>
    <row r="1038" spans="1:1">
      <c r="A1038" s="2"/>
    </row>
    <row r="1039" spans="1:1">
      <c r="A1039" s="2"/>
    </row>
    <row r="1040" spans="1:1">
      <c r="A1040" s="2"/>
    </row>
    <row r="1041" spans="1:1">
      <c r="A1041" s="2"/>
    </row>
    <row r="1042" spans="1:1">
      <c r="A1042" s="2"/>
    </row>
    <row r="1043" spans="1:1">
      <c r="A1043" s="2"/>
    </row>
    <row r="1044" spans="1:1">
      <c r="A1044" s="2"/>
    </row>
    <row r="1045" spans="1:1">
      <c r="A1045" s="2"/>
    </row>
    <row r="1046" spans="1:1">
      <c r="A1046" s="2"/>
    </row>
    <row r="1047" spans="1:1">
      <c r="A1047" s="2"/>
    </row>
    <row r="1048" spans="1:1">
      <c r="A1048" s="2"/>
    </row>
    <row r="1049" spans="1:1">
      <c r="A1049" s="2"/>
    </row>
    <row r="1050" spans="1:1">
      <c r="A1050" s="2"/>
    </row>
    <row r="1051" spans="1:1">
      <c r="A1051" s="2"/>
    </row>
    <row r="1052" spans="1:1">
      <c r="A1052" s="2"/>
    </row>
    <row r="1053" spans="1:1">
      <c r="A1053" s="2"/>
    </row>
    <row r="1054" spans="1:1">
      <c r="A1054" s="2"/>
    </row>
    <row r="1055" spans="1:1">
      <c r="A1055" s="2"/>
    </row>
    <row r="1056" spans="1:1">
      <c r="A1056" s="2"/>
    </row>
    <row r="1057" spans="1:1">
      <c r="A1057" s="2"/>
    </row>
    <row r="1058" spans="1:1">
      <c r="A1058" s="2"/>
    </row>
    <row r="1059" spans="1:1">
      <c r="A1059" s="2"/>
    </row>
    <row r="1060" spans="1:1">
      <c r="A1060" s="2"/>
    </row>
    <row r="1061" spans="1:1">
      <c r="A1061" s="2"/>
    </row>
    <row r="1062" spans="1:1">
      <c r="A1062" s="2"/>
    </row>
    <row r="1063" spans="1:1">
      <c r="A1063" s="2"/>
    </row>
    <row r="1064" spans="1:1">
      <c r="A1064" s="2"/>
    </row>
    <row r="1065" spans="1:1">
      <c r="A1065" s="2"/>
    </row>
    <row r="1066" spans="1:1">
      <c r="A1066" s="2"/>
    </row>
    <row r="1067" spans="1:1">
      <c r="A1067" s="2"/>
    </row>
    <row r="1068" spans="1:1">
      <c r="A1068" s="2"/>
    </row>
    <row r="1069" spans="1:1">
      <c r="A1069" s="2"/>
    </row>
    <row r="1070" spans="1:1">
      <c r="A1070" s="2"/>
    </row>
    <row r="1071" spans="1:1">
      <c r="A1071" s="2"/>
    </row>
    <row r="1072" spans="1:1">
      <c r="A1072" s="2"/>
    </row>
    <row r="1073" spans="1:1">
      <c r="A1073" s="2"/>
    </row>
    <row r="1074" spans="1:1">
      <c r="A1074" s="2"/>
    </row>
    <row r="1075" spans="1:1">
      <c r="A1075" s="2"/>
    </row>
    <row r="1076" spans="1:1">
      <c r="A1076" s="2"/>
    </row>
    <row r="1077" spans="1:1">
      <c r="A1077" s="2"/>
    </row>
    <row r="1078" spans="1:1">
      <c r="A1078" s="2"/>
    </row>
    <row r="1079" spans="1:1">
      <c r="A1079" s="2"/>
    </row>
    <row r="1080" spans="1:1">
      <c r="A1080" s="2"/>
    </row>
    <row r="1081" spans="1:1">
      <c r="A1081" s="2"/>
    </row>
    <row r="1082" spans="1:1">
      <c r="A1082" s="2"/>
    </row>
    <row r="1083" spans="1:1">
      <c r="A1083" s="2"/>
    </row>
    <row r="1084" spans="1:1">
      <c r="A1084" s="2"/>
    </row>
    <row r="1085" spans="1:1">
      <c r="A1085" s="2"/>
    </row>
    <row r="1086" spans="1:1">
      <c r="A1086" s="2"/>
    </row>
    <row r="1087" spans="1:1">
      <c r="A1087" s="2"/>
    </row>
    <row r="1088" spans="1:1">
      <c r="A1088" s="2"/>
    </row>
    <row r="1089" spans="1:1">
      <c r="A1089" s="2"/>
    </row>
    <row r="1090" spans="1:1">
      <c r="A1090" s="2"/>
    </row>
    <row r="1091" spans="1:1">
      <c r="A1091" s="2"/>
    </row>
    <row r="1092" spans="1:1">
      <c r="A1092" s="2"/>
    </row>
    <row r="1093" spans="1:1">
      <c r="A1093" s="2"/>
    </row>
    <row r="1094" spans="1:1">
      <c r="A1094" s="2"/>
    </row>
    <row r="1095" spans="1:1">
      <c r="A1095" s="2"/>
    </row>
    <row r="1096" spans="1:1">
      <c r="A1096" s="2"/>
    </row>
    <row r="1097" spans="1:1">
      <c r="A1097" s="2"/>
    </row>
    <row r="1098" spans="1:1">
      <c r="A1098" s="2"/>
    </row>
    <row r="1099" spans="1:1">
      <c r="A1099" s="2"/>
    </row>
    <row r="1100" spans="1:1">
      <c r="A1100" s="2"/>
    </row>
    <row r="1101" spans="1:1">
      <c r="A1101" s="2"/>
    </row>
    <row r="1102" spans="1:1">
      <c r="A1102" s="2"/>
    </row>
    <row r="1103" spans="1:1">
      <c r="A1103" s="2"/>
    </row>
    <row r="1104" spans="1:1">
      <c r="A1104" s="2"/>
    </row>
    <row r="1105" spans="1:1">
      <c r="A1105" s="2"/>
    </row>
    <row r="1106" spans="1:1">
      <c r="A1106" s="2"/>
    </row>
    <row r="1107" spans="1:1">
      <c r="A1107" s="2"/>
    </row>
    <row r="1108" spans="1:1">
      <c r="A1108" s="2"/>
    </row>
    <row r="1109" spans="1:1">
      <c r="A1109" s="2"/>
    </row>
    <row r="1110" spans="1:1">
      <c r="A1110" s="2"/>
    </row>
    <row r="1111" spans="1:1">
      <c r="A1111" s="2"/>
    </row>
    <row r="1112" spans="1:1">
      <c r="A1112" s="2"/>
    </row>
    <row r="1113" spans="1:1">
      <c r="A1113" s="2"/>
    </row>
    <row r="1114" spans="1:1">
      <c r="A1114" s="2"/>
    </row>
    <row r="1115" spans="1:1">
      <c r="A1115" s="2"/>
    </row>
    <row r="1116" spans="1:1">
      <c r="A1116" s="2"/>
    </row>
    <row r="1117" spans="1:1">
      <c r="A1117" s="2"/>
    </row>
    <row r="1118" spans="1:1">
      <c r="A1118" s="2"/>
    </row>
    <row r="1119" spans="1:1">
      <c r="A1119" s="2"/>
    </row>
    <row r="1120" spans="1:1">
      <c r="A1120" s="2"/>
    </row>
    <row r="1121" spans="1:1">
      <c r="A1121" s="2"/>
    </row>
    <row r="1122" spans="1:1">
      <c r="A1122" s="2"/>
    </row>
    <row r="1123" spans="1:1">
      <c r="A1123" s="2"/>
    </row>
    <row r="1124" spans="1:1">
      <c r="A1124" s="2"/>
    </row>
    <row r="1125" spans="1:1">
      <c r="A1125" s="2"/>
    </row>
    <row r="1126" spans="1:1">
      <c r="A1126" s="2"/>
    </row>
    <row r="1127" spans="1:1">
      <c r="A1127" s="2"/>
    </row>
    <row r="1128" spans="1:1">
      <c r="A1128" s="2"/>
    </row>
    <row r="1129" spans="1:1">
      <c r="A1129" s="2"/>
    </row>
    <row r="1130" spans="1:1">
      <c r="A1130" s="2"/>
    </row>
    <row r="1131" spans="1:1">
      <c r="A1131" s="2"/>
    </row>
    <row r="1132" spans="1:1">
      <c r="A1132" s="2"/>
    </row>
    <row r="1133" spans="1:1">
      <c r="A1133" s="2"/>
    </row>
    <row r="1134" spans="1:1">
      <c r="A1134" s="2"/>
    </row>
    <row r="1135" spans="1:1">
      <c r="A1135" s="2"/>
    </row>
    <row r="1136" spans="1:1">
      <c r="A1136" s="2"/>
    </row>
    <row r="1137" spans="1:1">
      <c r="A1137" s="2"/>
    </row>
    <row r="1138" spans="1:1">
      <c r="A1138" s="2"/>
    </row>
    <row r="1139" spans="1:1">
      <c r="A1139" s="2"/>
    </row>
    <row r="1140" spans="1:1">
      <c r="A1140" s="2"/>
    </row>
    <row r="1141" spans="1:1">
      <c r="A1141" s="2"/>
    </row>
    <row r="1142" spans="1:1">
      <c r="A1142" s="2"/>
    </row>
    <row r="1143" spans="1:1">
      <c r="A1143" s="2"/>
    </row>
    <row r="1144" spans="1:1">
      <c r="A1144" s="2"/>
    </row>
    <row r="1145" spans="1:1">
      <c r="A1145" s="2"/>
    </row>
    <row r="1146" spans="1:1">
      <c r="A1146" s="2"/>
    </row>
    <row r="1147" spans="1:1">
      <c r="A1147" s="2"/>
    </row>
    <row r="1148" spans="1:1">
      <c r="A1148" s="2"/>
    </row>
    <row r="1149" spans="1:1">
      <c r="A1149" s="2"/>
    </row>
    <row r="1150" spans="1:1">
      <c r="A1150" s="2"/>
    </row>
    <row r="1151" spans="1:1">
      <c r="A1151" s="2"/>
    </row>
    <row r="1152" spans="1:1">
      <c r="A1152" s="2"/>
    </row>
    <row r="1153" spans="1:1">
      <c r="A1153" s="2"/>
    </row>
    <row r="1154" spans="1:1">
      <c r="A1154" s="2"/>
    </row>
    <row r="1155" spans="1:1">
      <c r="A1155" s="2"/>
    </row>
    <row r="1156" spans="1:1">
      <c r="A1156" s="2"/>
    </row>
    <row r="1157" spans="1:1">
      <c r="A1157" s="2"/>
    </row>
    <row r="1158" spans="1:1">
      <c r="A1158" s="2"/>
    </row>
    <row r="1159" spans="1:1">
      <c r="A1159" s="2"/>
    </row>
    <row r="1160" spans="1:1">
      <c r="A1160" s="2"/>
    </row>
    <row r="1161" spans="1:1">
      <c r="A1161" s="2"/>
    </row>
    <row r="1162" spans="1:1">
      <c r="A1162" s="2"/>
    </row>
    <row r="1163" spans="1:1">
      <c r="A1163" s="2"/>
    </row>
    <row r="1164" spans="1:1">
      <c r="A1164" s="2"/>
    </row>
    <row r="1165" spans="1:1">
      <c r="A1165" s="2"/>
    </row>
    <row r="1166" spans="1:1">
      <c r="A1166" s="2"/>
    </row>
    <row r="1167" spans="1:1">
      <c r="A1167" s="2"/>
    </row>
    <row r="1168" spans="1:1">
      <c r="A1168" s="2"/>
    </row>
    <row r="1169" spans="1:1">
      <c r="A1169" s="2"/>
    </row>
    <row r="1170" spans="1:1">
      <c r="A1170" s="2"/>
    </row>
    <row r="1171" spans="1:1">
      <c r="A1171" s="2"/>
    </row>
    <row r="1172" spans="1:1">
      <c r="A1172" s="2"/>
    </row>
    <row r="1173" spans="1:1">
      <c r="A1173" s="2"/>
    </row>
    <row r="1174" spans="1:1">
      <c r="A1174" s="2"/>
    </row>
    <row r="1175" spans="1:1">
      <c r="A1175" s="2"/>
    </row>
    <row r="1176" spans="1:1">
      <c r="A1176" s="2"/>
    </row>
    <row r="1177" spans="1:1">
      <c r="A1177" s="2"/>
    </row>
    <row r="1178" spans="1:1">
      <c r="A1178" s="2"/>
    </row>
    <row r="1179" spans="1:1">
      <c r="A1179" s="2"/>
    </row>
    <row r="1180" spans="1:1">
      <c r="A1180" s="2"/>
    </row>
    <row r="1181" spans="1:1">
      <c r="A1181" s="2"/>
    </row>
    <row r="1182" spans="1:1">
      <c r="A1182" s="2"/>
    </row>
    <row r="1183" spans="1:1">
      <c r="A1183" s="2"/>
    </row>
    <row r="1184" spans="1:1">
      <c r="A1184" s="2"/>
    </row>
    <row r="1185" spans="1:1">
      <c r="A1185" s="2"/>
    </row>
    <row r="1186" spans="1:1">
      <c r="A1186" s="2"/>
    </row>
    <row r="1187" spans="1:1">
      <c r="A1187" s="2"/>
    </row>
    <row r="1188" spans="1:1">
      <c r="A1188" s="2"/>
    </row>
    <row r="1189" spans="1:1">
      <c r="A1189" s="2"/>
    </row>
    <row r="1190" spans="1:1">
      <c r="A1190" s="2"/>
    </row>
    <row r="1191" spans="1:1">
      <c r="A1191" s="2"/>
    </row>
    <row r="1192" spans="1:1">
      <c r="A1192" s="2"/>
    </row>
    <row r="1193" spans="1:1">
      <c r="A1193" s="2"/>
    </row>
    <row r="1194" spans="1:1">
      <c r="A1194" s="2"/>
    </row>
    <row r="1195" spans="1:1">
      <c r="A1195" s="2"/>
    </row>
    <row r="1196" spans="1:1">
      <c r="A1196" s="2"/>
    </row>
    <row r="1197" spans="1:1">
      <c r="A1197" s="2"/>
    </row>
    <row r="1198" spans="1:1">
      <c r="A1198" s="2"/>
    </row>
    <row r="1199" spans="1:1">
      <c r="A1199" s="2"/>
    </row>
    <row r="1200" spans="1:1">
      <c r="A1200" s="2"/>
    </row>
    <row r="1201" spans="1:1">
      <c r="A1201" s="2"/>
    </row>
    <row r="1202" spans="1:1">
      <c r="A1202" s="2"/>
    </row>
    <row r="1203" spans="1:1">
      <c r="A1203" s="2"/>
    </row>
    <row r="1204" spans="1:1">
      <c r="A1204" s="2"/>
    </row>
    <row r="1205" spans="1:1">
      <c r="A1205" s="2"/>
    </row>
    <row r="1206" spans="1:1">
      <c r="A1206" s="2"/>
    </row>
    <row r="1207" spans="1:1">
      <c r="A1207" s="2"/>
    </row>
    <row r="1208" spans="1:1">
      <c r="A1208" s="2"/>
    </row>
    <row r="1209" spans="1:1">
      <c r="A1209" s="2"/>
    </row>
    <row r="1210" spans="1:1">
      <c r="A1210" s="2"/>
    </row>
    <row r="1211" spans="1:1">
      <c r="A1211" s="2"/>
    </row>
    <row r="1212" spans="1:1">
      <c r="A1212" s="2"/>
    </row>
    <row r="1213" spans="1:1">
      <c r="A1213" s="2"/>
    </row>
    <row r="1214" spans="1:1">
      <c r="A1214" s="2"/>
    </row>
    <row r="1215" spans="1:1">
      <c r="A1215" s="2"/>
    </row>
    <row r="1216" spans="1:1">
      <c r="A1216" s="2"/>
    </row>
    <row r="1217" spans="1:1">
      <c r="A1217" s="2"/>
    </row>
    <row r="1218" spans="1:1">
      <c r="A1218" s="2"/>
    </row>
    <row r="1219" spans="1:1">
      <c r="A1219" s="2"/>
    </row>
    <row r="1220" spans="1:1">
      <c r="A1220" s="2"/>
    </row>
    <row r="1221" spans="1:1">
      <c r="A1221" s="2"/>
    </row>
    <row r="1222" spans="1:1">
      <c r="A1222" s="2"/>
    </row>
    <row r="1223" spans="1:1">
      <c r="A1223" s="2"/>
    </row>
    <row r="1224" spans="1:1">
      <c r="A1224" s="2"/>
    </row>
    <row r="1225" spans="1:1">
      <c r="A1225" s="2"/>
    </row>
    <row r="1226" spans="1:1">
      <c r="A1226" s="2"/>
    </row>
    <row r="1227" spans="1:1">
      <c r="A1227" s="2"/>
    </row>
    <row r="1228" spans="1:1">
      <c r="A1228" s="2"/>
    </row>
    <row r="1229" spans="1:1">
      <c r="A1229" s="2"/>
    </row>
    <row r="1230" spans="1:1">
      <c r="A1230" s="2"/>
    </row>
    <row r="1231" spans="1:1">
      <c r="A1231" s="2"/>
    </row>
    <row r="1232" spans="1:1">
      <c r="A1232" s="2"/>
    </row>
    <row r="1233" spans="1:1">
      <c r="A1233" s="2"/>
    </row>
    <row r="1234" spans="1:1">
      <c r="A1234" s="2"/>
    </row>
    <row r="1235" spans="1:1">
      <c r="A1235" s="2"/>
    </row>
    <row r="1236" spans="1:1">
      <c r="A1236" s="2"/>
    </row>
    <row r="1237" spans="1:1">
      <c r="A1237" s="2"/>
    </row>
    <row r="1238" spans="1:1">
      <c r="A1238" s="2"/>
    </row>
    <row r="1239" spans="1:1">
      <c r="A1239" s="2"/>
    </row>
    <row r="1240" spans="1:1">
      <c r="A1240" s="2"/>
    </row>
    <row r="1241" spans="1:1">
      <c r="A1241" s="2"/>
    </row>
    <row r="1242" spans="1:1">
      <c r="A1242" s="2"/>
    </row>
    <row r="1243" spans="1:1">
      <c r="A1243" s="2"/>
    </row>
    <row r="1244" spans="1:1">
      <c r="A1244" s="2"/>
    </row>
    <row r="1245" spans="1:1">
      <c r="A1245" s="2"/>
    </row>
    <row r="1246" spans="1:1">
      <c r="A1246" s="2"/>
    </row>
    <row r="1247" spans="1:1">
      <c r="A1247" s="2"/>
    </row>
    <row r="1248" spans="1:1">
      <c r="A1248" s="2"/>
    </row>
    <row r="1249" spans="1:1">
      <c r="A1249" s="2"/>
    </row>
    <row r="1250" spans="1:1">
      <c r="A1250" s="2"/>
    </row>
    <row r="1251" spans="1:1">
      <c r="A1251" s="2"/>
    </row>
    <row r="1252" spans="1:1">
      <c r="A1252" s="2"/>
    </row>
    <row r="1253" spans="1:1">
      <c r="A1253" s="2"/>
    </row>
    <row r="1254" spans="1:1">
      <c r="A1254" s="2"/>
    </row>
    <row r="1255" spans="1:1">
      <c r="A1255" s="2"/>
    </row>
    <row r="1256" spans="1:1">
      <c r="A1256" s="2"/>
    </row>
    <row r="1257" spans="1:1">
      <c r="A1257" s="2"/>
    </row>
    <row r="1258" spans="1:1">
      <c r="A1258" s="2"/>
    </row>
    <row r="1259" spans="1:1">
      <c r="A1259" s="2"/>
    </row>
    <row r="1260" spans="1:1">
      <c r="A1260" s="2"/>
    </row>
    <row r="1261" spans="1:1">
      <c r="A1261" s="2"/>
    </row>
    <row r="1262" spans="1:1">
      <c r="A1262" s="2"/>
    </row>
    <row r="1263" spans="1:1">
      <c r="A1263" s="2"/>
    </row>
    <row r="1264" spans="1:1">
      <c r="A1264" s="2"/>
    </row>
    <row r="1265" spans="1:1">
      <c r="A1265" s="2"/>
    </row>
    <row r="1266" spans="1:1">
      <c r="A1266" s="2"/>
    </row>
    <row r="1267" spans="1:1">
      <c r="A1267" s="2"/>
    </row>
    <row r="1268" spans="1:1">
      <c r="A1268" s="2"/>
    </row>
    <row r="1269" spans="1:1">
      <c r="A1269" s="2"/>
    </row>
    <row r="1270" spans="1:1">
      <c r="A1270" s="2"/>
    </row>
    <row r="1271" spans="1:1">
      <c r="A1271" s="2"/>
    </row>
    <row r="1272" spans="1:1">
      <c r="A1272" s="2"/>
    </row>
    <row r="1273" spans="1:1">
      <c r="A1273" s="2"/>
    </row>
    <row r="1274" spans="1:1">
      <c r="A1274" s="2"/>
    </row>
    <row r="1275" spans="1:1">
      <c r="A1275" s="2"/>
    </row>
    <row r="1276" spans="1:1">
      <c r="A1276" s="2"/>
    </row>
    <row r="1277" spans="1:1">
      <c r="A1277" s="2"/>
    </row>
    <row r="1278" spans="1:1">
      <c r="A1278" s="2"/>
    </row>
    <row r="1279" spans="1:1">
      <c r="A1279" s="2"/>
    </row>
    <row r="1280" spans="1:1">
      <c r="A1280" s="2"/>
    </row>
    <row r="1281" spans="1:1">
      <c r="A1281" s="2"/>
    </row>
    <row r="1282" spans="1:1">
      <c r="A1282" s="2"/>
    </row>
    <row r="1283" spans="1:1">
      <c r="A1283" s="2"/>
    </row>
    <row r="1284" spans="1:1">
      <c r="A1284" s="2"/>
    </row>
    <row r="1285" spans="1:1">
      <c r="A1285" s="2"/>
    </row>
    <row r="1286" spans="1:1">
      <c r="A1286" s="2"/>
    </row>
    <row r="1287" spans="1:1">
      <c r="A1287" s="2"/>
    </row>
    <row r="1288" spans="1:1">
      <c r="A1288" s="2"/>
    </row>
    <row r="1289" spans="1:1">
      <c r="A1289" s="2"/>
    </row>
    <row r="1290" spans="1:1">
      <c r="A1290" s="2"/>
    </row>
    <row r="1291" spans="1:1">
      <c r="A1291" s="2"/>
    </row>
    <row r="1292" spans="1:1">
      <c r="A1292" s="2"/>
    </row>
    <row r="1293" spans="1:1">
      <c r="A1293" s="2"/>
    </row>
    <row r="1294" spans="1:1">
      <c r="A1294" s="2"/>
    </row>
    <row r="1295" spans="1:1">
      <c r="A1295" s="2"/>
    </row>
    <row r="1296" spans="1:1">
      <c r="A1296" s="2"/>
    </row>
    <row r="1297" spans="1:1">
      <c r="A1297" s="2"/>
    </row>
    <row r="1298" spans="1:1">
      <c r="A1298" s="2"/>
    </row>
    <row r="1299" spans="1:1">
      <c r="A1299" s="2"/>
    </row>
    <row r="1300" spans="1:1">
      <c r="A1300" s="2"/>
    </row>
    <row r="1301" spans="1:1">
      <c r="A1301" s="2"/>
    </row>
    <row r="1302" spans="1:1">
      <c r="A1302" s="2"/>
    </row>
    <row r="1303" spans="1:1">
      <c r="A1303" s="2"/>
    </row>
    <row r="1304" spans="1:1">
      <c r="A1304" s="2"/>
    </row>
    <row r="1305" spans="1:1">
      <c r="A1305" s="2"/>
    </row>
    <row r="1306" spans="1:1">
      <c r="A1306" s="2"/>
    </row>
    <row r="1307" spans="1:1">
      <c r="A1307" s="2"/>
    </row>
    <row r="1308" spans="1:1">
      <c r="A1308" s="2"/>
    </row>
    <row r="1309" spans="1:1">
      <c r="A1309" s="2"/>
    </row>
    <row r="1310" spans="1:1">
      <c r="A1310" s="2"/>
    </row>
    <row r="1311" spans="1:1">
      <c r="A1311" s="2"/>
    </row>
    <row r="1312" spans="1:1">
      <c r="A1312" s="2"/>
    </row>
    <row r="1313" spans="1:1">
      <c r="A1313" s="2"/>
    </row>
    <row r="1314" spans="1:1">
      <c r="A1314" s="2"/>
    </row>
    <row r="1315" spans="1:1">
      <c r="A1315" s="2"/>
    </row>
    <row r="1316" spans="1:1">
      <c r="A1316" s="2"/>
    </row>
    <row r="1317" spans="1:1">
      <c r="A1317" s="2"/>
    </row>
    <row r="1318" spans="1:1">
      <c r="A1318" s="2"/>
    </row>
    <row r="1319" spans="1:1">
      <c r="A1319" s="2"/>
    </row>
    <row r="1320" spans="1:1">
      <c r="A1320" s="2"/>
    </row>
    <row r="1321" spans="1:1">
      <c r="A1321" s="2"/>
    </row>
    <row r="1322" spans="1:1">
      <c r="A1322" s="2"/>
    </row>
    <row r="1323" spans="1:1">
      <c r="A1323" s="2"/>
    </row>
    <row r="1324" spans="1:1">
      <c r="A1324" s="2"/>
    </row>
    <row r="1325" spans="1:1">
      <c r="A1325" s="2"/>
    </row>
    <row r="1326" spans="1:1">
      <c r="A1326" s="2"/>
    </row>
    <row r="1327" spans="1:1">
      <c r="A1327" s="2"/>
    </row>
    <row r="1328" spans="1:1">
      <c r="A1328" s="2"/>
    </row>
    <row r="1329" spans="1:1">
      <c r="A1329" s="2"/>
    </row>
    <row r="1330" spans="1:1">
      <c r="A1330" s="2"/>
    </row>
    <row r="1331" spans="1:1">
      <c r="A1331" s="2"/>
    </row>
    <row r="1332" spans="1:1">
      <c r="A1332" s="2"/>
    </row>
    <row r="1333" spans="1:1">
      <c r="A1333" s="2"/>
    </row>
    <row r="1334" spans="1:1">
      <c r="A1334" s="2"/>
    </row>
    <row r="1335" spans="1:1">
      <c r="A1335" s="2"/>
    </row>
    <row r="1336" spans="1:1">
      <c r="A1336" s="2"/>
    </row>
    <row r="1337" spans="1:1">
      <c r="A1337" s="2"/>
    </row>
    <row r="1338" spans="1:1">
      <c r="A1338" s="2"/>
    </row>
    <row r="1339" spans="1:1">
      <c r="A1339" s="2"/>
    </row>
    <row r="1340" spans="1:1">
      <c r="A1340" s="2"/>
    </row>
    <row r="1341" spans="1:1">
      <c r="A1341" s="2"/>
    </row>
    <row r="1342" spans="1:1">
      <c r="A1342" s="2"/>
    </row>
    <row r="1343" spans="1:1">
      <c r="A1343" s="2"/>
    </row>
    <row r="1344" spans="1:1">
      <c r="A1344" s="2"/>
    </row>
    <row r="1345" spans="1:1">
      <c r="A1345" s="2"/>
    </row>
    <row r="1346" spans="1:1">
      <c r="A1346" s="2"/>
    </row>
    <row r="1347" spans="1:1">
      <c r="A1347" s="2"/>
    </row>
    <row r="1348" spans="1:1">
      <c r="A1348" s="2"/>
    </row>
    <row r="1349" spans="1:1">
      <c r="A1349" s="2"/>
    </row>
    <row r="1350" spans="1:1">
      <c r="A1350" s="2"/>
    </row>
    <row r="1351" spans="1:1">
      <c r="A1351" s="2"/>
    </row>
    <row r="1352" spans="1:1">
      <c r="A1352" s="2"/>
    </row>
    <row r="1353" spans="1:1">
      <c r="A1353" s="2"/>
    </row>
    <row r="1354" spans="1:1">
      <c r="A1354" s="2"/>
    </row>
    <row r="1355" spans="1:1">
      <c r="A1355" s="2"/>
    </row>
    <row r="1356" spans="1:1">
      <c r="A1356" s="2"/>
    </row>
    <row r="1357" spans="1:1">
      <c r="A1357" s="2"/>
    </row>
    <row r="1358" spans="1:1">
      <c r="A1358" s="2"/>
    </row>
    <row r="1359" spans="1:1">
      <c r="A1359" s="2"/>
    </row>
    <row r="1360" spans="1:1">
      <c r="A1360" s="2"/>
    </row>
    <row r="1361" spans="1:1">
      <c r="A1361" s="2"/>
    </row>
    <row r="1362" spans="1:1">
      <c r="A1362" s="2"/>
    </row>
    <row r="1363" spans="1:1">
      <c r="A1363" s="2"/>
    </row>
    <row r="1364" spans="1:1">
      <c r="A1364" s="2"/>
    </row>
    <row r="1365" spans="1:1">
      <c r="A1365" s="2"/>
    </row>
    <row r="1366" spans="1:1">
      <c r="A1366" s="2"/>
    </row>
    <row r="1367" spans="1:1">
      <c r="A1367" s="2"/>
    </row>
    <row r="1368" spans="1:1">
      <c r="A1368" s="2"/>
    </row>
    <row r="1369" spans="1:1">
      <c r="A1369" s="2"/>
    </row>
    <row r="1370" spans="1:1">
      <c r="A1370" s="2"/>
    </row>
    <row r="1371" spans="1:1">
      <c r="A1371" s="2"/>
    </row>
    <row r="1372" spans="1:1">
      <c r="A1372" s="2"/>
    </row>
    <row r="1373" spans="1:1">
      <c r="A1373" s="2"/>
    </row>
    <row r="1374" spans="1:1">
      <c r="A1374" s="2"/>
    </row>
    <row r="1375" spans="1:1">
      <c r="A1375" s="2"/>
    </row>
    <row r="1376" spans="1:1">
      <c r="A1376" s="2"/>
    </row>
    <row r="1377" spans="1:1">
      <c r="A1377" s="2"/>
    </row>
    <row r="1378" spans="1:1">
      <c r="A1378" s="2"/>
    </row>
    <row r="1379" spans="1:1">
      <c r="A1379" s="2"/>
    </row>
    <row r="1380" spans="1:1">
      <c r="A1380" s="2"/>
    </row>
    <row r="1381" spans="1:1">
      <c r="A1381" s="2"/>
    </row>
    <row r="1382" spans="1:1">
      <c r="A1382" s="2"/>
    </row>
    <row r="1383" spans="1:1">
      <c r="A1383" s="2"/>
    </row>
    <row r="1384" spans="1:1">
      <c r="A1384" s="2"/>
    </row>
    <row r="1385" spans="1:1">
      <c r="A1385" s="2"/>
    </row>
    <row r="1386" spans="1:1">
      <c r="A1386" s="2"/>
    </row>
    <row r="1387" spans="1:1">
      <c r="A1387" s="2"/>
    </row>
    <row r="1388" spans="1:1">
      <c r="A1388" s="2"/>
    </row>
    <row r="1389" spans="1:1">
      <c r="A1389" s="2"/>
    </row>
    <row r="1390" spans="1:1">
      <c r="A1390" s="2"/>
    </row>
    <row r="1391" spans="1:1">
      <c r="A1391" s="2"/>
    </row>
    <row r="1392" spans="1:1">
      <c r="A1392" s="2"/>
    </row>
    <row r="1393" spans="1:1">
      <c r="A1393" s="2"/>
    </row>
    <row r="1394" spans="1:1">
      <c r="A1394" s="2"/>
    </row>
    <row r="1395" spans="1:1">
      <c r="A1395" s="2"/>
    </row>
    <row r="1396" spans="1:1">
      <c r="A1396" s="2"/>
    </row>
    <row r="1397" spans="1:1">
      <c r="A1397" s="2"/>
    </row>
    <row r="1398" spans="1:1">
      <c r="A1398" s="2"/>
    </row>
    <row r="1399" spans="1:1">
      <c r="A1399" s="2"/>
    </row>
    <row r="1400" spans="1:1">
      <c r="A1400" s="2"/>
    </row>
    <row r="1401" spans="1:1">
      <c r="A1401" s="2"/>
    </row>
    <row r="1402" spans="1:1">
      <c r="A1402" s="2"/>
    </row>
    <row r="1403" spans="1:1">
      <c r="A1403" s="2"/>
    </row>
    <row r="1404" spans="1:1">
      <c r="A1404" s="2"/>
    </row>
    <row r="1405" spans="1:1">
      <c r="A1405" s="2"/>
    </row>
    <row r="1406" spans="1:1">
      <c r="A1406" s="2"/>
    </row>
    <row r="1407" spans="1:1">
      <c r="A1407" s="2"/>
    </row>
    <row r="1408" spans="1:1">
      <c r="A1408" s="2"/>
    </row>
    <row r="1409" spans="1:1">
      <c r="A1409" s="2"/>
    </row>
    <row r="1410" spans="1:1">
      <c r="A1410" s="2"/>
    </row>
    <row r="1411" spans="1:1">
      <c r="A1411" s="2"/>
    </row>
    <row r="1412" spans="1:1">
      <c r="A1412" s="2"/>
    </row>
    <row r="1413" spans="1:1">
      <c r="A1413" s="2"/>
    </row>
    <row r="1414" spans="1:1">
      <c r="A1414" s="2"/>
    </row>
    <row r="1415" spans="1:1">
      <c r="A1415" s="2"/>
    </row>
    <row r="1416" spans="1:1">
      <c r="A1416" s="2"/>
    </row>
    <row r="1417" spans="1:1">
      <c r="A1417" s="2"/>
    </row>
    <row r="1418" spans="1:1">
      <c r="A1418" s="2"/>
    </row>
    <row r="1419" spans="1:1">
      <c r="A1419" s="2"/>
    </row>
    <row r="1420" spans="1:1">
      <c r="A1420" s="2"/>
    </row>
    <row r="1421" spans="1:1">
      <c r="A1421" s="2"/>
    </row>
    <row r="1422" spans="1:1">
      <c r="A1422" s="2"/>
    </row>
    <row r="1423" spans="1:1">
      <c r="A1423" s="2"/>
    </row>
    <row r="1424" spans="1:1">
      <c r="A1424" s="2"/>
    </row>
    <row r="1425" spans="1:1">
      <c r="A1425" s="2"/>
    </row>
    <row r="1426" spans="1:1">
      <c r="A1426" s="2"/>
    </row>
    <row r="1427" spans="1:1">
      <c r="A1427" s="2"/>
    </row>
    <row r="1428" spans="1:1">
      <c r="A1428" s="2"/>
    </row>
    <row r="1429" spans="1:1">
      <c r="A1429" s="2"/>
    </row>
    <row r="1430" spans="1:1">
      <c r="A1430" s="2"/>
    </row>
    <row r="1431" spans="1:1">
      <c r="A1431" s="2"/>
    </row>
    <row r="1432" spans="1:1">
      <c r="A1432" s="2"/>
    </row>
    <row r="1433" spans="1:1">
      <c r="A1433" s="2"/>
    </row>
    <row r="1434" spans="1:1">
      <c r="A1434" s="2"/>
    </row>
    <row r="1435" spans="1:1">
      <c r="A1435" s="2"/>
    </row>
    <row r="1436" spans="1:1">
      <c r="A1436" s="2"/>
    </row>
    <row r="1437" spans="1:1">
      <c r="A1437" s="2"/>
    </row>
    <row r="1438" spans="1:1">
      <c r="A1438" s="2"/>
    </row>
    <row r="1439" spans="1:1">
      <c r="A1439" s="2"/>
    </row>
    <row r="1440" spans="1:1">
      <c r="A1440" s="2"/>
    </row>
    <row r="1441" spans="1:1">
      <c r="A1441" s="2"/>
    </row>
    <row r="1442" spans="1:1">
      <c r="A1442" s="2"/>
    </row>
    <row r="1443" spans="1:1">
      <c r="A1443" s="2"/>
    </row>
    <row r="1444" spans="1:1">
      <c r="A1444" s="2"/>
    </row>
    <row r="1445" spans="1:1">
      <c r="A1445" s="2"/>
    </row>
    <row r="1446" spans="1:1">
      <c r="A1446" s="2"/>
    </row>
    <row r="1447" spans="1:1">
      <c r="A1447" s="2"/>
    </row>
    <row r="1448" spans="1:1">
      <c r="A1448" s="2"/>
    </row>
    <row r="1449" spans="1:1">
      <c r="A1449" s="2"/>
    </row>
    <row r="1450" spans="1:1">
      <c r="A1450" s="2"/>
    </row>
    <row r="1451" spans="1:1">
      <c r="A1451" s="2"/>
    </row>
    <row r="1452" spans="1:1">
      <c r="A1452" s="2"/>
    </row>
    <row r="1453" spans="1:1">
      <c r="A1453" s="2"/>
    </row>
    <row r="1454" spans="1:1">
      <c r="A1454" s="2"/>
    </row>
    <row r="1455" spans="1:1">
      <c r="A1455" s="2"/>
    </row>
    <row r="1456" spans="1:1">
      <c r="A1456" s="2"/>
    </row>
    <row r="1457" spans="1:1">
      <c r="A1457" s="2"/>
    </row>
    <row r="1458" spans="1:1">
      <c r="A1458" s="2"/>
    </row>
    <row r="1459" spans="1:1">
      <c r="A1459" s="2"/>
    </row>
    <row r="1460" spans="1:1">
      <c r="A1460" s="2"/>
    </row>
    <row r="1461" spans="1:1">
      <c r="A1461" s="2"/>
    </row>
    <row r="1462" spans="1:1">
      <c r="A1462" s="2"/>
    </row>
    <row r="1463" spans="1:1">
      <c r="A1463" s="2"/>
    </row>
    <row r="1464" spans="1:1">
      <c r="A1464" s="2"/>
    </row>
    <row r="1465" spans="1:1">
      <c r="A1465" s="2"/>
    </row>
    <row r="1466" spans="1:1">
      <c r="A1466" s="2"/>
    </row>
    <row r="1467" spans="1:1">
      <c r="A1467" s="2"/>
    </row>
    <row r="1468" spans="1:1">
      <c r="A1468" s="2"/>
    </row>
    <row r="1469" spans="1:1">
      <c r="A1469" s="2"/>
    </row>
    <row r="1470" spans="1:1">
      <c r="A1470" s="2"/>
    </row>
    <row r="1471" spans="1:1">
      <c r="A1471" s="2"/>
    </row>
    <row r="1472" spans="1:1">
      <c r="A1472" s="2"/>
    </row>
    <row r="1473" spans="1:1">
      <c r="A1473" s="2"/>
    </row>
    <row r="1474" spans="1:1">
      <c r="A1474" s="2"/>
    </row>
    <row r="1475" spans="1:1">
      <c r="A1475" s="2"/>
    </row>
    <row r="1476" spans="1:1">
      <c r="A1476" s="2"/>
    </row>
    <row r="1477" spans="1:1">
      <c r="A1477" s="2"/>
    </row>
    <row r="1478" spans="1:1">
      <c r="A1478" s="2"/>
    </row>
    <row r="1479" spans="1:1">
      <c r="A1479" s="2"/>
    </row>
    <row r="1480" spans="1:1">
      <c r="A1480" s="2"/>
    </row>
    <row r="1481" spans="1:1">
      <c r="A1481" s="2"/>
    </row>
    <row r="1482" spans="1:1">
      <c r="A1482" s="2"/>
    </row>
    <row r="1483" spans="1:1">
      <c r="A1483" s="2"/>
    </row>
    <row r="1484" spans="1:1">
      <c r="A1484" s="2"/>
    </row>
    <row r="1485" spans="1:1">
      <c r="A1485" s="2"/>
    </row>
    <row r="1486" spans="1:1">
      <c r="A1486" s="2"/>
    </row>
    <row r="1487" spans="1:1">
      <c r="A1487" s="2"/>
    </row>
    <row r="1488" spans="1:1">
      <c r="A1488" s="2"/>
    </row>
    <row r="1489" spans="1:1">
      <c r="A1489" s="2"/>
    </row>
    <row r="1490" spans="1:1">
      <c r="A1490" s="2"/>
    </row>
    <row r="1491" spans="1:1">
      <c r="A1491" s="2"/>
    </row>
    <row r="1492" spans="1:1">
      <c r="A1492" s="2"/>
    </row>
    <row r="1493" spans="1:1">
      <c r="A1493" s="2"/>
    </row>
    <row r="1494" spans="1:1">
      <c r="A1494" s="2"/>
    </row>
    <row r="1495" spans="1:1">
      <c r="A1495" s="2"/>
    </row>
    <row r="1496" spans="1:1">
      <c r="A1496" s="2"/>
    </row>
    <row r="1497" spans="1:1">
      <c r="A1497" s="2"/>
    </row>
    <row r="1498" spans="1:1">
      <c r="A1498" s="2"/>
    </row>
    <row r="1499" spans="1:1">
      <c r="A1499" s="2"/>
    </row>
    <row r="1500" spans="1:1">
      <c r="A1500" s="2"/>
    </row>
    <row r="1501" spans="1:1">
      <c r="A1501" s="2"/>
    </row>
    <row r="1502" spans="1:1">
      <c r="A1502" s="2"/>
    </row>
    <row r="1503" spans="1:1">
      <c r="A1503" s="2"/>
    </row>
    <row r="1504" spans="1:1">
      <c r="A1504" s="2"/>
    </row>
    <row r="1505" spans="1:1">
      <c r="A1505" s="2"/>
    </row>
    <row r="1506" spans="1:1">
      <c r="A1506" s="2"/>
    </row>
    <row r="1507" spans="1:1">
      <c r="A1507" s="2"/>
    </row>
    <row r="1508" spans="1:1">
      <c r="A1508" s="2"/>
    </row>
    <row r="1509" spans="1:1">
      <c r="A1509" s="2"/>
    </row>
    <row r="1510" spans="1:1">
      <c r="A1510" s="2"/>
    </row>
    <row r="1511" spans="1:1">
      <c r="A1511" s="2"/>
    </row>
    <row r="1512" spans="1:1">
      <c r="A1512" s="2"/>
    </row>
    <row r="1513" spans="1:1">
      <c r="A1513" s="2"/>
    </row>
    <row r="1514" spans="1:1">
      <c r="A1514" s="2"/>
    </row>
    <row r="1515" spans="1:1">
      <c r="A1515" s="2"/>
    </row>
    <row r="1516" spans="1:1">
      <c r="A1516" s="2"/>
    </row>
    <row r="1517" spans="1:1">
      <c r="A1517" s="2"/>
    </row>
    <row r="1518" spans="1:1">
      <c r="A1518" s="2"/>
    </row>
    <row r="1519" spans="1:1">
      <c r="A1519" s="2"/>
    </row>
    <row r="1520" spans="1:1">
      <c r="A1520" s="2"/>
    </row>
    <row r="1521" spans="1:1">
      <c r="A1521" s="2"/>
    </row>
    <row r="1522" spans="1:1">
      <c r="A1522" s="2"/>
    </row>
    <row r="1523" spans="1:1">
      <c r="A1523" s="2"/>
    </row>
    <row r="1524" spans="1:1">
      <c r="A1524" s="2"/>
    </row>
    <row r="1525" spans="1:1">
      <c r="A1525" s="2"/>
    </row>
    <row r="1526" spans="1:1">
      <c r="A1526" s="2"/>
    </row>
    <row r="1527" spans="1:1">
      <c r="A1527" s="2"/>
    </row>
    <row r="1528" spans="1:1">
      <c r="A1528" s="2"/>
    </row>
    <row r="1529" spans="1:1">
      <c r="A1529" s="2"/>
    </row>
    <row r="1530" spans="1:1">
      <c r="A1530" s="2"/>
    </row>
    <row r="1531" spans="1:1">
      <c r="A1531" s="2"/>
    </row>
    <row r="1532" spans="1:1">
      <c r="A1532" s="2"/>
    </row>
    <row r="1533" spans="1:1">
      <c r="A1533" s="2"/>
    </row>
    <row r="1534" spans="1:1">
      <c r="A1534" s="2"/>
    </row>
    <row r="1535" spans="1:1">
      <c r="A1535" s="2"/>
    </row>
    <row r="1536" spans="1:1">
      <c r="A1536" s="2"/>
    </row>
    <row r="1537" spans="1:1">
      <c r="A1537" s="2"/>
    </row>
    <row r="1538" spans="1:1">
      <c r="A1538" s="2"/>
    </row>
    <row r="1539" spans="1:1">
      <c r="A1539" s="2"/>
    </row>
    <row r="1540" spans="1:1">
      <c r="A1540" s="2"/>
    </row>
    <row r="1541" spans="1:1">
      <c r="A1541" s="2"/>
    </row>
    <row r="1542" spans="1:1">
      <c r="A1542" s="2"/>
    </row>
    <row r="1543" spans="1:1">
      <c r="A1543" s="2"/>
    </row>
    <row r="1544" spans="1:1">
      <c r="A1544" s="2"/>
    </row>
    <row r="1545" spans="1:1">
      <c r="A1545" s="2"/>
    </row>
    <row r="1546" spans="1:1">
      <c r="A1546" s="2"/>
    </row>
    <row r="1547" spans="1:1">
      <c r="A1547" s="2"/>
    </row>
    <row r="1548" spans="1:1">
      <c r="A1548" s="2"/>
    </row>
    <row r="1549" spans="1:1">
      <c r="A1549" s="2"/>
    </row>
    <row r="1550" spans="1:1">
      <c r="A1550" s="2"/>
    </row>
    <row r="1551" spans="1:1">
      <c r="A1551" s="2"/>
    </row>
    <row r="1552" spans="1:1">
      <c r="A1552" s="2"/>
    </row>
    <row r="1553" spans="1:1">
      <c r="A1553" s="2"/>
    </row>
    <row r="1554" spans="1:1">
      <c r="A1554" s="2"/>
    </row>
    <row r="1555" spans="1:1">
      <c r="A1555" s="2"/>
    </row>
    <row r="1556" spans="1:1">
      <c r="A1556" s="2"/>
    </row>
    <row r="1557" spans="1:1">
      <c r="A1557" s="2"/>
    </row>
    <row r="1558" spans="1:1">
      <c r="A1558" s="2"/>
    </row>
    <row r="1559" spans="1:1">
      <c r="A1559" s="2"/>
    </row>
    <row r="1560" spans="1:1">
      <c r="A1560" s="2"/>
    </row>
    <row r="1561" spans="1:1">
      <c r="A1561" s="2"/>
    </row>
    <row r="1562" spans="1:1">
      <c r="A1562" s="2"/>
    </row>
    <row r="1563" spans="1:1">
      <c r="A1563" s="2"/>
    </row>
    <row r="1564" spans="1:1">
      <c r="A1564" s="2"/>
    </row>
    <row r="1565" spans="1:1">
      <c r="A1565" s="2"/>
    </row>
    <row r="1566" spans="1:1">
      <c r="A1566" s="2"/>
    </row>
    <row r="1567" spans="1:1">
      <c r="A1567" s="2"/>
    </row>
    <row r="1568" spans="1:1">
      <c r="A1568" s="2"/>
    </row>
    <row r="1569" spans="1:1">
      <c r="A1569" s="2"/>
    </row>
    <row r="1570" spans="1:1">
      <c r="A1570" s="2"/>
    </row>
    <row r="1571" spans="1:1">
      <c r="A1571" s="2"/>
    </row>
    <row r="1572" spans="1:1">
      <c r="A1572" s="2"/>
    </row>
    <row r="1573" spans="1:1">
      <c r="A1573" s="2"/>
    </row>
    <row r="1574" spans="1:1">
      <c r="A1574" s="2"/>
    </row>
    <row r="1575" spans="1:1">
      <c r="A1575" s="2"/>
    </row>
    <row r="1576" spans="1:1">
      <c r="A1576" s="2"/>
    </row>
    <row r="1577" spans="1:1">
      <c r="A1577" s="2"/>
    </row>
    <row r="1578" spans="1:1">
      <c r="A1578" s="2"/>
    </row>
    <row r="1579" spans="1:1">
      <c r="A1579" s="2"/>
    </row>
    <row r="1580" spans="1:1">
      <c r="A1580" s="2"/>
    </row>
    <row r="1581" spans="1:1">
      <c r="A1581" s="2"/>
    </row>
    <row r="1582" spans="1:1">
      <c r="A1582" s="2"/>
    </row>
    <row r="1583" spans="1:1">
      <c r="A1583" s="2"/>
    </row>
    <row r="1584" spans="1:1">
      <c r="A1584" s="2"/>
    </row>
    <row r="1585" spans="1:1">
      <c r="A1585" s="2"/>
    </row>
    <row r="1586" spans="1:1">
      <c r="A1586" s="2"/>
    </row>
    <row r="1587" spans="1:1">
      <c r="A1587" s="2"/>
    </row>
    <row r="1588" spans="1:1">
      <c r="A1588" s="2"/>
    </row>
    <row r="1589" spans="1:1">
      <c r="A1589" s="2"/>
    </row>
    <row r="1590" spans="1:1">
      <c r="A1590" s="2"/>
    </row>
    <row r="1591" spans="1:1">
      <c r="A1591" s="2"/>
    </row>
    <row r="1592" spans="1:1">
      <c r="A1592" s="2"/>
    </row>
    <row r="1593" spans="1:1">
      <c r="A1593" s="2"/>
    </row>
    <row r="1594" spans="1:1">
      <c r="A1594" s="2"/>
    </row>
    <row r="1595" spans="1:1">
      <c r="A1595" s="2"/>
    </row>
    <row r="1596" spans="1:1">
      <c r="A1596" s="2"/>
    </row>
    <row r="1597" spans="1:1">
      <c r="A1597" s="2"/>
    </row>
    <row r="1598" spans="1:1">
      <c r="A1598" s="2"/>
    </row>
    <row r="1599" spans="1:1">
      <c r="A1599" s="2"/>
    </row>
    <row r="1600" spans="1:1">
      <c r="A1600" s="2"/>
    </row>
    <row r="1601" spans="1:1">
      <c r="A1601" s="2"/>
    </row>
    <row r="1602" spans="1:1">
      <c r="A1602" s="2"/>
    </row>
    <row r="1603" spans="1:1">
      <c r="A1603" s="2"/>
    </row>
    <row r="1604" spans="1:1">
      <c r="A1604" s="2"/>
    </row>
    <row r="1605" spans="1:1">
      <c r="A1605" s="2"/>
    </row>
    <row r="1606" spans="1:1">
      <c r="A1606" s="2"/>
    </row>
    <row r="1607" spans="1:1">
      <c r="A1607" s="2"/>
    </row>
    <row r="1608" spans="1:1">
      <c r="A1608" s="2"/>
    </row>
    <row r="1609" spans="1:1">
      <c r="A1609" s="2"/>
    </row>
    <row r="1610" spans="1:1">
      <c r="A1610" s="2"/>
    </row>
    <row r="1611" spans="1:1">
      <c r="A1611" s="2"/>
    </row>
    <row r="1612" spans="1:1">
      <c r="A1612" s="2"/>
    </row>
    <row r="1613" spans="1:1">
      <c r="A1613" s="2"/>
    </row>
    <row r="1614" spans="1:1">
      <c r="A1614" s="2"/>
    </row>
    <row r="1615" spans="1:1">
      <c r="A1615" s="2"/>
    </row>
    <row r="1616" spans="1:1">
      <c r="A1616" s="2"/>
    </row>
    <row r="1617" spans="1:1">
      <c r="A1617" s="2"/>
    </row>
    <row r="1618" spans="1:1">
      <c r="A1618" s="2"/>
    </row>
    <row r="1619" spans="1:1">
      <c r="A1619" s="2"/>
    </row>
    <row r="1620" spans="1:1">
      <c r="A1620" s="2"/>
    </row>
    <row r="1621" spans="1:1">
      <c r="A1621" s="2"/>
    </row>
    <row r="1622" spans="1:1">
      <c r="A1622" s="2"/>
    </row>
    <row r="1623" spans="1:1">
      <c r="A1623" s="2"/>
    </row>
    <row r="1624" spans="1:1">
      <c r="A1624" s="2"/>
    </row>
    <row r="1625" spans="1:1">
      <c r="A1625" s="2"/>
    </row>
    <row r="1626" spans="1:1">
      <c r="A1626" s="2"/>
    </row>
    <row r="1627" spans="1:1">
      <c r="A1627" s="2"/>
    </row>
    <row r="1628" spans="1:1">
      <c r="A1628" s="2"/>
    </row>
    <row r="1629" spans="1:1">
      <c r="A1629" s="2"/>
    </row>
    <row r="1630" spans="1:1">
      <c r="A1630" s="2"/>
    </row>
    <row r="1631" spans="1:1">
      <c r="A1631" s="2"/>
    </row>
    <row r="1632" spans="1:1">
      <c r="A1632" s="2"/>
    </row>
    <row r="1633" spans="1:1">
      <c r="A1633" s="2"/>
    </row>
    <row r="1634" spans="1:1">
      <c r="A1634" s="2"/>
    </row>
    <row r="1635" spans="1:1">
      <c r="A1635" s="2"/>
    </row>
    <row r="1636" spans="1:1">
      <c r="A1636" s="2"/>
    </row>
    <row r="1637" spans="1:1">
      <c r="A1637" s="2"/>
    </row>
    <row r="1638" spans="1:1">
      <c r="A1638" s="2"/>
    </row>
    <row r="1639" spans="1:1">
      <c r="A1639" s="2"/>
    </row>
    <row r="1640" spans="1:1">
      <c r="A1640" s="2"/>
    </row>
    <row r="1641" spans="1:1">
      <c r="A1641" s="2"/>
    </row>
    <row r="1642" spans="1:1">
      <c r="A1642" s="2"/>
    </row>
    <row r="1643" spans="1:1">
      <c r="A1643" s="2"/>
    </row>
    <row r="1644" spans="1:1">
      <c r="A1644" s="2"/>
    </row>
    <row r="1645" spans="1:1">
      <c r="A1645" s="2"/>
    </row>
    <row r="1646" spans="1:1">
      <c r="A1646" s="2"/>
    </row>
    <row r="1647" spans="1:1">
      <c r="A1647" s="2"/>
    </row>
    <row r="1648" spans="1:1">
      <c r="A1648" s="2"/>
    </row>
    <row r="1649" spans="1:1">
      <c r="A1649" s="2"/>
    </row>
    <row r="1650" spans="1:1">
      <c r="A1650" s="2"/>
    </row>
    <row r="1651" spans="1:1">
      <c r="A1651" s="2"/>
    </row>
    <row r="1652" spans="1:1">
      <c r="A1652" s="2"/>
    </row>
    <row r="1653" spans="1:1">
      <c r="A1653" s="2"/>
    </row>
    <row r="1654" spans="1:1">
      <c r="A1654" s="2"/>
    </row>
    <row r="1655" spans="1:1">
      <c r="A1655" s="2"/>
    </row>
    <row r="1656" spans="1:1">
      <c r="A1656" s="2"/>
    </row>
    <row r="1657" spans="1:1">
      <c r="A1657" s="2"/>
    </row>
    <row r="1658" spans="1:1">
      <c r="A1658" s="2"/>
    </row>
    <row r="1659" spans="1:1">
      <c r="A1659" s="2"/>
    </row>
    <row r="1660" spans="1:1">
      <c r="A1660" s="2"/>
    </row>
    <row r="1661" spans="1:1">
      <c r="A1661" s="2"/>
    </row>
    <row r="1662" spans="1:1">
      <c r="A1662" s="2"/>
    </row>
    <row r="1663" spans="1:1">
      <c r="A1663" s="2"/>
    </row>
    <row r="1664" spans="1:1">
      <c r="A1664" s="2"/>
    </row>
    <row r="1665" spans="1:1">
      <c r="A1665" s="2"/>
    </row>
    <row r="1666" spans="1:1">
      <c r="A1666" s="2"/>
    </row>
    <row r="1667" spans="1:1">
      <c r="A1667" s="2"/>
    </row>
    <row r="1668" spans="1:1">
      <c r="A1668" s="2"/>
    </row>
    <row r="1669" spans="1:1">
      <c r="A1669" s="2"/>
    </row>
    <row r="1670" spans="1:1">
      <c r="A1670" s="2"/>
    </row>
    <row r="1671" spans="1:1">
      <c r="A1671" s="2"/>
    </row>
    <row r="1672" spans="1:1">
      <c r="A1672" s="2"/>
    </row>
    <row r="1673" spans="1:1">
      <c r="A1673" s="2"/>
    </row>
    <row r="1674" spans="1:1">
      <c r="A1674" s="2"/>
    </row>
    <row r="1675" spans="1:1">
      <c r="A1675" s="2"/>
    </row>
    <row r="1676" spans="1:1">
      <c r="A1676" s="2"/>
    </row>
    <row r="1677" spans="1:1">
      <c r="A1677" s="2"/>
    </row>
    <row r="1678" spans="1:1">
      <c r="A1678" s="2"/>
    </row>
    <row r="1679" spans="1:1">
      <c r="A1679" s="2"/>
    </row>
    <row r="1680" spans="1:1">
      <c r="A1680" s="2"/>
    </row>
    <row r="1681" spans="1:1">
      <c r="A1681" s="2"/>
    </row>
    <row r="1682" spans="1:1">
      <c r="A1682" s="2"/>
    </row>
    <row r="1683" spans="1:1">
      <c r="A1683" s="2"/>
    </row>
    <row r="1684" spans="1:1">
      <c r="A1684" s="2"/>
    </row>
    <row r="1685" spans="1:1">
      <c r="A1685" s="2"/>
    </row>
    <row r="1686" spans="1:1">
      <c r="A1686" s="2"/>
    </row>
    <row r="1687" spans="1:1">
      <c r="A1687" s="2"/>
    </row>
    <row r="1688" spans="1:1">
      <c r="A1688" s="2"/>
    </row>
    <row r="1689" spans="1:1">
      <c r="A1689" s="2"/>
    </row>
    <row r="1690" spans="1:1">
      <c r="A1690" s="2"/>
    </row>
    <row r="1691" spans="1:1">
      <c r="A1691" s="2"/>
    </row>
    <row r="1692" spans="1:1">
      <c r="A1692" s="2"/>
    </row>
    <row r="1693" spans="1:1">
      <c r="A1693" s="2"/>
    </row>
    <row r="1694" spans="1:1">
      <c r="A1694" s="2"/>
    </row>
    <row r="1695" spans="1:1">
      <c r="A1695" s="2"/>
    </row>
    <row r="1696" spans="1:1">
      <c r="A1696" s="2"/>
    </row>
    <row r="1697" spans="1:1">
      <c r="A1697" s="2"/>
    </row>
    <row r="1698" spans="1:1">
      <c r="A1698" s="2"/>
    </row>
    <row r="1699" spans="1:1">
      <c r="A1699" s="2"/>
    </row>
    <row r="1700" spans="1:1">
      <c r="A1700" s="2"/>
    </row>
    <row r="1701" spans="1:1">
      <c r="A1701" s="2"/>
    </row>
    <row r="1702" spans="1:1">
      <c r="A1702" s="2"/>
    </row>
    <row r="1703" spans="1:1">
      <c r="A1703" s="2"/>
    </row>
    <row r="1704" spans="1:1">
      <c r="A1704" s="2"/>
    </row>
    <row r="1705" spans="1:1">
      <c r="A1705" s="2"/>
    </row>
    <row r="1706" spans="1:1">
      <c r="A1706" s="2"/>
    </row>
    <row r="1707" spans="1:1">
      <c r="A1707" s="2"/>
    </row>
    <row r="1708" spans="1:1">
      <c r="A1708" s="2"/>
    </row>
    <row r="1709" spans="1:1">
      <c r="A1709" s="2"/>
    </row>
    <row r="1710" spans="1:1">
      <c r="A1710" s="2"/>
    </row>
    <row r="1711" spans="1:1">
      <c r="A1711" s="2"/>
    </row>
    <row r="1712" spans="1:1">
      <c r="A1712" s="2"/>
    </row>
    <row r="1713" spans="1:1">
      <c r="A1713" s="2"/>
    </row>
    <row r="1714" spans="1:1">
      <c r="A1714" s="2"/>
    </row>
    <row r="1715" spans="1:1">
      <c r="A1715" s="2"/>
    </row>
    <row r="1716" spans="1:1">
      <c r="A1716" s="2"/>
    </row>
    <row r="1717" spans="1:1">
      <c r="A1717" s="2"/>
    </row>
    <row r="1718" spans="1:1">
      <c r="A1718" s="2"/>
    </row>
    <row r="1719" spans="1:1">
      <c r="A1719" s="2"/>
    </row>
    <row r="1720" spans="1:1">
      <c r="A1720" s="2"/>
    </row>
    <row r="1721" spans="1:1">
      <c r="A1721" s="2"/>
    </row>
    <row r="1722" spans="1:1">
      <c r="A1722" s="2"/>
    </row>
    <row r="1723" spans="1:1">
      <c r="A1723" s="2"/>
    </row>
    <row r="1724" spans="1:1">
      <c r="A1724" s="2"/>
    </row>
    <row r="1725" spans="1:1">
      <c r="A1725" s="2"/>
    </row>
    <row r="1726" spans="1:1">
      <c r="A1726" s="2"/>
    </row>
    <row r="1727" spans="1:1">
      <c r="A1727" s="2"/>
    </row>
    <row r="1728" spans="1:1">
      <c r="A1728" s="2"/>
    </row>
    <row r="1729" spans="1:1">
      <c r="A1729" s="2"/>
    </row>
    <row r="1730" spans="1:1">
      <c r="A1730" s="2"/>
    </row>
    <row r="1731" spans="1:1">
      <c r="A1731" s="2"/>
    </row>
    <row r="1732" spans="1:1">
      <c r="A1732" s="2"/>
    </row>
    <row r="1733" spans="1:1">
      <c r="A1733" s="2"/>
    </row>
    <row r="1734" spans="1:1">
      <c r="A1734" s="2"/>
    </row>
    <row r="1735" spans="1:1">
      <c r="A1735" s="2"/>
    </row>
    <row r="1736" spans="1:1">
      <c r="A1736" s="2"/>
    </row>
    <row r="1737" spans="1:1">
      <c r="A1737" s="2"/>
    </row>
    <row r="1738" spans="1:1">
      <c r="A1738" s="2"/>
    </row>
    <row r="1739" spans="1:1">
      <c r="A1739" s="2"/>
    </row>
    <row r="1740" spans="1:1">
      <c r="A1740" s="2"/>
    </row>
    <row r="1741" spans="1:1">
      <c r="A1741" s="2"/>
    </row>
    <row r="1742" spans="1:1">
      <c r="A1742" s="2"/>
    </row>
    <row r="1743" spans="1:1">
      <c r="A1743" s="2"/>
    </row>
    <row r="1744" spans="1:1">
      <c r="A1744" s="2"/>
    </row>
    <row r="1745" spans="1:1">
      <c r="A1745" s="2"/>
    </row>
    <row r="1746" spans="1:1">
      <c r="A1746" s="2"/>
    </row>
    <row r="1747" spans="1:1">
      <c r="A1747" s="2"/>
    </row>
    <row r="1748" spans="1:1">
      <c r="A1748" s="2"/>
    </row>
    <row r="1749" spans="1:1">
      <c r="A1749" s="2"/>
    </row>
    <row r="1750" spans="1:1">
      <c r="A1750" s="2"/>
    </row>
    <row r="1751" spans="1:1">
      <c r="A1751" s="2"/>
    </row>
    <row r="1752" spans="1:1">
      <c r="A1752" s="2"/>
    </row>
    <row r="1753" spans="1:1">
      <c r="A1753" s="2"/>
    </row>
    <row r="1754" spans="1:1">
      <c r="A1754" s="2"/>
    </row>
    <row r="1755" spans="1:1">
      <c r="A1755" s="2"/>
    </row>
    <row r="1756" spans="1:1">
      <c r="A1756" s="2"/>
    </row>
    <row r="1757" spans="1:1">
      <c r="A1757" s="2"/>
    </row>
    <row r="1758" spans="1:1">
      <c r="A1758" s="2"/>
    </row>
    <row r="1759" spans="1:1">
      <c r="A1759" s="2"/>
    </row>
    <row r="1760" spans="1:1">
      <c r="A1760" s="2"/>
    </row>
    <row r="1761" spans="1:1">
      <c r="A1761" s="2"/>
    </row>
    <row r="1762" spans="1:1">
      <c r="A1762" s="2"/>
    </row>
    <row r="1763" spans="1:1">
      <c r="A1763" s="2"/>
    </row>
    <row r="1764" spans="1:1">
      <c r="A1764" s="2"/>
    </row>
    <row r="1765" spans="1:1">
      <c r="A1765" s="2"/>
    </row>
    <row r="1766" spans="1:1">
      <c r="A1766" s="2"/>
    </row>
    <row r="1767" spans="1:1">
      <c r="A1767" s="2"/>
    </row>
    <row r="1768" spans="1:1">
      <c r="A1768" s="2"/>
    </row>
    <row r="1769" spans="1:1">
      <c r="A1769" s="2"/>
    </row>
    <row r="1770" spans="1:1">
      <c r="A1770" s="2"/>
    </row>
    <row r="1771" spans="1:1">
      <c r="A1771" s="2"/>
    </row>
    <row r="1772" spans="1:1">
      <c r="A1772" s="2"/>
    </row>
    <row r="1773" spans="1:1">
      <c r="A1773" s="2"/>
    </row>
    <row r="1774" spans="1:1">
      <c r="A1774" s="2"/>
    </row>
    <row r="1775" spans="1:1">
      <c r="A1775" s="2"/>
    </row>
    <row r="1776" spans="1:1">
      <c r="A1776" s="2"/>
    </row>
    <row r="1777" spans="1:1">
      <c r="A1777" s="2"/>
    </row>
    <row r="1778" spans="1:1">
      <c r="A1778" s="2"/>
    </row>
    <row r="1779" spans="1:1">
      <c r="A1779" s="2"/>
    </row>
    <row r="1780" spans="1:1">
      <c r="A1780" s="2"/>
    </row>
    <row r="1781" spans="1:1">
      <c r="A1781" s="2"/>
    </row>
    <row r="1782" spans="1:1">
      <c r="A1782" s="2"/>
    </row>
    <row r="1783" spans="1:1">
      <c r="A1783" s="2"/>
    </row>
    <row r="1784" spans="1:1">
      <c r="A1784" s="2"/>
    </row>
    <row r="1785" spans="1:1">
      <c r="A1785" s="2"/>
    </row>
    <row r="1786" spans="1:1">
      <c r="A1786" s="2"/>
    </row>
    <row r="1787" spans="1:1">
      <c r="A1787" s="2"/>
    </row>
    <row r="1788" spans="1:1">
      <c r="A1788" s="2"/>
    </row>
    <row r="1789" spans="1:1">
      <c r="A1789" s="2"/>
    </row>
    <row r="1790" spans="1:1">
      <c r="A1790" s="2"/>
    </row>
    <row r="1791" spans="1:1">
      <c r="A1791" s="2"/>
    </row>
    <row r="1792" spans="1:1">
      <c r="A1792" s="2"/>
    </row>
    <row r="1793" spans="1:1">
      <c r="A1793" s="2"/>
    </row>
    <row r="1794" spans="1:1">
      <c r="A1794" s="2"/>
    </row>
    <row r="1795" spans="1:1">
      <c r="A1795" s="2"/>
    </row>
    <row r="1796" spans="1:1">
      <c r="A1796" s="2"/>
    </row>
    <row r="1797" spans="1:1">
      <c r="A1797" s="2"/>
    </row>
    <row r="1798" spans="1:1">
      <c r="A1798" s="2"/>
    </row>
    <row r="1799" spans="1:1">
      <c r="A1799" s="2"/>
    </row>
    <row r="1800" spans="1:1">
      <c r="A1800" s="2"/>
    </row>
    <row r="1801" spans="1:1">
      <c r="A1801" s="2"/>
    </row>
    <row r="1802" spans="1:1">
      <c r="A1802" s="2"/>
    </row>
    <row r="1803" spans="1:1">
      <c r="A1803" s="2"/>
    </row>
    <row r="1804" spans="1:1">
      <c r="A1804" s="2"/>
    </row>
    <row r="1805" spans="1:1">
      <c r="A1805" s="2"/>
    </row>
    <row r="1806" spans="1:1">
      <c r="A1806" s="2"/>
    </row>
    <row r="1807" spans="1:1">
      <c r="A1807" s="2"/>
    </row>
    <row r="1808" spans="1:1">
      <c r="A1808" s="2"/>
    </row>
    <row r="1809" spans="1:1">
      <c r="A1809" s="2"/>
    </row>
    <row r="1810" spans="1:1">
      <c r="A1810" s="2"/>
    </row>
    <row r="1811" spans="1:1">
      <c r="A1811" s="2"/>
    </row>
    <row r="1812" spans="1:1">
      <c r="A1812" s="2"/>
    </row>
    <row r="1813" spans="1:1">
      <c r="A1813" s="2"/>
    </row>
    <row r="1814" spans="1:1">
      <c r="A1814" s="2"/>
    </row>
    <row r="1815" spans="1:1">
      <c r="A1815" s="2"/>
    </row>
    <row r="1816" spans="1:1">
      <c r="A1816" s="2"/>
    </row>
    <row r="1817" spans="1:1">
      <c r="A1817" s="2"/>
    </row>
    <row r="1818" spans="1:1">
      <c r="A1818" s="2"/>
    </row>
    <row r="1819" spans="1:1">
      <c r="A1819" s="2"/>
    </row>
    <row r="1820" spans="1:1">
      <c r="A1820" s="2"/>
    </row>
    <row r="1821" spans="1:1">
      <c r="A1821" s="2"/>
    </row>
    <row r="1822" spans="1:1">
      <c r="A1822" s="2"/>
    </row>
    <row r="1823" spans="1:1">
      <c r="A1823" s="2"/>
    </row>
    <row r="1824" spans="1:1">
      <c r="A1824" s="2"/>
    </row>
    <row r="1825" spans="1:1">
      <c r="A1825" s="2"/>
    </row>
    <row r="1826" spans="1:1">
      <c r="A1826" s="2"/>
    </row>
    <row r="1827" spans="1:1">
      <c r="A1827" s="2"/>
    </row>
    <row r="1828" spans="1:1">
      <c r="A1828" s="2"/>
    </row>
    <row r="1829" spans="1:1">
      <c r="A1829" s="2"/>
    </row>
    <row r="1830" spans="1:1">
      <c r="A1830" s="2"/>
    </row>
    <row r="1831" spans="1:1">
      <c r="A1831" s="2"/>
    </row>
    <row r="1832" spans="1:1">
      <c r="A1832" s="2"/>
    </row>
    <row r="1833" spans="1:1">
      <c r="A1833" s="2"/>
    </row>
    <row r="1834" spans="1:1">
      <c r="A1834" s="2"/>
    </row>
    <row r="1835" spans="1:1">
      <c r="A1835" s="2"/>
    </row>
    <row r="1836" spans="1:1">
      <c r="A1836" s="2"/>
    </row>
    <row r="1837" spans="1:1">
      <c r="A1837" s="2"/>
    </row>
    <row r="1838" spans="1:1">
      <c r="A1838" s="2"/>
    </row>
    <row r="1839" spans="1:1">
      <c r="A1839" s="2"/>
    </row>
    <row r="1840" spans="1:1">
      <c r="A1840" s="2"/>
    </row>
    <row r="1841" spans="1:1">
      <c r="A1841" s="2"/>
    </row>
    <row r="1842" spans="1:1">
      <c r="A1842" s="2"/>
    </row>
    <row r="1843" spans="1:1">
      <c r="A1843" s="2"/>
    </row>
    <row r="1844" spans="1:1">
      <c r="A1844" s="2"/>
    </row>
    <row r="1845" spans="1:1">
      <c r="A1845" s="2"/>
    </row>
    <row r="1846" spans="1:1">
      <c r="A1846" s="2"/>
    </row>
    <row r="1847" spans="1:1">
      <c r="A1847" s="2"/>
    </row>
    <row r="1848" spans="1:1">
      <c r="A1848" s="2"/>
    </row>
    <row r="1849" spans="1:1">
      <c r="A1849" s="2"/>
    </row>
    <row r="1850" spans="1:1">
      <c r="A1850" s="2"/>
    </row>
    <row r="1851" spans="1:1">
      <c r="A1851" s="2"/>
    </row>
    <row r="1852" spans="1:1">
      <c r="A1852" s="2"/>
    </row>
    <row r="1853" spans="1:1">
      <c r="A1853" s="2"/>
    </row>
    <row r="1854" spans="1:1">
      <c r="A1854" s="2"/>
    </row>
    <row r="1855" spans="1:1">
      <c r="A1855" s="2"/>
    </row>
    <row r="1856" spans="1:1">
      <c r="A1856" s="2"/>
    </row>
    <row r="1857" spans="1:1">
      <c r="A1857" s="2"/>
    </row>
    <row r="1858" spans="1:1">
      <c r="A1858" s="2"/>
    </row>
    <row r="1859" spans="1:1">
      <c r="A1859" s="2"/>
    </row>
    <row r="1860" spans="1:1">
      <c r="A1860" s="2"/>
    </row>
    <row r="1861" spans="1:1">
      <c r="A1861" s="2"/>
    </row>
    <row r="1862" spans="1:1">
      <c r="A1862" s="2"/>
    </row>
    <row r="1863" spans="1:1">
      <c r="A1863" s="2"/>
    </row>
    <row r="1864" spans="1:1">
      <c r="A1864" s="2"/>
    </row>
    <row r="1865" spans="1:1">
      <c r="A1865" s="2"/>
    </row>
    <row r="1866" spans="1:1">
      <c r="A1866" s="2"/>
    </row>
    <row r="1867" spans="1:1">
      <c r="A1867" s="2"/>
    </row>
    <row r="1868" spans="1:1">
      <c r="A1868" s="2"/>
    </row>
    <row r="1869" spans="1:1">
      <c r="A1869" s="2"/>
    </row>
    <row r="1870" spans="1:1">
      <c r="A1870" s="2"/>
    </row>
    <row r="1871" spans="1:1">
      <c r="A1871" s="2"/>
    </row>
    <row r="1872" spans="1:1">
      <c r="A1872" s="2"/>
    </row>
    <row r="1873" spans="1:1">
      <c r="A1873" s="2"/>
    </row>
    <row r="1874" spans="1:1">
      <c r="A1874" s="2"/>
    </row>
    <row r="1875" spans="1:1">
      <c r="A1875" s="2"/>
    </row>
    <row r="1876" spans="1:1">
      <c r="A1876" s="2"/>
    </row>
    <row r="1877" spans="1:1">
      <c r="A1877" s="2"/>
    </row>
    <row r="1878" spans="1:1">
      <c r="A1878" s="2"/>
    </row>
    <row r="1879" spans="1:1">
      <c r="A1879" s="2"/>
    </row>
    <row r="1880" spans="1:1">
      <c r="A1880" s="2"/>
    </row>
    <row r="1881" spans="1:1">
      <c r="A1881" s="2"/>
    </row>
    <row r="1882" spans="1:1">
      <c r="A1882" s="2"/>
    </row>
    <row r="1883" spans="1:1">
      <c r="A1883" s="2"/>
    </row>
    <row r="1884" spans="1:1">
      <c r="A1884" s="2"/>
    </row>
    <row r="1885" spans="1:1">
      <c r="A1885" s="2"/>
    </row>
    <row r="1886" spans="1:1">
      <c r="A1886" s="2"/>
    </row>
    <row r="1887" spans="1:1">
      <c r="A1887" s="2"/>
    </row>
    <row r="1888" spans="1:1">
      <c r="A1888" s="2"/>
    </row>
    <row r="1889" spans="1:1">
      <c r="A1889" s="2"/>
    </row>
    <row r="1890" spans="1:1">
      <c r="A1890" s="2"/>
    </row>
    <row r="1891" spans="1:1">
      <c r="A1891" s="2"/>
    </row>
    <row r="1892" spans="1:1">
      <c r="A1892" s="2"/>
    </row>
    <row r="1893" spans="1:1">
      <c r="A1893" s="2"/>
    </row>
    <row r="1894" spans="1:1">
      <c r="A1894" s="2"/>
    </row>
    <row r="1895" spans="1:1">
      <c r="A1895" s="2"/>
    </row>
    <row r="1896" spans="1:1">
      <c r="A1896" s="2"/>
    </row>
    <row r="1897" spans="1:1">
      <c r="A1897" s="2"/>
    </row>
    <row r="1898" spans="1:1">
      <c r="A1898" s="2"/>
    </row>
    <row r="1899" spans="1:1">
      <c r="A1899" s="2"/>
    </row>
    <row r="1900" spans="1:1">
      <c r="A1900" s="2"/>
    </row>
    <row r="1901" spans="1:1">
      <c r="A1901" s="2"/>
    </row>
    <row r="1902" spans="1:1">
      <c r="A1902" s="2"/>
    </row>
    <row r="1903" spans="1:1">
      <c r="A1903" s="2"/>
    </row>
    <row r="1904" spans="1:1">
      <c r="A1904" s="2"/>
    </row>
    <row r="1905" spans="1:1">
      <c r="A1905" s="2"/>
    </row>
    <row r="1906" spans="1:1">
      <c r="A1906" s="2"/>
    </row>
    <row r="1907" spans="1:1">
      <c r="A1907" s="2"/>
    </row>
    <row r="1908" spans="1:1">
      <c r="A1908" s="2"/>
    </row>
    <row r="1909" spans="1:1">
      <c r="A1909" s="2"/>
    </row>
    <row r="1910" spans="1:1">
      <c r="A1910" s="2"/>
    </row>
    <row r="1911" spans="1:1">
      <c r="A1911" s="2"/>
    </row>
    <row r="1912" spans="1:1">
      <c r="A1912" s="2"/>
    </row>
    <row r="1913" spans="1:1">
      <c r="A1913" s="2"/>
    </row>
    <row r="1914" spans="1:1">
      <c r="A1914" s="2"/>
    </row>
    <row r="1915" spans="1:1">
      <c r="A1915" s="2"/>
    </row>
    <row r="1916" spans="1:1">
      <c r="A1916" s="2"/>
    </row>
    <row r="1917" spans="1:1">
      <c r="A1917" s="2"/>
    </row>
    <row r="1918" spans="1:1">
      <c r="A1918" s="2"/>
    </row>
    <row r="1919" spans="1:1">
      <c r="A1919" s="2"/>
    </row>
    <row r="1920" spans="1:1">
      <c r="A1920" s="2"/>
    </row>
    <row r="1921" spans="1:1">
      <c r="A1921" s="2"/>
    </row>
    <row r="1922" spans="1:1">
      <c r="A1922" s="2"/>
    </row>
    <row r="1923" spans="1:1">
      <c r="A1923" s="2"/>
    </row>
    <row r="1924" spans="1:1">
      <c r="A1924" s="2"/>
    </row>
    <row r="1925" spans="1:1">
      <c r="A1925" s="2"/>
    </row>
    <row r="1926" spans="1:1">
      <c r="A1926" s="2"/>
    </row>
    <row r="1927" spans="1:1">
      <c r="A1927" s="2"/>
    </row>
    <row r="1928" spans="1:1">
      <c r="A1928" s="2"/>
    </row>
    <row r="1929" spans="1:1">
      <c r="A1929" s="2"/>
    </row>
    <row r="1930" spans="1:1">
      <c r="A1930" s="2"/>
    </row>
    <row r="1931" spans="1:1">
      <c r="A1931" s="2"/>
    </row>
    <row r="1932" spans="1:1">
      <c r="A1932" s="2"/>
    </row>
    <row r="1933" spans="1:1">
      <c r="A1933" s="2"/>
    </row>
    <row r="1934" spans="1:1">
      <c r="A1934" s="2"/>
    </row>
    <row r="1935" spans="1:1">
      <c r="A1935" s="2"/>
    </row>
    <row r="1936" spans="1:1">
      <c r="A1936" s="2"/>
    </row>
    <row r="1937" spans="1:1">
      <c r="A1937" s="2"/>
    </row>
    <row r="1938" spans="1:1">
      <c r="A1938" s="2"/>
    </row>
    <row r="1939" spans="1:1">
      <c r="A1939" s="2"/>
    </row>
    <row r="1940" spans="1:1">
      <c r="A1940" s="2"/>
    </row>
    <row r="1941" spans="1:1">
      <c r="A1941" s="2"/>
    </row>
    <row r="1942" spans="1:1">
      <c r="A1942" s="2"/>
    </row>
    <row r="1943" spans="1:1">
      <c r="A1943" s="2"/>
    </row>
    <row r="1944" spans="1:1">
      <c r="A1944" s="2"/>
    </row>
    <row r="1945" spans="1:1">
      <c r="A1945" s="2"/>
    </row>
    <row r="1946" spans="1:1">
      <c r="A1946" s="2"/>
    </row>
    <row r="1947" spans="1:1">
      <c r="A1947" s="2"/>
    </row>
    <row r="1948" spans="1:1">
      <c r="A1948" s="2"/>
    </row>
    <row r="1949" spans="1:1">
      <c r="A1949" s="2"/>
    </row>
    <row r="1950" spans="1:1">
      <c r="A1950" s="2"/>
    </row>
    <row r="1951" spans="1:1">
      <c r="A1951" s="2"/>
    </row>
    <row r="1952" spans="1:1">
      <c r="A1952" s="2"/>
    </row>
    <row r="1953" spans="1:1">
      <c r="A1953" s="2"/>
    </row>
    <row r="1954" spans="1:1">
      <c r="A1954" s="2"/>
    </row>
    <row r="1955" spans="1:1">
      <c r="A1955" s="2"/>
    </row>
    <row r="1956" spans="1:1">
      <c r="A1956" s="2"/>
    </row>
    <row r="1957" spans="1:1">
      <c r="A1957" s="2"/>
    </row>
    <row r="1958" spans="1:1">
      <c r="A1958" s="2"/>
    </row>
    <row r="1959" spans="1:1">
      <c r="A1959" s="2"/>
    </row>
    <row r="1960" spans="1:1">
      <c r="A1960" s="2"/>
    </row>
    <row r="1961" spans="1:1">
      <c r="A1961" s="2"/>
    </row>
    <row r="1962" spans="1:1">
      <c r="A1962" s="2"/>
    </row>
    <row r="1963" spans="1:1">
      <c r="A1963" s="2"/>
    </row>
    <row r="1964" spans="1:1">
      <c r="A1964" s="2"/>
    </row>
    <row r="1965" spans="1:1">
      <c r="A1965" s="2"/>
    </row>
    <row r="1966" spans="1:1">
      <c r="A1966" s="2"/>
    </row>
    <row r="1967" spans="1:1">
      <c r="A1967" s="2"/>
    </row>
    <row r="1968" spans="1:1">
      <c r="A1968" s="2"/>
    </row>
    <row r="1969" spans="1:1">
      <c r="A1969" s="2"/>
    </row>
    <row r="1970" spans="1:1">
      <c r="A1970" s="2"/>
    </row>
    <row r="1971" spans="1:1">
      <c r="A1971" s="2"/>
    </row>
    <row r="1972" spans="1:1">
      <c r="A1972" s="2"/>
    </row>
    <row r="1973" spans="1:1">
      <c r="A1973" s="2"/>
    </row>
    <row r="1974" spans="1:1">
      <c r="A1974" s="2"/>
    </row>
    <row r="1975" spans="1:1">
      <c r="A1975" s="2"/>
    </row>
    <row r="1976" spans="1:1">
      <c r="A1976" s="2"/>
    </row>
    <row r="1977" spans="1:1">
      <c r="A1977" s="2"/>
    </row>
    <row r="1978" spans="1:1">
      <c r="A1978" s="2"/>
    </row>
    <row r="1979" spans="1:1">
      <c r="A1979" s="2"/>
    </row>
    <row r="1980" spans="1:1">
      <c r="A1980" s="2"/>
    </row>
    <row r="1981" spans="1:1">
      <c r="A1981" s="2"/>
    </row>
    <row r="1982" spans="1:1">
      <c r="A1982" s="2"/>
    </row>
    <row r="1983" spans="1:1">
      <c r="A1983" s="2"/>
    </row>
    <row r="1984" spans="1:1">
      <c r="A1984" s="2"/>
    </row>
    <row r="1985" spans="1:1">
      <c r="A1985" s="2"/>
    </row>
    <row r="1986" spans="1:1">
      <c r="A1986" s="2"/>
    </row>
    <row r="1987" spans="1:1">
      <c r="A1987" s="2"/>
    </row>
    <row r="1988" spans="1:1">
      <c r="A1988" s="2"/>
    </row>
    <row r="1989" spans="1:1">
      <c r="A1989" s="2"/>
    </row>
    <row r="1990" spans="1:1">
      <c r="A1990" s="2"/>
    </row>
    <row r="1991" spans="1:1">
      <c r="A1991" s="2"/>
    </row>
    <row r="1992" spans="1:1">
      <c r="A1992" s="2"/>
    </row>
    <row r="1993" spans="1:1">
      <c r="A1993" s="2"/>
    </row>
    <row r="1994" spans="1:1">
      <c r="A1994" s="2"/>
    </row>
    <row r="1995" spans="1:1">
      <c r="A1995" s="2"/>
    </row>
    <row r="1996" spans="1:1">
      <c r="A1996" s="2"/>
    </row>
    <row r="1997" spans="1:1">
      <c r="A1997" s="2"/>
    </row>
    <row r="1998" spans="1:1">
      <c r="A1998" s="2"/>
    </row>
    <row r="1999" spans="1:1">
      <c r="A1999" s="2"/>
    </row>
    <row r="2000" spans="1:1">
      <c r="A2000" s="2"/>
    </row>
    <row r="2001" spans="1:1">
      <c r="A2001" s="2"/>
    </row>
    <row r="2002" spans="1:1">
      <c r="A2002" s="2"/>
    </row>
    <row r="2003" spans="1:1">
      <c r="A2003" s="2"/>
    </row>
    <row r="2004" spans="1:1">
      <c r="A2004" s="2"/>
    </row>
    <row r="2005" spans="1:1">
      <c r="A2005" s="2"/>
    </row>
    <row r="2006" spans="1:1">
      <c r="A2006" s="2"/>
    </row>
    <row r="2007" spans="1:1">
      <c r="A2007" s="2"/>
    </row>
    <row r="2008" spans="1:1">
      <c r="A2008" s="2"/>
    </row>
    <row r="2009" spans="1:1">
      <c r="A2009" s="2"/>
    </row>
    <row r="2010" spans="1:1">
      <c r="A2010" s="2"/>
    </row>
    <row r="2011" spans="1:1">
      <c r="A2011" s="2"/>
    </row>
    <row r="2012" spans="1:1">
      <c r="A2012" s="2"/>
    </row>
    <row r="2013" spans="1:1">
      <c r="A2013" s="2"/>
    </row>
    <row r="2014" spans="1:1">
      <c r="A2014" s="2"/>
    </row>
    <row r="2015" spans="1:1">
      <c r="A2015" s="2"/>
    </row>
    <row r="2016" spans="1:1">
      <c r="A2016" s="2"/>
    </row>
    <row r="2017" spans="1:1">
      <c r="A2017" s="2"/>
    </row>
    <row r="2018" spans="1:1">
      <c r="A2018" s="2"/>
    </row>
    <row r="2019" spans="1:1">
      <c r="A2019" s="2"/>
    </row>
    <row r="2020" spans="1:1">
      <c r="A2020" s="2"/>
    </row>
    <row r="2021" spans="1:1">
      <c r="A2021" s="2"/>
    </row>
    <row r="2022" spans="1:1">
      <c r="A2022" s="2"/>
    </row>
    <row r="2023" spans="1:1">
      <c r="A2023" s="2"/>
    </row>
    <row r="2024" spans="1:1">
      <c r="A2024" s="2"/>
    </row>
    <row r="2025" spans="1:1">
      <c r="A2025" s="2"/>
    </row>
    <row r="2026" spans="1:1">
      <c r="A2026" s="2"/>
    </row>
    <row r="2027" spans="1:1">
      <c r="A2027" s="2"/>
    </row>
    <row r="2028" spans="1:1">
      <c r="A2028" s="2"/>
    </row>
    <row r="2029" spans="1:1">
      <c r="A2029" s="2"/>
    </row>
    <row r="2030" spans="1:1">
      <c r="A2030" s="2"/>
    </row>
    <row r="2031" spans="1:1">
      <c r="A2031" s="2"/>
    </row>
    <row r="2032" spans="1:1">
      <c r="A2032" s="2"/>
    </row>
    <row r="2033" spans="1:1">
      <c r="A2033" s="2"/>
    </row>
    <row r="2034" spans="1:1">
      <c r="A2034" s="2"/>
    </row>
    <row r="2035" spans="1:1">
      <c r="A2035" s="2"/>
    </row>
    <row r="2036" spans="1:1">
      <c r="A2036" s="2"/>
    </row>
    <row r="2037" spans="1:1">
      <c r="A2037" s="2"/>
    </row>
    <row r="2038" spans="1:1">
      <c r="A2038" s="2"/>
    </row>
    <row r="2039" spans="1:1">
      <c r="A2039" s="2"/>
    </row>
    <row r="2040" spans="1:1">
      <c r="A2040" s="2"/>
    </row>
    <row r="2041" spans="1:1">
      <c r="A2041" s="2"/>
    </row>
    <row r="2042" spans="1:1">
      <c r="A2042" s="2"/>
    </row>
    <row r="2043" spans="1:1">
      <c r="A2043" s="2"/>
    </row>
    <row r="2044" spans="1:1">
      <c r="A2044" s="2"/>
    </row>
    <row r="2045" spans="1:1">
      <c r="A2045" s="2"/>
    </row>
    <row r="2046" spans="1:1">
      <c r="A2046" s="2"/>
    </row>
    <row r="2047" spans="1:1">
      <c r="A2047" s="2"/>
    </row>
    <row r="2048" spans="1:1">
      <c r="A2048" s="2"/>
    </row>
    <row r="2049" spans="1:1">
      <c r="A2049" s="2"/>
    </row>
    <row r="2050" spans="1:1">
      <c r="A2050" s="2"/>
    </row>
    <row r="2051" spans="1:1">
      <c r="A2051" s="2"/>
    </row>
    <row r="2052" spans="1:1">
      <c r="A2052" s="2"/>
    </row>
    <row r="2053" spans="1:1">
      <c r="A2053" s="2"/>
    </row>
    <row r="2054" spans="1:1">
      <c r="A2054" s="2"/>
    </row>
    <row r="2055" spans="1:1">
      <c r="A2055" s="2"/>
    </row>
    <row r="2056" spans="1:1">
      <c r="A2056" s="2"/>
    </row>
    <row r="2057" spans="1:1">
      <c r="A2057" s="2"/>
    </row>
    <row r="2058" spans="1:1">
      <c r="A2058" s="2"/>
    </row>
    <row r="2059" spans="1:1">
      <c r="A2059" s="2"/>
    </row>
    <row r="2060" spans="1:1">
      <c r="A2060" s="2"/>
    </row>
    <row r="2061" spans="1:1">
      <c r="A2061" s="2"/>
    </row>
    <row r="2062" spans="1:1">
      <c r="A2062" s="2"/>
    </row>
    <row r="2063" spans="1:1">
      <c r="A2063" s="2"/>
    </row>
    <row r="2064" spans="1:1">
      <c r="A2064" s="2"/>
    </row>
    <row r="2065" spans="1:1">
      <c r="A2065" s="2"/>
    </row>
    <row r="2066" spans="1:1">
      <c r="A2066" s="2"/>
    </row>
    <row r="2067" spans="1:1">
      <c r="A2067" s="2"/>
    </row>
    <row r="2068" spans="1:1">
      <c r="A2068" s="2"/>
    </row>
    <row r="2069" spans="1:1">
      <c r="A2069" s="2"/>
    </row>
    <row r="2070" spans="1:1">
      <c r="A2070" s="2"/>
    </row>
    <row r="2071" spans="1:1">
      <c r="A2071" s="2"/>
    </row>
    <row r="2072" spans="1:1">
      <c r="A2072" s="2"/>
    </row>
    <row r="2073" spans="1:1">
      <c r="A2073" s="2"/>
    </row>
    <row r="2074" spans="1:1">
      <c r="A2074" s="2"/>
    </row>
    <row r="2075" spans="1:1">
      <c r="A2075" s="2"/>
    </row>
    <row r="2076" spans="1:1">
      <c r="A2076" s="2"/>
    </row>
    <row r="2077" spans="1:1">
      <c r="A2077" s="2"/>
    </row>
    <row r="2078" spans="1:1">
      <c r="A2078" s="2"/>
    </row>
    <row r="2079" spans="1:1">
      <c r="A2079" s="2"/>
    </row>
    <row r="2080" spans="1:1">
      <c r="A2080" s="2"/>
    </row>
    <row r="2081" spans="1:1">
      <c r="A2081" s="2"/>
    </row>
    <row r="2082" spans="1:1">
      <c r="A2082" s="2"/>
    </row>
    <row r="2083" spans="1:1">
      <c r="A2083" s="2"/>
    </row>
    <row r="2084" spans="1:1">
      <c r="A2084" s="2"/>
    </row>
    <row r="2085" spans="1:1">
      <c r="A2085" s="2"/>
    </row>
    <row r="2086" spans="1:1">
      <c r="A2086" s="2"/>
    </row>
    <row r="2087" spans="1:1">
      <c r="A2087" s="2"/>
    </row>
    <row r="2088" spans="1:1">
      <c r="A2088" s="2"/>
    </row>
    <row r="2089" spans="1:1">
      <c r="A2089" s="2"/>
    </row>
    <row r="2090" spans="1:1">
      <c r="A2090" s="2"/>
    </row>
    <row r="2091" spans="1:1">
      <c r="A2091" s="2"/>
    </row>
    <row r="2092" spans="1:1">
      <c r="A2092" s="2"/>
    </row>
    <row r="2093" spans="1:1">
      <c r="A2093" s="2"/>
    </row>
    <row r="2094" spans="1:1">
      <c r="A2094" s="2"/>
    </row>
    <row r="2095" spans="1:1">
      <c r="A2095" s="2"/>
    </row>
    <row r="2096" spans="1:1">
      <c r="A2096" s="2"/>
    </row>
    <row r="2097" spans="1:1">
      <c r="A2097" s="2"/>
    </row>
    <row r="2098" spans="1:1">
      <c r="A2098" s="2"/>
    </row>
    <row r="2099" spans="1:1">
      <c r="A2099" s="2"/>
    </row>
    <row r="2100" spans="1:1">
      <c r="A2100" s="2"/>
    </row>
    <row r="2101" spans="1:1">
      <c r="A2101" s="2"/>
    </row>
    <row r="2102" spans="1:1">
      <c r="A2102" s="2"/>
    </row>
    <row r="2103" spans="1:1">
      <c r="A2103" s="2"/>
    </row>
    <row r="2104" spans="1:1">
      <c r="A2104" s="2"/>
    </row>
    <row r="2105" spans="1:1">
      <c r="A2105" s="2"/>
    </row>
    <row r="2106" spans="1:1">
      <c r="A2106" s="2"/>
    </row>
    <row r="2107" spans="1:1">
      <c r="A2107" s="2"/>
    </row>
    <row r="2108" spans="1:1">
      <c r="A2108" s="2"/>
    </row>
    <row r="2109" spans="1:1">
      <c r="A2109" s="2"/>
    </row>
    <row r="2110" spans="1:1">
      <c r="A2110" s="2"/>
    </row>
    <row r="2111" spans="1:1">
      <c r="A2111" s="2"/>
    </row>
    <row r="2112" spans="1:1">
      <c r="A2112" s="2"/>
    </row>
    <row r="2113" spans="1:1">
      <c r="A2113" s="2"/>
    </row>
    <row r="2114" spans="1:1">
      <c r="A2114" s="2"/>
    </row>
    <row r="2115" spans="1:1">
      <c r="A2115" s="2"/>
    </row>
    <row r="2116" spans="1:1">
      <c r="A2116" s="2"/>
    </row>
    <row r="2117" spans="1:1">
      <c r="A2117" s="2"/>
    </row>
    <row r="2118" spans="1:1">
      <c r="A2118" s="2"/>
    </row>
    <row r="2119" spans="1:1">
      <c r="A2119" s="2"/>
    </row>
    <row r="2120" spans="1:1">
      <c r="A2120" s="2"/>
    </row>
    <row r="2121" spans="1:1">
      <c r="A2121" s="2"/>
    </row>
    <row r="2122" spans="1:1">
      <c r="A2122" s="2"/>
    </row>
    <row r="2123" spans="1:1">
      <c r="A2123" s="2"/>
    </row>
    <row r="2124" spans="1:1">
      <c r="A2124" s="2"/>
    </row>
    <row r="2125" spans="1:1">
      <c r="A2125" s="2"/>
    </row>
    <row r="2126" spans="1:1">
      <c r="A2126" s="2"/>
    </row>
    <row r="2127" spans="1:1">
      <c r="A2127" s="2"/>
    </row>
    <row r="2128" spans="1:1">
      <c r="A2128" s="2"/>
    </row>
    <row r="2129" spans="1:1">
      <c r="A2129" s="2"/>
    </row>
    <row r="2130" spans="1:1">
      <c r="A2130" s="2"/>
    </row>
    <row r="2131" spans="1:1">
      <c r="A2131" s="2"/>
    </row>
    <row r="2132" spans="1:1">
      <c r="A2132" s="2"/>
    </row>
    <row r="2133" spans="1:1">
      <c r="A2133" s="2"/>
    </row>
    <row r="2134" spans="1:1">
      <c r="A2134" s="2"/>
    </row>
    <row r="2135" spans="1:1">
      <c r="A2135" s="2"/>
    </row>
    <row r="2136" spans="1:1">
      <c r="A2136" s="2"/>
    </row>
    <row r="2137" spans="1:1">
      <c r="A2137" s="2"/>
    </row>
    <row r="2138" spans="1:1">
      <c r="A2138" s="2"/>
    </row>
    <row r="2139" spans="1:1">
      <c r="A2139" s="2"/>
    </row>
    <row r="2140" spans="1:1">
      <c r="A2140" s="2"/>
    </row>
    <row r="2141" spans="1:1">
      <c r="A2141" s="2"/>
    </row>
    <row r="2142" spans="1:1">
      <c r="A2142" s="2"/>
    </row>
    <row r="2143" spans="1:1">
      <c r="A2143" s="2"/>
    </row>
    <row r="2144" spans="1:1">
      <c r="A2144" s="2"/>
    </row>
    <row r="2145" spans="1:1">
      <c r="A2145" s="2"/>
    </row>
    <row r="2146" spans="1:1">
      <c r="A2146" s="2"/>
    </row>
    <row r="2147" spans="1:1">
      <c r="A2147" s="2"/>
    </row>
    <row r="2148" spans="1:1">
      <c r="A2148" s="2"/>
    </row>
    <row r="2149" spans="1:1">
      <c r="A2149" s="2"/>
    </row>
    <row r="2150" spans="1:1">
      <c r="A2150" s="2"/>
    </row>
    <row r="2151" spans="1:1">
      <c r="A2151" s="2"/>
    </row>
    <row r="2152" spans="1:1">
      <c r="A2152" s="2"/>
    </row>
    <row r="2153" spans="1:1">
      <c r="A2153" s="2"/>
    </row>
    <row r="2154" spans="1:1">
      <c r="A2154" s="2"/>
    </row>
    <row r="2155" spans="1:1">
      <c r="A2155" s="2"/>
    </row>
    <row r="2156" spans="1:1">
      <c r="A2156" s="2"/>
    </row>
    <row r="2157" spans="1:1">
      <c r="A2157" s="2"/>
    </row>
    <row r="2158" spans="1:1">
      <c r="A2158" s="2"/>
    </row>
    <row r="2159" spans="1:1">
      <c r="A2159" s="2"/>
    </row>
    <row r="2160" spans="1:1">
      <c r="A2160" s="2"/>
    </row>
    <row r="2161" spans="1:1">
      <c r="A2161" s="2"/>
    </row>
    <row r="2162" spans="1:1">
      <c r="A2162" s="2"/>
    </row>
    <row r="2163" spans="1:1">
      <c r="A2163" s="2"/>
    </row>
    <row r="2164" spans="1:1">
      <c r="A2164" s="2"/>
    </row>
    <row r="2165" spans="1:1">
      <c r="A2165" s="2"/>
    </row>
    <row r="2166" spans="1:1">
      <c r="A2166" s="2"/>
    </row>
    <row r="2167" spans="1:1">
      <c r="A2167" s="2"/>
    </row>
    <row r="2168" spans="1:1">
      <c r="A2168" s="2"/>
    </row>
    <row r="2169" spans="1:1">
      <c r="A2169" s="2"/>
    </row>
    <row r="2170" spans="1:1">
      <c r="A2170" s="2"/>
    </row>
    <row r="2171" spans="1:1">
      <c r="A2171" s="2"/>
    </row>
    <row r="2172" spans="1:1">
      <c r="A2172" s="2"/>
    </row>
    <row r="2173" spans="1:1">
      <c r="A2173" s="2"/>
    </row>
    <row r="2174" spans="1:1">
      <c r="A2174" s="2"/>
    </row>
    <row r="2175" spans="1:1">
      <c r="A2175" s="2"/>
    </row>
    <row r="2176" spans="1:1">
      <c r="A2176" s="2"/>
    </row>
    <row r="2177" spans="1:1">
      <c r="A2177" s="2"/>
    </row>
    <row r="2178" spans="1:1">
      <c r="A2178" s="2"/>
    </row>
    <row r="2179" spans="1:1">
      <c r="A2179" s="2"/>
    </row>
    <row r="2180" spans="1:1">
      <c r="A2180" s="2"/>
    </row>
    <row r="2181" spans="1:1">
      <c r="A2181" s="2"/>
    </row>
    <row r="2182" spans="1:1">
      <c r="A2182" s="2"/>
    </row>
    <row r="2183" spans="1:1">
      <c r="A2183" s="2"/>
    </row>
    <row r="2184" spans="1:1">
      <c r="A2184" s="2"/>
    </row>
    <row r="2185" spans="1:1">
      <c r="A2185" s="2"/>
    </row>
    <row r="2186" spans="1:1">
      <c r="A2186" s="2"/>
    </row>
    <row r="2187" spans="1:1">
      <c r="A2187" s="2"/>
    </row>
    <row r="2188" spans="1:1">
      <c r="A2188" s="2"/>
    </row>
    <row r="2189" spans="1:1">
      <c r="A2189" s="2"/>
    </row>
    <row r="2190" spans="1:1">
      <c r="A2190" s="2"/>
    </row>
    <row r="2191" spans="1:1">
      <c r="A2191" s="2"/>
    </row>
    <row r="2192" spans="1:1">
      <c r="A2192" s="2"/>
    </row>
    <row r="2193" spans="1:1">
      <c r="A2193" s="2"/>
    </row>
    <row r="2194" spans="1:1">
      <c r="A2194" s="2"/>
    </row>
    <row r="2195" spans="1:1">
      <c r="A2195" s="2"/>
    </row>
    <row r="2196" spans="1:1">
      <c r="A2196" s="2"/>
    </row>
    <row r="2197" spans="1:1">
      <c r="A2197" s="2"/>
    </row>
    <row r="2198" spans="1:1">
      <c r="A2198" s="2"/>
    </row>
    <row r="2199" spans="1:1">
      <c r="A2199" s="2"/>
    </row>
    <row r="2200" spans="1:1">
      <c r="A2200" s="2"/>
    </row>
    <row r="2201" spans="1:1">
      <c r="A2201" s="2"/>
    </row>
    <row r="2202" spans="1:1">
      <c r="A2202" s="2"/>
    </row>
    <row r="2203" spans="1:1">
      <c r="A2203" s="2"/>
    </row>
    <row r="2204" spans="1:1">
      <c r="A2204" s="2"/>
    </row>
    <row r="2205" spans="1:1">
      <c r="A2205" s="2"/>
    </row>
    <row r="2206" spans="1:1">
      <c r="A2206" s="2"/>
    </row>
    <row r="2207" spans="1:1">
      <c r="A2207" s="2"/>
    </row>
    <row r="2208" spans="1:1">
      <c r="A2208" s="2"/>
    </row>
    <row r="2209" spans="1:1">
      <c r="A2209" s="2"/>
    </row>
    <row r="2210" spans="1:1">
      <c r="A2210" s="2"/>
    </row>
    <row r="2211" spans="1:1">
      <c r="A2211" s="2"/>
    </row>
    <row r="2212" spans="1:1">
      <c r="A2212" s="2"/>
    </row>
    <row r="2213" spans="1:1">
      <c r="A2213" s="2"/>
    </row>
    <row r="2214" spans="1:1">
      <c r="A2214" s="2"/>
    </row>
    <row r="2215" spans="1:1">
      <c r="A2215" s="2"/>
    </row>
    <row r="2216" spans="1:1">
      <c r="A2216" s="2"/>
    </row>
    <row r="2217" spans="1:1">
      <c r="A2217" s="2"/>
    </row>
    <row r="2218" spans="1:1">
      <c r="A2218" s="2"/>
    </row>
    <row r="2219" spans="1:1">
      <c r="A2219" s="2"/>
    </row>
    <row r="2220" spans="1:1">
      <c r="A2220" s="2"/>
    </row>
    <row r="2221" spans="1:1">
      <c r="A2221" s="2"/>
    </row>
    <row r="2222" spans="1:1">
      <c r="A2222" s="2"/>
    </row>
    <row r="2223" spans="1:1">
      <c r="A2223" s="2"/>
    </row>
    <row r="2224" spans="1:1">
      <c r="A2224" s="2"/>
    </row>
    <row r="2225" spans="1:1">
      <c r="A2225" s="2"/>
    </row>
    <row r="2226" spans="1:1">
      <c r="A2226" s="2"/>
    </row>
    <row r="2227" spans="1:1">
      <c r="A2227" s="2"/>
    </row>
    <row r="2228" spans="1:1">
      <c r="A2228" s="2"/>
    </row>
    <row r="2229" spans="1:1">
      <c r="A2229" s="2"/>
    </row>
    <row r="2230" spans="1:1">
      <c r="A2230" s="2"/>
    </row>
    <row r="2231" spans="1:1">
      <c r="A2231" s="2"/>
    </row>
    <row r="2232" spans="1:1">
      <c r="A2232" s="2"/>
    </row>
    <row r="2233" spans="1:1">
      <c r="A2233" s="2"/>
    </row>
    <row r="2234" spans="1:1">
      <c r="A2234" s="2"/>
    </row>
    <row r="2235" spans="1:1">
      <c r="A2235" s="2"/>
    </row>
    <row r="2236" spans="1:1">
      <c r="A2236" s="2"/>
    </row>
    <row r="2237" spans="1:1">
      <c r="A2237" s="2"/>
    </row>
    <row r="2238" spans="1:1">
      <c r="A2238" s="2"/>
    </row>
    <row r="2239" spans="1:1">
      <c r="A2239" s="2"/>
    </row>
    <row r="2240" spans="1:1">
      <c r="A2240" s="2"/>
    </row>
    <row r="2241" spans="1:1">
      <c r="A2241" s="2"/>
    </row>
    <row r="2242" spans="1:1">
      <c r="A2242" s="2"/>
    </row>
    <row r="2243" spans="1:1">
      <c r="A2243" s="2"/>
    </row>
    <row r="2244" spans="1:1">
      <c r="A2244" s="2"/>
    </row>
    <row r="2245" spans="1:1">
      <c r="A2245" s="2"/>
    </row>
    <row r="2246" spans="1:1">
      <c r="A2246" s="2"/>
    </row>
    <row r="2247" spans="1:1">
      <c r="A2247" s="2"/>
    </row>
    <row r="2248" spans="1:1">
      <c r="A2248" s="2"/>
    </row>
    <row r="2249" spans="1:1">
      <c r="A2249" s="2"/>
    </row>
    <row r="2250" spans="1:1">
      <c r="A2250" s="2"/>
    </row>
    <row r="2251" spans="1:1">
      <c r="A2251" s="2"/>
    </row>
  </sheetData>
  <customSheetViews>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1"/>
      <headerFooter alignWithMargins="0">
        <oddHeader>&amp;R&amp;12Page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2"/>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3"/>
      <headerFooter alignWithMargins="0">
        <oddHeader>&amp;R&amp;14Page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6"/>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7"/>
      <headerFooter alignWithMargins="0">
        <oddHeader>&amp;R&amp;12Page &amp;P of &amp;N</oddHeader>
      </headerFooter>
    </customSheetView>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8"/>
      <headerFooter alignWithMargins="0">
        <oddHeader>&amp;R&amp;12Page &amp;P of &amp;N</oddHeader>
      </headerFooter>
    </customSheetView>
  </customSheetViews>
  <mergeCells count="2">
    <mergeCell ref="A1:I1"/>
    <mergeCell ref="A2:I2"/>
  </mergeCells>
  <phoneticPr fontId="0" type="noConversion"/>
  <printOptions horizontalCentered="1"/>
  <pageMargins left="0.5" right="0.5" top="0.5" bottom="0.5" header="0.5" footer="0.5"/>
  <pageSetup scale="53" orientation="portrait" r:id="rId9"/>
  <headerFooter alignWithMargins="0">
    <oddHeader>&amp;R&amp;14ATTACHMENT H-13A
Page &amp;P of &amp;N</oddHeader>
  </headerFooter>
</worksheet>
</file>

<file path=xl/worksheets/sheet6.xml><?xml version="1.0" encoding="utf-8"?>
<worksheet xmlns="http://schemas.openxmlformats.org/spreadsheetml/2006/main" xmlns:r="http://schemas.openxmlformats.org/officeDocument/2006/relationships">
  <sheetPr codeName="Sheet7">
    <pageSetUpPr fitToPage="1"/>
  </sheetPr>
  <dimension ref="A1:IL181"/>
  <sheetViews>
    <sheetView zoomScale="75" zoomScaleNormal="75" zoomScaleSheetLayoutView="50" workbookViewId="0">
      <selection activeCell="J20" sqref="J20:Q20"/>
    </sheetView>
  </sheetViews>
  <sheetFormatPr defaultRowHeight="12.75"/>
  <cols>
    <col min="1" max="1" width="6.42578125" style="246" customWidth="1"/>
    <col min="2" max="2" width="4.28515625" style="246" customWidth="1"/>
    <col min="3" max="3" width="58" style="246" customWidth="1"/>
    <col min="4" max="4" width="17.7109375" style="246" customWidth="1"/>
    <col min="5" max="5" width="13.42578125" style="246" bestFit="1" customWidth="1"/>
    <col min="6" max="6" width="20.28515625" style="246" bestFit="1" customWidth="1"/>
    <col min="7" max="7" width="15.28515625" style="246" customWidth="1"/>
    <col min="8" max="8" width="19.7109375" style="246" customWidth="1"/>
    <col min="9" max="9" width="16.140625" style="246" customWidth="1"/>
    <col min="10" max="10" width="13.7109375" style="372" customWidth="1"/>
    <col min="11" max="11" width="12.28515625" style="372" customWidth="1"/>
    <col min="12" max="12" width="10.5703125" style="372" customWidth="1"/>
    <col min="13" max="13" width="11.140625" style="372" customWidth="1"/>
    <col min="14" max="14" width="11.5703125" style="372" customWidth="1"/>
    <col min="15" max="15" width="10.42578125" style="372" customWidth="1"/>
    <col min="16" max="16" width="9.7109375" style="372" customWidth="1"/>
    <col min="17" max="17" width="7.42578125" style="372" customWidth="1"/>
    <col min="18" max="18" width="4.7109375" style="246" customWidth="1"/>
    <col min="19" max="16384" width="9.140625" style="246"/>
  </cols>
  <sheetData>
    <row r="1" spans="1:18" ht="21" customHeight="1">
      <c r="A1" s="580"/>
      <c r="B1" s="581"/>
      <c r="C1" s="575"/>
      <c r="D1" s="582"/>
      <c r="E1" s="583"/>
      <c r="F1" s="584"/>
      <c r="G1" s="578" t="str">
        <f>+'Appendix A'!A3</f>
        <v>Commonwealth Edison Company</v>
      </c>
      <c r="H1" s="575"/>
      <c r="I1" s="575"/>
      <c r="J1" s="666"/>
      <c r="K1" s="666"/>
      <c r="L1" s="666"/>
      <c r="M1" s="666"/>
      <c r="N1" s="666"/>
      <c r="O1" s="666"/>
      <c r="P1" s="666"/>
      <c r="Q1" s="666"/>
      <c r="R1" s="575"/>
    </row>
    <row r="2" spans="1:18" ht="21" customHeight="1">
      <c r="A2" s="585"/>
      <c r="B2" s="581"/>
      <c r="C2" s="585"/>
      <c r="D2" s="582"/>
      <c r="E2" s="583"/>
      <c r="F2" s="584"/>
      <c r="G2" s="575"/>
      <c r="H2" s="575"/>
      <c r="I2" s="575"/>
      <c r="J2" s="666"/>
      <c r="K2" s="666"/>
      <c r="L2" s="666"/>
      <c r="M2" s="666"/>
      <c r="N2" s="666"/>
      <c r="O2" s="666"/>
      <c r="P2" s="666"/>
      <c r="Q2" s="666"/>
      <c r="R2" s="575"/>
    </row>
    <row r="3" spans="1:18" s="303" customFormat="1" ht="21" customHeight="1">
      <c r="A3" s="585"/>
      <c r="B3" s="581"/>
      <c r="C3" s="575"/>
      <c r="D3" s="582"/>
      <c r="E3" s="583"/>
      <c r="F3" s="584"/>
      <c r="G3" s="579" t="s">
        <v>587</v>
      </c>
      <c r="H3" s="576"/>
      <c r="I3" s="576"/>
      <c r="J3" s="667"/>
      <c r="K3" s="667"/>
      <c r="L3" s="667"/>
      <c r="M3" s="667"/>
      <c r="N3" s="667"/>
      <c r="O3" s="667"/>
      <c r="P3" s="667"/>
      <c r="Q3" s="667"/>
      <c r="R3" s="576"/>
    </row>
    <row r="4" spans="1:18" ht="18.75" thickBot="1">
      <c r="A4" s="832" t="s">
        <v>312</v>
      </c>
      <c r="B4" s="833"/>
      <c r="C4" s="834"/>
      <c r="D4" s="835"/>
      <c r="E4" s="583"/>
      <c r="F4" s="836"/>
      <c r="G4" s="837"/>
      <c r="H4" s="837"/>
      <c r="I4" s="837"/>
      <c r="J4" s="838"/>
      <c r="K4" s="838"/>
      <c r="L4" s="838"/>
      <c r="M4" s="838"/>
      <c r="N4" s="838"/>
      <c r="O4" s="838"/>
      <c r="P4" s="838"/>
      <c r="Q4" s="838"/>
      <c r="R4" s="575"/>
    </row>
    <row r="5" spans="1:18" ht="29.25" customHeight="1">
      <c r="A5" s="1259" t="s">
        <v>688</v>
      </c>
      <c r="B5" s="1260"/>
      <c r="C5" s="1260"/>
      <c r="D5" s="1260"/>
      <c r="E5" s="1260"/>
      <c r="F5" s="1260"/>
      <c r="G5" s="840" t="s">
        <v>195</v>
      </c>
      <c r="H5" s="841" t="s">
        <v>151</v>
      </c>
      <c r="I5" s="841"/>
      <c r="J5" s="1247" t="s">
        <v>77</v>
      </c>
      <c r="K5" s="1248"/>
      <c r="L5" s="1248"/>
      <c r="M5" s="1248"/>
      <c r="N5" s="1248"/>
      <c r="O5" s="1248"/>
      <c r="P5" s="1248"/>
      <c r="Q5" s="1249"/>
      <c r="R5" s="575"/>
    </row>
    <row r="6" spans="1:18" ht="25.5" customHeight="1">
      <c r="A6" s="570"/>
      <c r="B6" s="586" t="s">
        <v>574</v>
      </c>
      <c r="C6" s="571"/>
      <c r="D6" s="548"/>
      <c r="E6" s="485"/>
      <c r="F6" s="548"/>
      <c r="G6" s="549"/>
      <c r="H6" s="548"/>
      <c r="I6" s="548"/>
      <c r="J6" s="1261"/>
      <c r="K6" s="1252"/>
      <c r="L6" s="1252"/>
      <c r="M6" s="1252"/>
      <c r="N6" s="1252"/>
      <c r="O6" s="1252"/>
      <c r="P6" s="1252"/>
      <c r="Q6" s="1253"/>
      <c r="R6" s="575"/>
    </row>
    <row r="7" spans="1:18" s="303" customFormat="1">
      <c r="A7" s="587">
        <f>+'Appendix A'!A21</f>
        <v>8</v>
      </c>
      <c r="B7" s="548"/>
      <c r="C7" s="186" t="str">
        <f>+'Appendix A'!C21</f>
        <v>Accumulated Amortization</v>
      </c>
      <c r="D7" s="571"/>
      <c r="E7" s="595" t="str">
        <f>+'Appendix A'!E21</f>
        <v>(Note A)</v>
      </c>
      <c r="F7" s="652" t="str">
        <f>+'Appendix A'!F21</f>
        <v>p200.21.c</v>
      </c>
      <c r="G7" s="589"/>
      <c r="H7" s="1162">
        <v>1</v>
      </c>
      <c r="I7" s="689"/>
      <c r="J7" s="1241"/>
      <c r="K7" s="1242"/>
      <c r="L7" s="1242"/>
      <c r="M7" s="1242"/>
      <c r="N7" s="1242"/>
      <c r="O7" s="1242"/>
      <c r="P7" s="1242"/>
      <c r="Q7" s="1243"/>
      <c r="R7" s="576"/>
    </row>
    <row r="8" spans="1:18" s="303" customFormat="1">
      <c r="A8" s="590"/>
      <c r="B8" s="591"/>
      <c r="C8" s="573"/>
      <c r="D8" s="592"/>
      <c r="E8" s="588"/>
      <c r="F8" s="680"/>
      <c r="G8" s="593"/>
      <c r="H8" s="516"/>
      <c r="I8" s="516"/>
      <c r="J8" s="1241"/>
      <c r="K8" s="1242"/>
      <c r="L8" s="1242"/>
      <c r="M8" s="1242"/>
      <c r="N8" s="1242"/>
      <c r="O8" s="1242"/>
      <c r="P8" s="1242"/>
      <c r="Q8" s="1243"/>
      <c r="R8" s="576"/>
    </row>
    <row r="9" spans="1:18">
      <c r="A9" s="590"/>
      <c r="B9" s="594" t="s">
        <v>14</v>
      </c>
      <c r="C9" s="186"/>
      <c r="D9" s="571"/>
      <c r="E9" s="588"/>
      <c r="F9" s="632"/>
      <c r="G9" s="593"/>
      <c r="H9" s="842" t="s">
        <v>15</v>
      </c>
      <c r="I9" s="523"/>
      <c r="J9" s="1263"/>
      <c r="K9" s="1252"/>
      <c r="L9" s="1252"/>
      <c r="M9" s="1252"/>
      <c r="N9" s="1252"/>
      <c r="O9" s="1252"/>
      <c r="P9" s="1252"/>
      <c r="Q9" s="1253"/>
      <c r="R9" s="575"/>
    </row>
    <row r="10" spans="1:18" s="303" customFormat="1">
      <c r="A10" s="587">
        <f>'Appendix A'!A47</f>
        <v>26</v>
      </c>
      <c r="B10" s="595"/>
      <c r="C10" s="186" t="str">
        <f>'Appendix A'!C47</f>
        <v>Account No. 397 Directly Assigned to Transmission</v>
      </c>
      <c r="D10" s="571"/>
      <c r="E10" s="588"/>
      <c r="F10" s="632" t="s">
        <v>591</v>
      </c>
      <c r="G10" s="596">
        <f>'Appendix A'!H43</f>
        <v>727923321</v>
      </c>
      <c r="H10" s="1163">
        <f>0.4647*G10</f>
        <v>338265967.2687</v>
      </c>
      <c r="I10" s="499"/>
      <c r="J10" s="1264" t="s">
        <v>844</v>
      </c>
      <c r="K10" s="1252"/>
      <c r="L10" s="1252"/>
      <c r="M10" s="1252"/>
      <c r="N10" s="1252"/>
      <c r="O10" s="1252"/>
      <c r="P10" s="1252"/>
      <c r="Q10" s="1253"/>
      <c r="R10" s="576"/>
    </row>
    <row r="11" spans="1:18" s="303" customFormat="1">
      <c r="A11" s="590"/>
      <c r="B11" s="520"/>
      <c r="C11" s="573"/>
      <c r="D11" s="592"/>
      <c r="E11" s="588"/>
      <c r="F11" s="632"/>
      <c r="G11" s="596"/>
      <c r="H11" s="597"/>
      <c r="I11" s="499"/>
      <c r="J11" s="1264" t="s">
        <v>843</v>
      </c>
      <c r="K11" s="1252"/>
      <c r="L11" s="1252"/>
      <c r="M11" s="1252"/>
      <c r="N11" s="1252"/>
      <c r="O11" s="1252"/>
      <c r="P11" s="1252"/>
      <c r="Q11" s="1253"/>
      <c r="R11" s="576"/>
    </row>
    <row r="12" spans="1:18" s="303" customFormat="1">
      <c r="A12" s="590"/>
      <c r="B12" s="594" t="s">
        <v>214</v>
      </c>
      <c r="C12" s="594"/>
      <c r="D12" s="571"/>
      <c r="E12" s="588"/>
      <c r="F12" s="632"/>
      <c r="G12" s="589"/>
      <c r="H12" s="499"/>
      <c r="I12" s="499"/>
      <c r="J12" s="1250"/>
      <c r="K12" s="1245"/>
      <c r="L12" s="1245"/>
      <c r="M12" s="1245"/>
      <c r="N12" s="1245"/>
      <c r="O12" s="1245"/>
      <c r="P12" s="1245"/>
      <c r="Q12" s="1246"/>
      <c r="R12" s="576"/>
    </row>
    <row r="13" spans="1:18" s="303" customFormat="1">
      <c r="A13" s="590"/>
      <c r="B13" s="520"/>
      <c r="C13" s="573"/>
      <c r="D13" s="592"/>
      <c r="E13" s="520"/>
      <c r="F13" s="632"/>
      <c r="G13" s="589"/>
      <c r="H13" s="597"/>
      <c r="I13" s="499"/>
      <c r="J13" s="1241"/>
      <c r="K13" s="1242"/>
      <c r="L13" s="1242"/>
      <c r="M13" s="1242"/>
      <c r="N13" s="1242"/>
      <c r="O13" s="1242"/>
      <c r="P13" s="1242"/>
      <c r="Q13" s="1243"/>
      <c r="R13" s="576"/>
    </row>
    <row r="14" spans="1:18" s="303" customFormat="1">
      <c r="A14" s="590">
        <f>'Appendix A'!A59</f>
        <v>32</v>
      </c>
      <c r="B14" s="520"/>
      <c r="C14" s="573" t="str">
        <f>'Appendix A'!C59</f>
        <v>Less: Amount of General Depreciation Associated with Acct. 397</v>
      </c>
      <c r="D14" s="592"/>
      <c r="E14" s="520"/>
      <c r="F14" s="632" t="s">
        <v>69</v>
      </c>
      <c r="G14" s="589"/>
      <c r="H14" s="1163">
        <v>366274347</v>
      </c>
      <c r="I14" s="499"/>
      <c r="J14" s="1241"/>
      <c r="K14" s="1242"/>
      <c r="L14" s="1242"/>
      <c r="M14" s="1242"/>
      <c r="N14" s="1242"/>
      <c r="O14" s="1242"/>
      <c r="P14" s="1242"/>
      <c r="Q14" s="1243"/>
      <c r="R14" s="576"/>
    </row>
    <row r="15" spans="1:18" s="303" customFormat="1">
      <c r="A15" s="590"/>
      <c r="B15" s="591"/>
      <c r="C15" s="573"/>
      <c r="D15" s="592"/>
      <c r="E15" s="588"/>
      <c r="F15" s="680"/>
      <c r="G15" s="593"/>
      <c r="H15" s="523"/>
      <c r="I15" s="516"/>
      <c r="J15" s="1241"/>
      <c r="K15" s="1242"/>
      <c r="L15" s="1242"/>
      <c r="M15" s="1242"/>
      <c r="N15" s="1242"/>
      <c r="O15" s="1242"/>
      <c r="P15" s="1242"/>
      <c r="Q15" s="1243"/>
      <c r="R15" s="576"/>
    </row>
    <row r="16" spans="1:18" s="303" customFormat="1">
      <c r="A16" s="590"/>
      <c r="B16" s="594" t="s">
        <v>507</v>
      </c>
      <c r="C16" s="558"/>
      <c r="D16" s="272"/>
      <c r="E16" s="489"/>
      <c r="F16" s="681"/>
      <c r="G16" s="598"/>
      <c r="H16" s="272"/>
      <c r="I16" s="600"/>
      <c r="J16" s="1241"/>
      <c r="K16" s="1242"/>
      <c r="L16" s="1242"/>
      <c r="M16" s="1242"/>
      <c r="N16" s="1242"/>
      <c r="O16" s="1242"/>
      <c r="P16" s="1242"/>
      <c r="Q16" s="1243"/>
      <c r="R16" s="576"/>
    </row>
    <row r="17" spans="1:18" s="303" customFormat="1" ht="15.75" customHeight="1">
      <c r="A17" s="601">
        <f>+'Appendix A'!A84</f>
        <v>45</v>
      </c>
      <c r="B17" s="599"/>
      <c r="C17" s="504" t="str">
        <f>+'Appendix A'!C84</f>
        <v>Undistributed Stores Expense</v>
      </c>
      <c r="D17" s="602"/>
      <c r="E17" s="503" t="str">
        <f>+'Appendix A'!E84</f>
        <v>(Note A)</v>
      </c>
      <c r="F17" s="602" t="str">
        <f>+'Appendix A'!F84</f>
        <v>p227.6.c &amp; 16.c</v>
      </c>
      <c r="G17" s="589"/>
      <c r="H17" s="1162">
        <v>1</v>
      </c>
      <c r="I17" s="516"/>
      <c r="J17" s="1241"/>
      <c r="K17" s="1242"/>
      <c r="L17" s="1242"/>
      <c r="M17" s="1242"/>
      <c r="N17" s="1242"/>
      <c r="O17" s="1242"/>
      <c r="P17" s="1242"/>
      <c r="Q17" s="1243"/>
      <c r="R17" s="576"/>
    </row>
    <row r="18" spans="1:18" s="303" customFormat="1" ht="15.75" customHeight="1">
      <c r="A18" s="601"/>
      <c r="B18" s="599"/>
      <c r="C18" s="504"/>
      <c r="D18" s="602"/>
      <c r="E18" s="489"/>
      <c r="F18" s="602"/>
      <c r="G18" s="589"/>
      <c r="H18" s="897"/>
      <c r="I18" s="516"/>
      <c r="J18" s="1241"/>
      <c r="K18" s="1242"/>
      <c r="L18" s="1242"/>
      <c r="M18" s="1242"/>
      <c r="N18" s="1242"/>
      <c r="O18" s="1242"/>
      <c r="P18" s="1242"/>
      <c r="Q18" s="1243"/>
      <c r="R18" s="576"/>
    </row>
    <row r="19" spans="1:18" s="303" customFormat="1">
      <c r="A19" s="590"/>
      <c r="B19" s="586" t="s">
        <v>478</v>
      </c>
      <c r="C19" s="558"/>
      <c r="D19" s="603"/>
      <c r="E19" s="551"/>
      <c r="F19" s="602"/>
      <c r="G19" s="598"/>
      <c r="H19" s="272"/>
      <c r="I19" s="600"/>
      <c r="J19" s="1241"/>
      <c r="K19" s="1242"/>
      <c r="L19" s="1242"/>
      <c r="M19" s="1242"/>
      <c r="N19" s="1242"/>
      <c r="O19" s="1242"/>
      <c r="P19" s="1242"/>
      <c r="Q19" s="1243"/>
      <c r="R19" s="576"/>
    </row>
    <row r="20" spans="1:18" s="303" customFormat="1">
      <c r="A20" s="590">
        <f>+'Appendix A'!A109</f>
        <v>60</v>
      </c>
      <c r="B20" s="586"/>
      <c r="C20" s="186" t="str">
        <f>+'Appendix A'!C109</f>
        <v xml:space="preserve">     Plus Transmission Lease Payments</v>
      </c>
      <c r="D20" s="603"/>
      <c r="E20" s="595" t="str">
        <f>+'Appendix A'!E109</f>
        <v>(Note A)</v>
      </c>
      <c r="F20" s="680" t="str">
        <f>+'Appendix A'!F109</f>
        <v>p200.4.c</v>
      </c>
      <c r="G20" s="598"/>
      <c r="H20" s="1162">
        <v>1</v>
      </c>
      <c r="I20" s="600"/>
      <c r="J20" s="1244" t="s">
        <v>873</v>
      </c>
      <c r="K20" s="1242"/>
      <c r="L20" s="1242"/>
      <c r="M20" s="1242"/>
      <c r="N20" s="1242"/>
      <c r="O20" s="1242"/>
      <c r="P20" s="1242"/>
      <c r="Q20" s="1243"/>
      <c r="R20" s="576"/>
    </row>
    <row r="21" spans="1:18" s="303" customFormat="1">
      <c r="A21" s="590"/>
      <c r="B21" s="520"/>
      <c r="C21" s="573"/>
      <c r="D21" s="602"/>
      <c r="E21" s="588"/>
      <c r="F21" s="680"/>
      <c r="G21" s="589"/>
      <c r="H21" s="897"/>
      <c r="I21" s="516"/>
      <c r="J21" s="1241"/>
      <c r="K21" s="1242"/>
      <c r="L21" s="1242"/>
      <c r="M21" s="1242"/>
      <c r="N21" s="1242"/>
      <c r="O21" s="1242"/>
      <c r="P21" s="1242"/>
      <c r="Q21" s="1243"/>
      <c r="R21" s="576"/>
    </row>
    <row r="22" spans="1:18">
      <c r="A22" s="605"/>
      <c r="B22" s="606" t="s">
        <v>459</v>
      </c>
      <c r="C22" s="565"/>
      <c r="D22" s="571"/>
      <c r="E22" s="607"/>
      <c r="F22" s="592"/>
      <c r="G22" s="608"/>
      <c r="H22" s="548"/>
      <c r="I22" s="600"/>
      <c r="J22" s="1251"/>
      <c r="K22" s="1251"/>
      <c r="L22" s="1251"/>
      <c r="M22" s="1251"/>
      <c r="N22" s="1251"/>
      <c r="O22" s="1251"/>
      <c r="P22" s="1251"/>
      <c r="Q22" s="1262"/>
      <c r="R22" s="575"/>
    </row>
    <row r="23" spans="1:18" s="263" customFormat="1" ht="15.75" customHeight="1">
      <c r="A23" s="587">
        <f>+'Appendix A'!A150</f>
        <v>88</v>
      </c>
      <c r="B23" s="609"/>
      <c r="C23" s="186" t="str">
        <f>+'Appendix A'!C150</f>
        <v>Amount of General Depreciation Expense Associated with Acct. 397</v>
      </c>
      <c r="D23" s="603"/>
      <c r="E23" s="588"/>
      <c r="F23" s="1164" t="s">
        <v>848</v>
      </c>
      <c r="G23" s="589"/>
      <c r="H23" s="1163">
        <f>725346000*0.0612</f>
        <v>44391175.199999996</v>
      </c>
      <c r="I23" s="499"/>
      <c r="J23" s="1250" t="s">
        <v>496</v>
      </c>
      <c r="K23" s="1245"/>
      <c r="L23" s="1245"/>
      <c r="M23" s="1245"/>
      <c r="N23" s="1245"/>
      <c r="O23" s="1245"/>
      <c r="P23" s="1245"/>
      <c r="Q23" s="1246"/>
      <c r="R23" s="576"/>
    </row>
    <row r="24" spans="1:18" s="303" customFormat="1">
      <c r="A24" s="610"/>
      <c r="B24" s="611"/>
      <c r="C24" s="612"/>
      <c r="D24" s="602"/>
      <c r="E24" s="613"/>
      <c r="F24" s="682"/>
      <c r="G24" s="593"/>
      <c r="H24" s="499"/>
      <c r="I24" s="516"/>
      <c r="J24" s="1241"/>
      <c r="K24" s="1242"/>
      <c r="L24" s="1242"/>
      <c r="M24" s="1242"/>
      <c r="N24" s="1242"/>
      <c r="O24" s="1242"/>
      <c r="P24" s="1242"/>
      <c r="Q24" s="1243"/>
      <c r="R24" s="576"/>
    </row>
    <row r="25" spans="1:18" s="303" customFormat="1">
      <c r="A25" s="610"/>
      <c r="B25" s="611"/>
      <c r="C25" s="612"/>
      <c r="D25" s="602"/>
      <c r="E25" s="613"/>
      <c r="F25" s="682"/>
      <c r="G25" s="593"/>
      <c r="H25" s="499"/>
      <c r="I25" s="516"/>
      <c r="J25" s="1241"/>
      <c r="K25" s="1242"/>
      <c r="L25" s="1242"/>
      <c r="M25" s="1242"/>
      <c r="N25" s="1242"/>
      <c r="O25" s="1242"/>
      <c r="P25" s="1242"/>
      <c r="Q25" s="1243"/>
      <c r="R25" s="576"/>
    </row>
    <row r="26" spans="1:18" s="303" customFormat="1">
      <c r="A26" s="610"/>
      <c r="B26" s="611"/>
      <c r="C26" s="612"/>
      <c r="D26" s="602"/>
      <c r="E26" s="613"/>
      <c r="F26" s="682"/>
      <c r="G26" s="593"/>
      <c r="H26" s="499"/>
      <c r="I26" s="516"/>
      <c r="J26" s="1241"/>
      <c r="K26" s="1242"/>
      <c r="L26" s="1242"/>
      <c r="M26" s="1242"/>
      <c r="N26" s="1242"/>
      <c r="O26" s="1242"/>
      <c r="P26" s="1242"/>
      <c r="Q26" s="1243"/>
      <c r="R26" s="576"/>
    </row>
    <row r="27" spans="1:18" s="303" customFormat="1" ht="13.5" thickBot="1">
      <c r="A27" s="614"/>
      <c r="B27" s="615"/>
      <c r="C27" s="559"/>
      <c r="D27" s="616"/>
      <c r="E27" s="617"/>
      <c r="F27" s="683"/>
      <c r="G27" s="618"/>
      <c r="H27" s="619"/>
      <c r="I27" s="620"/>
      <c r="J27" s="1257"/>
      <c r="K27" s="1257"/>
      <c r="L27" s="1257"/>
      <c r="M27" s="1257"/>
      <c r="N27" s="1257"/>
      <c r="O27" s="1257"/>
      <c r="P27" s="1257"/>
      <c r="Q27" s="1258"/>
      <c r="R27" s="576"/>
    </row>
    <row r="28" spans="1:18">
      <c r="A28" s="575"/>
      <c r="B28" s="575"/>
      <c r="C28" s="575"/>
      <c r="D28" s="575"/>
      <c r="E28" s="575"/>
      <c r="F28" s="575"/>
      <c r="G28" s="575"/>
      <c r="H28" s="575"/>
      <c r="I28" s="575"/>
      <c r="J28" s="666"/>
      <c r="K28" s="666"/>
      <c r="L28" s="666"/>
      <c r="M28" s="666"/>
      <c r="N28" s="666"/>
      <c r="O28" s="666"/>
      <c r="P28" s="666"/>
      <c r="Q28" s="666"/>
      <c r="R28" s="575"/>
    </row>
    <row r="29" spans="1:18">
      <c r="A29" s="575"/>
      <c r="B29" s="575"/>
      <c r="C29" s="575"/>
      <c r="D29" s="575"/>
      <c r="E29" s="575"/>
      <c r="F29" s="575"/>
      <c r="G29" s="575"/>
      <c r="H29" s="575"/>
      <c r="I29" s="575"/>
      <c r="J29" s="666"/>
      <c r="K29" s="666"/>
      <c r="L29" s="666"/>
      <c r="M29" s="666"/>
      <c r="N29" s="666"/>
      <c r="O29" s="666"/>
      <c r="P29" s="666"/>
      <c r="Q29" s="666"/>
      <c r="R29" s="575"/>
    </row>
    <row r="30" spans="1:18" s="303" customFormat="1" ht="18.75" thickBot="1">
      <c r="A30" s="832" t="s">
        <v>328</v>
      </c>
      <c r="B30" s="834"/>
      <c r="C30" s="834"/>
      <c r="D30" s="834"/>
      <c r="E30" s="834"/>
      <c r="F30" s="834"/>
      <c r="G30" s="834"/>
      <c r="H30" s="834"/>
      <c r="I30" s="834"/>
      <c r="J30" s="843"/>
      <c r="K30" s="843"/>
      <c r="L30" s="843"/>
      <c r="M30" s="843"/>
      <c r="N30" s="843"/>
      <c r="O30" s="843"/>
      <c r="P30" s="843"/>
      <c r="Q30" s="843"/>
      <c r="R30" s="576"/>
    </row>
    <row r="31" spans="1:18" ht="40.5" customHeight="1">
      <c r="A31" s="1259" t="s">
        <v>688</v>
      </c>
      <c r="B31" s="1260"/>
      <c r="C31" s="1260"/>
      <c r="D31" s="1260"/>
      <c r="E31" s="1260"/>
      <c r="F31" s="1260"/>
      <c r="G31" s="840" t="s">
        <v>195</v>
      </c>
      <c r="H31" s="841" t="s">
        <v>196</v>
      </c>
      <c r="I31" s="841" t="s">
        <v>309</v>
      </c>
      <c r="J31" s="1247" t="s">
        <v>77</v>
      </c>
      <c r="K31" s="1248"/>
      <c r="L31" s="1248"/>
      <c r="M31" s="1248"/>
      <c r="N31" s="1248"/>
      <c r="O31" s="1248"/>
      <c r="P31" s="1248"/>
      <c r="Q31" s="1249"/>
      <c r="R31" s="575"/>
    </row>
    <row r="32" spans="1:18" s="303" customFormat="1" ht="24.75" customHeight="1">
      <c r="A32" s="587">
        <f>+'Appendix A'!A50</f>
        <v>28</v>
      </c>
      <c r="B32" s="595"/>
      <c r="C32" s="594" t="str">
        <f>+'Appendix A'!C50</f>
        <v>Plant Held for Future Use (Including Land)</v>
      </c>
      <c r="D32" s="621"/>
      <c r="E32" s="595" t="str">
        <f>+'Appendix A'!E50</f>
        <v>(Note C)</v>
      </c>
      <c r="F32" s="186" t="s">
        <v>758</v>
      </c>
      <c r="G32" s="1165">
        <v>40487556</v>
      </c>
      <c r="H32" s="1163">
        <v>31057307</v>
      </c>
      <c r="I32" s="1093">
        <f>G32-H32</f>
        <v>9430249</v>
      </c>
      <c r="J32" s="1245"/>
      <c r="K32" s="1245"/>
      <c r="L32" s="1245"/>
      <c r="M32" s="1245"/>
      <c r="N32" s="1245"/>
      <c r="O32" s="1245"/>
      <c r="P32" s="1245"/>
      <c r="Q32" s="1246"/>
      <c r="R32" s="576"/>
    </row>
    <row r="33" spans="1:18" s="303" customFormat="1">
      <c r="A33" s="590"/>
      <c r="B33" s="611"/>
      <c r="C33" s="573"/>
      <c r="D33" s="602"/>
      <c r="E33" s="588"/>
      <c r="F33" s="573"/>
      <c r="G33" s="552"/>
      <c r="H33" s="1168">
        <v>0</v>
      </c>
      <c r="I33" s="272"/>
      <c r="J33" s="1241" t="s">
        <v>759</v>
      </c>
      <c r="K33" s="1242"/>
      <c r="L33" s="1242"/>
      <c r="M33" s="1242"/>
      <c r="N33" s="1242"/>
      <c r="O33" s="1242"/>
      <c r="P33" s="1242"/>
      <c r="Q33" s="1243"/>
      <c r="R33" s="576"/>
    </row>
    <row r="34" spans="1:18" ht="12.75" customHeight="1">
      <c r="A34" s="590"/>
      <c r="B34" s="611"/>
      <c r="C34" s="573"/>
      <c r="D34" s="602"/>
      <c r="E34" s="588"/>
      <c r="F34" s="573"/>
      <c r="G34" s="608"/>
      <c r="H34" s="534">
        <f>H32+H33</f>
        <v>31057307</v>
      </c>
      <c r="I34" s="548"/>
      <c r="J34" s="1241" t="s">
        <v>589</v>
      </c>
      <c r="K34" s="1242"/>
      <c r="L34" s="1242"/>
      <c r="M34" s="1242"/>
      <c r="N34" s="1242"/>
      <c r="O34" s="1242"/>
      <c r="P34" s="1242"/>
      <c r="Q34" s="1243"/>
      <c r="R34" s="575"/>
    </row>
    <row r="35" spans="1:18">
      <c r="A35" s="587"/>
      <c r="B35" s="609"/>
      <c r="C35" s="186"/>
      <c r="D35" s="603"/>
      <c r="E35" s="588"/>
      <c r="F35" s="573"/>
      <c r="G35" s="608"/>
      <c r="H35" s="534"/>
      <c r="I35" s="548"/>
      <c r="J35" s="1241"/>
      <c r="K35" s="1242"/>
      <c r="L35" s="1242"/>
      <c r="M35" s="1242"/>
      <c r="N35" s="1242"/>
      <c r="O35" s="1242"/>
      <c r="P35" s="1242"/>
      <c r="Q35" s="1243"/>
      <c r="R35" s="575"/>
    </row>
    <row r="36" spans="1:18" ht="25.5" customHeight="1">
      <c r="A36" s="587"/>
      <c r="B36" s="609"/>
      <c r="C36" s="186"/>
      <c r="D36" s="603"/>
      <c r="E36" s="588"/>
      <c r="F36" s="573"/>
      <c r="G36" s="608"/>
      <c r="H36" s="534"/>
      <c r="I36" s="548"/>
      <c r="J36" s="1241" t="s">
        <v>668</v>
      </c>
      <c r="K36" s="1242"/>
      <c r="L36" s="1242"/>
      <c r="M36" s="1242"/>
      <c r="N36" s="1242"/>
      <c r="O36" s="1242"/>
      <c r="P36" s="1242"/>
      <c r="Q36" s="1243"/>
      <c r="R36" s="575"/>
    </row>
    <row r="37" spans="1:18">
      <c r="A37" s="587"/>
      <c r="B37" s="609"/>
      <c r="C37" s="186"/>
      <c r="D37" s="603"/>
      <c r="E37" s="588"/>
      <c r="F37" s="573"/>
      <c r="G37" s="608"/>
      <c r="H37" s="534"/>
      <c r="I37" s="548"/>
      <c r="J37" s="1241"/>
      <c r="K37" s="1242"/>
      <c r="L37" s="1242"/>
      <c r="M37" s="1242"/>
      <c r="N37" s="1242"/>
      <c r="O37" s="1242"/>
      <c r="P37" s="1242"/>
      <c r="Q37" s="1243"/>
      <c r="R37" s="575"/>
    </row>
    <row r="38" spans="1:18" ht="13.5" thickBot="1">
      <c r="A38" s="555"/>
      <c r="B38" s="556"/>
      <c r="C38" s="556"/>
      <c r="D38" s="557"/>
      <c r="E38" s="556"/>
      <c r="F38" s="556"/>
      <c r="G38" s="555"/>
      <c r="H38" s="557"/>
      <c r="I38" s="556"/>
      <c r="J38" s="1254"/>
      <c r="K38" s="1255"/>
      <c r="L38" s="1255"/>
      <c r="M38" s="1255"/>
      <c r="N38" s="1255"/>
      <c r="O38" s="1255"/>
      <c r="P38" s="1255"/>
      <c r="Q38" s="1256"/>
      <c r="R38" s="575"/>
    </row>
    <row r="39" spans="1:18">
      <c r="A39" s="575"/>
      <c r="B39" s="575"/>
      <c r="C39" s="575"/>
      <c r="D39" s="575"/>
      <c r="E39" s="575"/>
      <c r="F39" s="575"/>
      <c r="G39" s="575"/>
      <c r="H39" s="575"/>
      <c r="I39" s="575"/>
      <c r="J39" s="666"/>
      <c r="K39" s="666"/>
      <c r="L39" s="666"/>
      <c r="M39" s="666"/>
      <c r="N39" s="666"/>
      <c r="O39" s="666"/>
      <c r="P39" s="666"/>
      <c r="Q39" s="666"/>
      <c r="R39" s="575"/>
    </row>
    <row r="40" spans="1:18">
      <c r="A40" s="575"/>
      <c r="B40" s="575"/>
      <c r="C40" s="575"/>
      <c r="D40" s="575"/>
      <c r="E40" s="575"/>
      <c r="F40" s="575"/>
      <c r="G40" s="575"/>
      <c r="H40" s="575"/>
      <c r="I40" s="575"/>
      <c r="J40" s="666"/>
      <c r="K40" s="666"/>
      <c r="L40" s="666"/>
      <c r="M40" s="666"/>
      <c r="N40" s="666"/>
      <c r="O40" s="666"/>
      <c r="P40" s="666"/>
      <c r="Q40" s="666"/>
      <c r="R40" s="575"/>
    </row>
    <row r="41" spans="1:18" s="303" customFormat="1" ht="18.75" thickBot="1">
      <c r="A41" s="832" t="s">
        <v>339</v>
      </c>
      <c r="B41" s="834"/>
      <c r="C41" s="834"/>
      <c r="D41" s="834"/>
      <c r="E41" s="834"/>
      <c r="F41" s="834"/>
      <c r="G41" s="834"/>
      <c r="H41" s="834"/>
      <c r="I41" s="834"/>
      <c r="J41" s="843"/>
      <c r="K41" s="843"/>
      <c r="L41" s="843"/>
      <c r="M41" s="843"/>
      <c r="N41" s="843"/>
      <c r="O41" s="843"/>
      <c r="P41" s="843"/>
      <c r="Q41" s="843"/>
      <c r="R41" s="576"/>
    </row>
    <row r="42" spans="1:18" ht="45.75" customHeight="1">
      <c r="A42" s="1259" t="s">
        <v>688</v>
      </c>
      <c r="B42" s="1260"/>
      <c r="C42" s="1260"/>
      <c r="D42" s="1260"/>
      <c r="E42" s="1260"/>
      <c r="F42" s="1260"/>
      <c r="G42" s="840" t="str">
        <f>+G31</f>
        <v>Form 1 Amount</v>
      </c>
      <c r="H42" s="841" t="s">
        <v>310</v>
      </c>
      <c r="I42" s="841" t="s">
        <v>197</v>
      </c>
      <c r="J42" s="1247" t="s">
        <v>77</v>
      </c>
      <c r="K42" s="1248"/>
      <c r="L42" s="1248"/>
      <c r="M42" s="1248"/>
      <c r="N42" s="1248"/>
      <c r="O42" s="1248"/>
      <c r="P42" s="1248"/>
      <c r="Q42" s="1249"/>
      <c r="R42" s="575"/>
    </row>
    <row r="43" spans="1:18" ht="27.75" customHeight="1">
      <c r="A43" s="570"/>
      <c r="B43" s="586" t="s">
        <v>574</v>
      </c>
      <c r="C43" s="565"/>
      <c r="D43" s="548"/>
      <c r="E43" s="485"/>
      <c r="F43" s="548"/>
      <c r="G43" s="549"/>
      <c r="H43" s="548"/>
      <c r="I43" s="548"/>
      <c r="J43" s="1251"/>
      <c r="K43" s="1252"/>
      <c r="L43" s="1252"/>
      <c r="M43" s="1252"/>
      <c r="N43" s="1252"/>
      <c r="O43" s="1252"/>
      <c r="P43" s="1252"/>
      <c r="Q43" s="1253"/>
      <c r="R43" s="575"/>
    </row>
    <row r="44" spans="1:18" s="303" customFormat="1">
      <c r="A44" s="587">
        <f>+'Appendix A'!A18</f>
        <v>6</v>
      </c>
      <c r="B44" s="548"/>
      <c r="C44" s="186" t="str">
        <f>+'Appendix A'!C18</f>
        <v>Electric Plant in Service</v>
      </c>
      <c r="D44" s="571"/>
      <c r="E44" s="595" t="str">
        <f>+'Appendix A'!E18</f>
        <v>(Note B)</v>
      </c>
      <c r="F44" s="573" t="str">
        <f>+'Appendix A'!F18</f>
        <v>p207.104.g</v>
      </c>
      <c r="G44" s="685"/>
      <c r="H44" s="1166">
        <v>0</v>
      </c>
      <c r="I44" s="516"/>
      <c r="J44" s="1245" t="s">
        <v>755</v>
      </c>
      <c r="K44" s="1245"/>
      <c r="L44" s="1245"/>
      <c r="M44" s="1245"/>
      <c r="N44" s="1245"/>
      <c r="O44" s="1245"/>
      <c r="P44" s="1245"/>
      <c r="Q44" s="1246"/>
      <c r="R44" s="576"/>
    </row>
    <row r="45" spans="1:18" s="303" customFormat="1">
      <c r="A45" s="605"/>
      <c r="B45" s="586" t="s">
        <v>519</v>
      </c>
      <c r="C45" s="565"/>
      <c r="D45" s="571"/>
      <c r="E45" s="604"/>
      <c r="F45" s="662"/>
      <c r="G45" s="686"/>
      <c r="H45" s="272"/>
      <c r="I45" s="600"/>
      <c r="J45" s="1245"/>
      <c r="K45" s="1245"/>
      <c r="L45" s="1245"/>
      <c r="M45" s="1245"/>
      <c r="N45" s="1245"/>
      <c r="O45" s="1245"/>
      <c r="P45" s="1245"/>
      <c r="Q45" s="1246"/>
      <c r="R45" s="576"/>
    </row>
    <row r="46" spans="1:18" s="303" customFormat="1">
      <c r="A46" s="590">
        <f>+'Appendix A'!A35</f>
        <v>15</v>
      </c>
      <c r="B46" s="591"/>
      <c r="C46" s="573" t="str">
        <f>+'Appendix A'!C35</f>
        <v>Transmission Plant In Service</v>
      </c>
      <c r="D46" s="592"/>
      <c r="E46" s="595" t="str">
        <f>+'Appendix A'!E35</f>
        <v>(Note B)</v>
      </c>
      <c r="F46" s="573" t="str">
        <f>+'Appendix A'!F35</f>
        <v>p207.58.g</v>
      </c>
      <c r="G46" s="685"/>
      <c r="H46" s="1166">
        <v>0</v>
      </c>
      <c r="I46" s="524"/>
      <c r="J46" s="1245" t="s">
        <v>755</v>
      </c>
      <c r="K46" s="1245"/>
      <c r="L46" s="1245"/>
      <c r="M46" s="1245"/>
      <c r="N46" s="1245"/>
      <c r="O46" s="1245"/>
      <c r="P46" s="1245"/>
      <c r="Q46" s="1246"/>
      <c r="R46" s="576"/>
    </row>
    <row r="47" spans="1:18" s="303" customFormat="1">
      <c r="A47" s="605"/>
      <c r="B47" s="600"/>
      <c r="C47" s="622"/>
      <c r="D47" s="600"/>
      <c r="E47" s="607"/>
      <c r="F47" s="622"/>
      <c r="G47" s="685"/>
      <c r="H47" s="1133"/>
      <c r="I47" s="524"/>
      <c r="J47" s="1245"/>
      <c r="K47" s="1245"/>
      <c r="L47" s="1245"/>
      <c r="M47" s="1245"/>
      <c r="N47" s="1245"/>
      <c r="O47" s="1245"/>
      <c r="P47" s="1245"/>
      <c r="Q47" s="1246"/>
      <c r="R47" s="576"/>
    </row>
    <row r="48" spans="1:18" s="303" customFormat="1">
      <c r="A48" s="590"/>
      <c r="B48" s="586" t="s">
        <v>509</v>
      </c>
      <c r="C48" s="594"/>
      <c r="D48" s="623"/>
      <c r="E48" s="624"/>
      <c r="F48" s="684"/>
      <c r="G48" s="608"/>
      <c r="H48" s="272"/>
      <c r="I48" s="600"/>
      <c r="J48" s="1245"/>
      <c r="K48" s="1245"/>
      <c r="L48" s="1245"/>
      <c r="M48" s="1245"/>
      <c r="N48" s="1245"/>
      <c r="O48" s="1245"/>
      <c r="P48" s="1245"/>
      <c r="Q48" s="670"/>
      <c r="R48" s="576"/>
    </row>
    <row r="49" spans="1:18" s="303" customFormat="1" ht="13.5" thickBot="1">
      <c r="A49" s="614">
        <f>+'Appendix A'!A56</f>
        <v>30</v>
      </c>
      <c r="B49" s="625"/>
      <c r="C49" s="559" t="str">
        <f>+'Appendix A'!C56</f>
        <v>Transmission Accumulated Depreciation</v>
      </c>
      <c r="D49" s="626"/>
      <c r="E49" s="629" t="str">
        <f>+'Appendix A'!E56</f>
        <v>(Note J)</v>
      </c>
      <c r="F49" s="559" t="str">
        <f>+'Appendix A'!F56</f>
        <v>p219.25.c</v>
      </c>
      <c r="G49" s="687"/>
      <c r="H49" s="1167">
        <v>0</v>
      </c>
      <c r="I49" s="627"/>
      <c r="J49" s="1257" t="s">
        <v>755</v>
      </c>
      <c r="K49" s="1257"/>
      <c r="L49" s="1257"/>
      <c r="M49" s="1257"/>
      <c r="N49" s="1257"/>
      <c r="O49" s="1257"/>
      <c r="P49" s="1257"/>
      <c r="Q49" s="1258"/>
      <c r="R49" s="576"/>
    </row>
    <row r="50" spans="1:18">
      <c r="A50" s="575"/>
      <c r="B50" s="575"/>
      <c r="C50" s="575"/>
      <c r="D50" s="575"/>
      <c r="E50" s="575"/>
      <c r="F50" s="575"/>
      <c r="G50" s="575"/>
      <c r="H50" s="575"/>
      <c r="I50" s="575"/>
      <c r="J50" s="666"/>
      <c r="K50" s="666"/>
      <c r="L50" s="666"/>
      <c r="M50" s="666"/>
      <c r="N50" s="666"/>
      <c r="O50" s="666"/>
      <c r="P50" s="666"/>
      <c r="Q50" s="666"/>
      <c r="R50" s="575"/>
    </row>
    <row r="51" spans="1:18">
      <c r="A51" s="575"/>
      <c r="B51" s="575"/>
      <c r="C51" s="575"/>
      <c r="D51" s="575"/>
      <c r="E51" s="575"/>
      <c r="F51" s="575"/>
      <c r="G51" s="575"/>
      <c r="H51" s="575"/>
      <c r="I51" s="575"/>
      <c r="J51" s="666"/>
      <c r="K51" s="666"/>
      <c r="L51" s="666"/>
      <c r="M51" s="666"/>
      <c r="N51" s="666"/>
      <c r="O51" s="666"/>
      <c r="P51" s="666"/>
      <c r="Q51" s="666"/>
      <c r="R51" s="575"/>
    </row>
    <row r="52" spans="1:18" s="303" customFormat="1" ht="18.75" thickBot="1">
      <c r="A52" s="832" t="s">
        <v>329</v>
      </c>
      <c r="B52" s="834"/>
      <c r="C52" s="834"/>
      <c r="D52" s="834"/>
      <c r="E52" s="834"/>
      <c r="F52" s="834"/>
      <c r="G52" s="834"/>
      <c r="H52" s="834"/>
      <c r="I52" s="834"/>
      <c r="J52" s="843"/>
      <c r="K52" s="843"/>
      <c r="L52" s="843"/>
      <c r="M52" s="843"/>
      <c r="N52" s="843"/>
      <c r="O52" s="843"/>
      <c r="P52" s="843"/>
      <c r="Q52" s="843"/>
      <c r="R52" s="576"/>
    </row>
    <row r="53" spans="1:18" ht="36.75" customHeight="1">
      <c r="A53" s="1259" t="s">
        <v>442</v>
      </c>
      <c r="B53" s="1260"/>
      <c r="C53" s="1260"/>
      <c r="D53" s="1260"/>
      <c r="E53" s="1260"/>
      <c r="F53" s="1260"/>
      <c r="G53" s="840" t="str">
        <f>+G42</f>
        <v>Form 1 Amount</v>
      </c>
      <c r="H53" s="841" t="s">
        <v>152</v>
      </c>
      <c r="I53" s="841"/>
      <c r="J53" s="1247" t="s">
        <v>77</v>
      </c>
      <c r="K53" s="1248"/>
      <c r="L53" s="1248"/>
      <c r="M53" s="1248"/>
      <c r="N53" s="1248"/>
      <c r="O53" s="1248"/>
      <c r="P53" s="1248"/>
      <c r="Q53" s="1249"/>
      <c r="R53" s="575"/>
    </row>
    <row r="54" spans="1:18" ht="13.5" thickBot="1">
      <c r="A54" s="587"/>
      <c r="B54" s="586" t="s">
        <v>478</v>
      </c>
      <c r="C54" s="603"/>
      <c r="D54" s="603"/>
      <c r="E54" s="551"/>
      <c r="F54" s="603"/>
      <c r="G54" s="549"/>
      <c r="H54" s="548"/>
      <c r="I54" s="548"/>
      <c r="J54" s="1251"/>
      <c r="K54" s="1252"/>
      <c r="L54" s="1252"/>
      <c r="M54" s="1252"/>
      <c r="N54" s="1252"/>
      <c r="O54" s="1252"/>
      <c r="P54" s="1252"/>
      <c r="Q54" s="1253"/>
      <c r="R54" s="575"/>
    </row>
    <row r="55" spans="1:18" s="303" customFormat="1" ht="13.5" customHeight="1" thickBot="1">
      <c r="A55" s="628">
        <f>+'Appendix A'!A121</f>
        <v>70</v>
      </c>
      <c r="B55" s="629"/>
      <c r="C55" s="630" t="str">
        <f>+'Appendix A'!C121</f>
        <v xml:space="preserve">    Less EPRI Dues</v>
      </c>
      <c r="D55" s="556"/>
      <c r="E55" s="629" t="str">
        <f>+'Appendix A'!E121</f>
        <v>(Note D)</v>
      </c>
      <c r="F55" s="559" t="str">
        <f>+'Appendix A'!F121</f>
        <v>p352 &amp; 353</v>
      </c>
      <c r="G55" s="1169">
        <v>0</v>
      </c>
      <c r="H55" s="627">
        <f>G55</f>
        <v>0</v>
      </c>
      <c r="I55" s="627"/>
      <c r="J55" s="1328" t="s">
        <v>845</v>
      </c>
      <c r="K55" s="1279"/>
      <c r="L55" s="1279"/>
      <c r="M55" s="1279"/>
      <c r="N55" s="1279"/>
      <c r="O55" s="1279"/>
      <c r="P55" s="1279"/>
      <c r="Q55" s="1280"/>
      <c r="R55" s="576"/>
    </row>
    <row r="56" spans="1:18">
      <c r="A56" s="575"/>
      <c r="B56" s="575"/>
      <c r="C56" s="575"/>
      <c r="D56" s="575"/>
      <c r="E56" s="575"/>
      <c r="F56" s="575"/>
      <c r="G56" s="575"/>
      <c r="H56" s="575"/>
      <c r="I56" s="575"/>
      <c r="J56" s="666"/>
      <c r="K56" s="666"/>
      <c r="L56" s="666"/>
      <c r="M56" s="666"/>
      <c r="N56" s="666"/>
      <c r="O56" s="666"/>
      <c r="P56" s="666"/>
      <c r="Q56" s="666"/>
      <c r="R56" s="575"/>
    </row>
    <row r="57" spans="1:18">
      <c r="A57" s="834"/>
      <c r="B57" s="834"/>
      <c r="C57" s="834"/>
      <c r="D57" s="834"/>
      <c r="E57" s="834"/>
      <c r="F57" s="834"/>
      <c r="G57" s="834"/>
      <c r="H57" s="834"/>
      <c r="I57" s="834"/>
      <c r="J57" s="843"/>
      <c r="K57" s="843"/>
      <c r="L57" s="843"/>
      <c r="M57" s="843"/>
      <c r="N57" s="843"/>
      <c r="O57" s="843"/>
      <c r="P57" s="843"/>
      <c r="Q57" s="843"/>
      <c r="R57" s="575"/>
    </row>
    <row r="58" spans="1:18" s="303" customFormat="1" ht="18.75" thickBot="1">
      <c r="A58" s="832" t="s">
        <v>392</v>
      </c>
      <c r="B58" s="834"/>
      <c r="C58" s="834"/>
      <c r="D58" s="834"/>
      <c r="E58" s="834"/>
      <c r="F58" s="834"/>
      <c r="G58" s="834"/>
      <c r="H58" s="834"/>
      <c r="I58" s="834"/>
      <c r="J58" s="843"/>
      <c r="K58" s="843"/>
      <c r="L58" s="843"/>
      <c r="M58" s="843"/>
      <c r="N58" s="843"/>
      <c r="O58" s="843"/>
      <c r="P58" s="843"/>
      <c r="Q58" s="843"/>
      <c r="R58" s="576"/>
    </row>
    <row r="59" spans="1:18" ht="39.75" customHeight="1">
      <c r="A59" s="1259" t="s">
        <v>442</v>
      </c>
      <c r="B59" s="1260"/>
      <c r="C59" s="1260"/>
      <c r="D59" s="1260"/>
      <c r="E59" s="1260"/>
      <c r="F59" s="1260"/>
      <c r="G59" s="840" t="s">
        <v>576</v>
      </c>
      <c r="H59" s="841" t="s">
        <v>389</v>
      </c>
      <c r="I59" s="841" t="s">
        <v>390</v>
      </c>
      <c r="J59" s="1247" t="s">
        <v>77</v>
      </c>
      <c r="K59" s="1248"/>
      <c r="L59" s="1248"/>
      <c r="M59" s="1248"/>
      <c r="N59" s="1248"/>
      <c r="O59" s="1248"/>
      <c r="P59" s="1248"/>
      <c r="Q59" s="1249"/>
      <c r="R59" s="575"/>
    </row>
    <row r="60" spans="1:18">
      <c r="A60" s="587"/>
      <c r="B60" s="586" t="s">
        <v>478</v>
      </c>
      <c r="C60" s="603"/>
      <c r="D60" s="603"/>
      <c r="E60" s="551"/>
      <c r="F60" s="603"/>
      <c r="G60" s="549"/>
      <c r="H60" s="485"/>
      <c r="I60" s="548"/>
      <c r="J60" s="1241"/>
      <c r="K60" s="1242"/>
      <c r="L60" s="1242"/>
      <c r="M60" s="1242"/>
      <c r="N60" s="1242"/>
      <c r="O60" s="1242"/>
      <c r="P60" s="1242"/>
      <c r="Q60" s="1243"/>
      <c r="R60" s="575"/>
    </row>
    <row r="61" spans="1:18">
      <c r="A61" s="587"/>
      <c r="B61" s="586"/>
      <c r="C61" s="603"/>
      <c r="D61" s="603"/>
      <c r="E61" s="551"/>
      <c r="F61" s="603"/>
      <c r="G61" s="549"/>
      <c r="H61" s="485"/>
      <c r="I61" s="548"/>
      <c r="J61" s="1241"/>
      <c r="K61" s="1242"/>
      <c r="L61" s="1242"/>
      <c r="M61" s="1242"/>
      <c r="N61" s="1242"/>
      <c r="O61" s="1242"/>
      <c r="P61" s="1242"/>
      <c r="Q61" s="1243"/>
      <c r="R61" s="575"/>
    </row>
    <row r="62" spans="1:18" ht="12.75" customHeight="1">
      <c r="A62" s="587">
        <f>'Appendix A'!A113</f>
        <v>62</v>
      </c>
      <c r="B62" s="586"/>
      <c r="C62" s="186" t="str">
        <f>'Appendix A'!C113</f>
        <v>Total A&amp;G</v>
      </c>
      <c r="D62" s="603"/>
      <c r="E62" s="551"/>
      <c r="F62" s="1132" t="s">
        <v>70</v>
      </c>
      <c r="G62" s="1170">
        <v>504289906</v>
      </c>
      <c r="H62" s="1171">
        <v>-12893304</v>
      </c>
      <c r="I62" s="550">
        <f>H62+G62</f>
        <v>491396602</v>
      </c>
      <c r="J62" s="1268" t="s">
        <v>815</v>
      </c>
      <c r="K62" s="1268"/>
      <c r="L62" s="1268"/>
      <c r="M62" s="1268"/>
      <c r="N62" s="1268"/>
      <c r="O62" s="1268"/>
      <c r="P62" s="1268"/>
      <c r="Q62" s="1269"/>
      <c r="R62" s="575"/>
    </row>
    <row r="63" spans="1:18">
      <c r="A63" s="587"/>
      <c r="B63" s="586"/>
      <c r="C63" s="186"/>
      <c r="D63" s="603"/>
      <c r="E63" s="551"/>
      <c r="F63" s="1132"/>
      <c r="G63" s="954"/>
      <c r="H63" s="550"/>
      <c r="I63" s="550"/>
      <c r="J63" s="1268"/>
      <c r="K63" s="1268"/>
      <c r="L63" s="1268"/>
      <c r="M63" s="1268"/>
      <c r="N63" s="1268"/>
      <c r="O63" s="1268"/>
      <c r="P63" s="1268"/>
      <c r="Q63" s="1269"/>
      <c r="R63" s="575"/>
    </row>
    <row r="64" spans="1:18">
      <c r="A64" s="631">
        <f>+'Appendix A'!A114</f>
        <v>63</v>
      </c>
      <c r="B64" s="586"/>
      <c r="C64" s="186" t="s">
        <v>671</v>
      </c>
      <c r="D64" s="603"/>
      <c r="E64" s="551"/>
      <c r="F64" s="1131" t="s">
        <v>545</v>
      </c>
      <c r="G64" s="1170">
        <v>62565886</v>
      </c>
      <c r="H64" s="548"/>
      <c r="I64" s="550"/>
      <c r="J64" s="1241"/>
      <c r="K64" s="1242"/>
      <c r="L64" s="1242"/>
      <c r="M64" s="1242"/>
      <c r="N64" s="1242"/>
      <c r="O64" s="1242"/>
      <c r="P64" s="1242"/>
      <c r="Q64" s="1243"/>
      <c r="R64" s="575"/>
    </row>
    <row r="65" spans="1:18" ht="12.75" customHeight="1">
      <c r="A65" s="631">
        <f>+'Appendix A'!A115</f>
        <v>64</v>
      </c>
      <c r="B65" s="548"/>
      <c r="C65" s="632" t="s">
        <v>673</v>
      </c>
      <c r="D65" s="548"/>
      <c r="E65" s="548"/>
      <c r="F65" s="1131" t="s">
        <v>71</v>
      </c>
      <c r="G65" s="1170">
        <v>62862922</v>
      </c>
      <c r="H65" s="548"/>
      <c r="I65" s="548"/>
      <c r="J65" s="1265" t="s">
        <v>304</v>
      </c>
      <c r="K65" s="1266"/>
      <c r="L65" s="1266"/>
      <c r="M65" s="1266"/>
      <c r="N65" s="1266"/>
      <c r="O65" s="1266"/>
      <c r="P65" s="1266"/>
      <c r="Q65" s="1267"/>
      <c r="R65" s="575"/>
    </row>
    <row r="66" spans="1:18" ht="27" customHeight="1">
      <c r="A66" s="631">
        <f>+'Appendix A'!A116</f>
        <v>65</v>
      </c>
      <c r="B66" s="586"/>
      <c r="C66" s="186" t="s">
        <v>672</v>
      </c>
      <c r="D66" s="603"/>
      <c r="E66" s="551"/>
      <c r="F66" s="1131" t="s">
        <v>545</v>
      </c>
      <c r="G66" s="1170">
        <v>12184000</v>
      </c>
      <c r="H66" s="548"/>
      <c r="I66" s="550"/>
      <c r="J66" s="1265" t="s">
        <v>191</v>
      </c>
      <c r="K66" s="1266"/>
      <c r="L66" s="1266"/>
      <c r="M66" s="1266"/>
      <c r="N66" s="1266"/>
      <c r="O66" s="1266"/>
      <c r="P66" s="1266"/>
      <c r="Q66" s="1267"/>
      <c r="R66" s="575"/>
    </row>
    <row r="67" spans="1:18" ht="12.75" customHeight="1">
      <c r="A67" s="631">
        <f>+'Appendix A'!A117</f>
        <v>66</v>
      </c>
      <c r="B67" s="548"/>
      <c r="C67" s="632" t="s">
        <v>651</v>
      </c>
      <c r="D67" s="272"/>
      <c r="E67" s="272"/>
      <c r="F67" s="1131" t="s">
        <v>71</v>
      </c>
      <c r="G67" s="1170">
        <v>976605</v>
      </c>
      <c r="H67" s="548"/>
      <c r="I67" s="272"/>
      <c r="J67" s="1265"/>
      <c r="K67" s="1266"/>
      <c r="L67" s="1266"/>
      <c r="M67" s="1266"/>
      <c r="N67" s="1266"/>
      <c r="O67" s="1266"/>
      <c r="P67" s="1266"/>
      <c r="Q67" s="1267"/>
      <c r="R67" s="575"/>
    </row>
    <row r="68" spans="1:18" ht="13.5" thickBot="1">
      <c r="A68" s="628"/>
      <c r="B68" s="629"/>
      <c r="C68" s="630"/>
      <c r="D68" s="557"/>
      <c r="E68" s="617"/>
      <c r="F68" s="559"/>
      <c r="G68" s="633"/>
      <c r="H68" s="560"/>
      <c r="I68" s="634"/>
      <c r="J68" s="1325"/>
      <c r="K68" s="1326"/>
      <c r="L68" s="1326"/>
      <c r="M68" s="1326"/>
      <c r="N68" s="1326"/>
      <c r="O68" s="1326"/>
      <c r="P68" s="1326"/>
      <c r="Q68" s="1327"/>
      <c r="R68" s="575"/>
    </row>
    <row r="69" spans="1:18">
      <c r="A69" s="575"/>
      <c r="B69" s="575"/>
      <c r="C69" s="575"/>
      <c r="D69" s="575"/>
      <c r="E69" s="575"/>
      <c r="F69" s="575"/>
      <c r="G69" s="575"/>
      <c r="H69" s="575"/>
      <c r="I69" s="575"/>
      <c r="J69" s="666"/>
      <c r="K69" s="666"/>
      <c r="L69" s="666"/>
      <c r="M69" s="666"/>
      <c r="N69" s="666"/>
      <c r="O69" s="666"/>
      <c r="P69" s="666"/>
      <c r="Q69" s="666"/>
      <c r="R69" s="575"/>
    </row>
    <row r="70" spans="1:18">
      <c r="A70" s="575"/>
      <c r="B70" s="575"/>
      <c r="C70" s="575"/>
      <c r="D70" s="575"/>
      <c r="E70" s="575"/>
      <c r="F70" s="575"/>
      <c r="G70" s="575"/>
      <c r="H70" s="575"/>
      <c r="I70" s="575"/>
      <c r="J70" s="666"/>
      <c r="K70" s="666"/>
      <c r="L70" s="666"/>
      <c r="M70" s="666"/>
      <c r="N70" s="666"/>
      <c r="O70" s="666"/>
      <c r="P70" s="666"/>
      <c r="Q70" s="666"/>
      <c r="R70" s="575"/>
    </row>
    <row r="71" spans="1:18" s="303" customFormat="1" ht="18.75" thickBot="1">
      <c r="A71" s="832" t="s">
        <v>332</v>
      </c>
      <c r="B71" s="834"/>
      <c r="C71" s="834"/>
      <c r="D71" s="834"/>
      <c r="E71" s="834"/>
      <c r="F71" s="834"/>
      <c r="G71" s="834"/>
      <c r="H71" s="834"/>
      <c r="I71" s="834"/>
      <c r="J71" s="843"/>
      <c r="K71" s="843"/>
      <c r="L71" s="843"/>
      <c r="M71" s="843"/>
      <c r="N71" s="843"/>
      <c r="O71" s="843"/>
      <c r="P71" s="843"/>
      <c r="Q71" s="843"/>
      <c r="R71" s="576"/>
    </row>
    <row r="72" spans="1:18" ht="48" customHeight="1">
      <c r="A72" s="1259" t="s">
        <v>688</v>
      </c>
      <c r="B72" s="1260"/>
      <c r="C72" s="1260"/>
      <c r="D72" s="1260"/>
      <c r="E72" s="1260"/>
      <c r="F72" s="1260"/>
      <c r="G72" s="840" t="s">
        <v>195</v>
      </c>
      <c r="H72" s="841" t="s">
        <v>196</v>
      </c>
      <c r="I72" s="841" t="s">
        <v>309</v>
      </c>
      <c r="J72" s="1247" t="s">
        <v>77</v>
      </c>
      <c r="K72" s="1248"/>
      <c r="L72" s="1248"/>
      <c r="M72" s="1248"/>
      <c r="N72" s="1248"/>
      <c r="O72" s="1248"/>
      <c r="P72" s="1248"/>
      <c r="Q72" s="1249"/>
      <c r="R72" s="575"/>
    </row>
    <row r="73" spans="1:18">
      <c r="A73" s="587"/>
      <c r="B73" s="586" t="s">
        <v>477</v>
      </c>
      <c r="C73" s="558"/>
      <c r="D73" s="603"/>
      <c r="E73" s="624"/>
      <c r="F73" s="622"/>
      <c r="G73" s="562"/>
      <c r="H73" s="523"/>
      <c r="I73" s="512"/>
      <c r="J73" s="1241"/>
      <c r="K73" s="1242"/>
      <c r="L73" s="1242"/>
      <c r="M73" s="1242"/>
      <c r="N73" s="1242"/>
      <c r="O73" s="1242"/>
      <c r="P73" s="1242"/>
      <c r="Q73" s="1243"/>
      <c r="R73" s="575"/>
    </row>
    <row r="74" spans="1:18" s="303" customFormat="1" ht="29.25" customHeight="1" thickBot="1">
      <c r="A74" s="628">
        <f>+'Appendix A'!A127</f>
        <v>74</v>
      </c>
      <c r="B74" s="635"/>
      <c r="C74" s="630" t="str">
        <f>+'Appendix A'!C127</f>
        <v>Regulatory Commission Exp Account 928</v>
      </c>
      <c r="D74" s="636"/>
      <c r="E74" s="629" t="str">
        <f>+'Appendix A'!E127</f>
        <v>(Note G)</v>
      </c>
      <c r="F74" s="1172" t="s">
        <v>493</v>
      </c>
      <c r="G74" s="1173">
        <v>5461413</v>
      </c>
      <c r="H74" s="1174">
        <v>324130</v>
      </c>
      <c r="I74" s="619">
        <f>G74-H74</f>
        <v>5137283</v>
      </c>
      <c r="J74" s="1325" t="s">
        <v>635</v>
      </c>
      <c r="K74" s="1326"/>
      <c r="L74" s="1326"/>
      <c r="M74" s="1326"/>
      <c r="N74" s="1326"/>
      <c r="O74" s="1326"/>
      <c r="P74" s="1326"/>
      <c r="Q74" s="1327"/>
      <c r="R74" s="576"/>
    </row>
    <row r="75" spans="1:18">
      <c r="A75" s="575"/>
      <c r="B75" s="575"/>
      <c r="C75" s="575"/>
      <c r="D75" s="575"/>
      <c r="E75" s="575"/>
      <c r="F75" s="575"/>
      <c r="G75" s="575"/>
      <c r="H75" s="575"/>
      <c r="I75" s="575"/>
      <c r="J75" s="666"/>
      <c r="K75" s="666"/>
      <c r="L75" s="666"/>
      <c r="M75" s="666"/>
      <c r="N75" s="666"/>
      <c r="O75" s="666"/>
      <c r="P75" s="666"/>
      <c r="Q75" s="666"/>
      <c r="R75" s="575"/>
    </row>
    <row r="76" spans="1:18">
      <c r="A76" s="575"/>
      <c r="B76" s="575"/>
      <c r="C76" s="575"/>
      <c r="D76" s="575"/>
      <c r="E76" s="575"/>
      <c r="F76" s="575"/>
      <c r="G76" s="575"/>
      <c r="H76" s="666"/>
      <c r="I76" s="575"/>
      <c r="J76" s="691"/>
      <c r="K76" s="666"/>
      <c r="L76" s="666"/>
      <c r="M76" s="666"/>
      <c r="N76" s="666"/>
      <c r="O76" s="666"/>
      <c r="P76" s="666"/>
      <c r="Q76" s="666"/>
      <c r="R76" s="575"/>
    </row>
    <row r="77" spans="1:18" s="303" customFormat="1" ht="18.75" thickBot="1">
      <c r="A77" s="832" t="s">
        <v>333</v>
      </c>
      <c r="B77" s="834"/>
      <c r="C77" s="834"/>
      <c r="D77" s="834"/>
      <c r="E77" s="834"/>
      <c r="F77" s="834"/>
      <c r="G77" s="834"/>
      <c r="H77" s="834"/>
      <c r="I77" s="834"/>
      <c r="J77" s="843"/>
      <c r="K77" s="843"/>
      <c r="L77" s="843"/>
      <c r="M77" s="843"/>
      <c r="N77" s="843"/>
      <c r="O77" s="843"/>
      <c r="P77" s="843"/>
      <c r="Q77" s="843"/>
      <c r="R77" s="576"/>
    </row>
    <row r="78" spans="1:18" ht="31.5" customHeight="1">
      <c r="A78" s="1259" t="s">
        <v>688</v>
      </c>
      <c r="B78" s="1260"/>
      <c r="C78" s="1260"/>
      <c r="D78" s="1260"/>
      <c r="E78" s="1260"/>
      <c r="F78" s="1260"/>
      <c r="G78" s="840" t="s">
        <v>195</v>
      </c>
      <c r="H78" s="841" t="s">
        <v>198</v>
      </c>
      <c r="I78" s="841" t="s">
        <v>311</v>
      </c>
      <c r="J78" s="1247" t="s">
        <v>77</v>
      </c>
      <c r="K78" s="1248"/>
      <c r="L78" s="1248"/>
      <c r="M78" s="1248"/>
      <c r="N78" s="1248"/>
      <c r="O78" s="1248"/>
      <c r="P78" s="1248"/>
      <c r="Q78" s="1249"/>
      <c r="R78" s="575"/>
    </row>
    <row r="79" spans="1:18">
      <c r="A79" s="587"/>
      <c r="B79" s="586" t="s">
        <v>477</v>
      </c>
      <c r="C79" s="272"/>
      <c r="D79" s="603"/>
      <c r="E79" s="523"/>
      <c r="F79" s="571"/>
      <c r="G79" s="549"/>
      <c r="H79" s="548"/>
      <c r="I79" s="548"/>
      <c r="J79" s="1241"/>
      <c r="K79" s="1242"/>
      <c r="L79" s="1242"/>
      <c r="M79" s="1242"/>
      <c r="N79" s="1242"/>
      <c r="O79" s="1242"/>
      <c r="P79" s="1242"/>
      <c r="Q79" s="1243"/>
      <c r="R79" s="575"/>
    </row>
    <row r="80" spans="1:18" s="303" customFormat="1" ht="13.5" thickBot="1">
      <c r="A80" s="637">
        <f>+'Appendix A'!A132</f>
        <v>78</v>
      </c>
      <c r="B80" s="635"/>
      <c r="C80" s="638" t="str">
        <f>+'Appendix A'!C132</f>
        <v>General Advertising Exp Account 930.1</v>
      </c>
      <c r="D80" s="639"/>
      <c r="E80" s="629" t="str">
        <f>+'Appendix A'!E132</f>
        <v>(Note F)</v>
      </c>
      <c r="F80" s="630" t="str">
        <f>'Appendix A'!F120</f>
        <v>p323.191.b</v>
      </c>
      <c r="G80" s="674">
        <f>'Appendix A'!H120</f>
        <v>2113178</v>
      </c>
      <c r="H80" s="1174">
        <v>0</v>
      </c>
      <c r="I80" s="640">
        <f>G80</f>
        <v>2113178</v>
      </c>
      <c r="J80" s="1323" t="s">
        <v>661</v>
      </c>
      <c r="K80" s="1323"/>
      <c r="L80" s="1323"/>
      <c r="M80" s="1323"/>
      <c r="N80" s="1323"/>
      <c r="O80" s="1323"/>
      <c r="P80" s="1323"/>
      <c r="Q80" s="1324"/>
      <c r="R80" s="576"/>
    </row>
    <row r="81" spans="1:18">
      <c r="A81" s="575"/>
      <c r="B81" s="575"/>
      <c r="C81" s="575"/>
      <c r="D81" s="575"/>
      <c r="E81" s="575"/>
      <c r="F81" s="575"/>
      <c r="G81" s="575"/>
      <c r="H81" s="575"/>
      <c r="I81" s="575"/>
      <c r="J81" s="666"/>
      <c r="K81" s="666"/>
      <c r="L81" s="666"/>
      <c r="M81" s="666"/>
      <c r="N81" s="666"/>
      <c r="O81" s="666"/>
      <c r="P81" s="666"/>
      <c r="Q81" s="666"/>
      <c r="R81" s="575"/>
    </row>
    <row r="82" spans="1:18">
      <c r="A82" s="575"/>
      <c r="B82" s="575"/>
      <c r="C82" s="575"/>
      <c r="D82" s="575"/>
      <c r="E82" s="575"/>
      <c r="F82" s="575"/>
      <c r="G82" s="575"/>
      <c r="H82" s="575"/>
      <c r="I82" s="575"/>
      <c r="J82" s="666"/>
      <c r="K82" s="666"/>
      <c r="L82" s="666"/>
      <c r="M82" s="666"/>
      <c r="N82" s="666"/>
      <c r="O82" s="666"/>
      <c r="P82" s="666"/>
      <c r="Q82" s="666"/>
      <c r="R82" s="575"/>
    </row>
    <row r="83" spans="1:18" s="303" customFormat="1" ht="18.75" thickBot="1">
      <c r="A83" s="832" t="s">
        <v>194</v>
      </c>
      <c r="B83" s="834"/>
      <c r="C83" s="834"/>
      <c r="D83" s="834"/>
      <c r="E83" s="834"/>
      <c r="F83" s="834"/>
      <c r="G83" s="834"/>
      <c r="H83" s="834"/>
      <c r="I83" s="834"/>
      <c r="J83" s="843"/>
      <c r="K83" s="843"/>
      <c r="L83" s="843"/>
      <c r="M83" s="843"/>
      <c r="N83" s="843"/>
      <c r="O83" s="843"/>
      <c r="P83" s="843"/>
      <c r="Q83" s="843"/>
      <c r="R83" s="576"/>
    </row>
    <row r="84" spans="1:18">
      <c r="A84" s="1259" t="s">
        <v>688</v>
      </c>
      <c r="B84" s="1260"/>
      <c r="C84" s="1260"/>
      <c r="D84" s="1260"/>
      <c r="E84" s="1260"/>
      <c r="F84" s="1260"/>
      <c r="G84" s="840" t="s">
        <v>199</v>
      </c>
      <c r="H84" s="841" t="s">
        <v>200</v>
      </c>
      <c r="I84" s="841" t="s">
        <v>201</v>
      </c>
      <c r="J84" s="844" t="s">
        <v>202</v>
      </c>
      <c r="K84" s="844" t="s">
        <v>203</v>
      </c>
      <c r="L84" s="1247" t="s">
        <v>77</v>
      </c>
      <c r="M84" s="1248"/>
      <c r="N84" s="1248"/>
      <c r="O84" s="1248"/>
      <c r="P84" s="1248"/>
      <c r="Q84" s="1249"/>
      <c r="R84" s="575"/>
    </row>
    <row r="85" spans="1:18">
      <c r="A85" s="642" t="s">
        <v>464</v>
      </c>
      <c r="B85" s="643" t="s">
        <v>553</v>
      </c>
      <c r="C85" s="571"/>
      <c r="D85" s="571"/>
      <c r="E85" s="523"/>
      <c r="F85" s="675"/>
      <c r="G85" s="549"/>
      <c r="H85" s="548"/>
      <c r="I85" s="548"/>
      <c r="J85" s="565"/>
      <c r="K85" s="565"/>
      <c r="L85" s="1331"/>
      <c r="M85" s="1331"/>
      <c r="N85" s="1331"/>
      <c r="O85" s="1331"/>
      <c r="P85" s="1331"/>
      <c r="Q85" s="1332"/>
      <c r="R85" s="575"/>
    </row>
    <row r="86" spans="1:18">
      <c r="A86" s="642"/>
      <c r="B86" s="643"/>
      <c r="C86" s="571"/>
      <c r="D86" s="571"/>
      <c r="E86" s="523"/>
      <c r="F86" s="675"/>
      <c r="G86" s="562" t="s">
        <v>767</v>
      </c>
      <c r="H86" s="512"/>
      <c r="I86" s="512"/>
      <c r="J86" s="653"/>
      <c r="K86" s="653"/>
      <c r="L86" s="1251"/>
      <c r="M86" s="1251"/>
      <c r="N86" s="1251"/>
      <c r="O86" s="1251"/>
      <c r="P86" s="1251"/>
      <c r="Q86" s="1262"/>
      <c r="R86" s="575"/>
    </row>
    <row r="87" spans="1:18" s="303" customFormat="1" ht="13.5" thickBot="1">
      <c r="A87" s="637">
        <f>+'Appendix A'!A214</f>
        <v>129</v>
      </c>
      <c r="B87" s="644"/>
      <c r="C87" s="638" t="str">
        <f>+'Appendix A'!C214</f>
        <v>SIT=State Income Tax Rate or Composite</v>
      </c>
      <c r="D87" s="645"/>
      <c r="E87" s="629" t="str">
        <f>'Appendix A'!E213</f>
        <v>(Note I)</v>
      </c>
      <c r="F87" s="676"/>
      <c r="G87" s="769">
        <f>'Appendix A'!H214</f>
        <v>9.5000000000000001E-2</v>
      </c>
      <c r="H87" s="646"/>
      <c r="I87" s="627"/>
      <c r="J87" s="671"/>
      <c r="K87" s="671"/>
      <c r="L87" s="1278"/>
      <c r="M87" s="1278"/>
      <c r="N87" s="1278"/>
      <c r="O87" s="1278"/>
      <c r="P87" s="1278"/>
      <c r="Q87" s="1322"/>
      <c r="R87" s="576"/>
    </row>
    <row r="88" spans="1:18">
      <c r="A88" s="575"/>
      <c r="B88" s="575"/>
      <c r="C88" s="575"/>
      <c r="D88" s="575"/>
      <c r="E88" s="575"/>
      <c r="F88" s="575"/>
      <c r="G88" s="575"/>
      <c r="H88" s="575"/>
      <c r="I88" s="575"/>
      <c r="J88" s="666"/>
      <c r="K88" s="666"/>
      <c r="L88" s="666"/>
      <c r="M88" s="666"/>
      <c r="N88" s="666"/>
      <c r="O88" s="666"/>
      <c r="P88" s="666"/>
      <c r="Q88" s="666"/>
      <c r="R88" s="575"/>
    </row>
    <row r="89" spans="1:18">
      <c r="A89" s="575"/>
      <c r="B89" s="575"/>
      <c r="C89" s="575"/>
      <c r="D89" s="575"/>
      <c r="E89" s="575"/>
      <c r="F89" s="575"/>
      <c r="G89" s="575"/>
      <c r="H89" s="575"/>
      <c r="I89" s="575"/>
      <c r="J89" s="666"/>
      <c r="K89" s="666"/>
      <c r="L89" s="666"/>
      <c r="M89" s="666"/>
      <c r="N89" s="666"/>
      <c r="O89" s="666"/>
      <c r="P89" s="666"/>
      <c r="Q89" s="666"/>
      <c r="R89" s="575"/>
    </row>
    <row r="90" spans="1:18" s="303" customFormat="1" ht="18.75" thickBot="1">
      <c r="A90" s="832" t="s">
        <v>334</v>
      </c>
      <c r="B90" s="834"/>
      <c r="C90" s="834"/>
      <c r="D90" s="834"/>
      <c r="E90" s="834"/>
      <c r="F90" s="834"/>
      <c r="G90" s="834"/>
      <c r="H90" s="834"/>
      <c r="I90" s="834"/>
      <c r="J90" s="843"/>
      <c r="K90" s="843"/>
      <c r="L90" s="843"/>
      <c r="M90" s="843"/>
      <c r="N90" s="843"/>
      <c r="O90" s="843"/>
      <c r="P90" s="843"/>
      <c r="Q90" s="843"/>
      <c r="R90" s="576"/>
    </row>
    <row r="91" spans="1:18" ht="33.75" customHeight="1">
      <c r="A91" s="1259" t="s">
        <v>688</v>
      </c>
      <c r="B91" s="1260"/>
      <c r="C91" s="1260"/>
      <c r="D91" s="1260"/>
      <c r="E91" s="1260"/>
      <c r="F91" s="1260"/>
      <c r="G91" s="840" t="s">
        <v>195</v>
      </c>
      <c r="H91" s="841" t="s">
        <v>204</v>
      </c>
      <c r="I91" s="841" t="s">
        <v>205</v>
      </c>
      <c r="J91" s="1247" t="s">
        <v>77</v>
      </c>
      <c r="K91" s="1248"/>
      <c r="L91" s="1248"/>
      <c r="M91" s="1248"/>
      <c r="N91" s="1248"/>
      <c r="O91" s="1248"/>
      <c r="P91" s="1248"/>
      <c r="Q91" s="1249"/>
      <c r="R91" s="575"/>
    </row>
    <row r="92" spans="1:18">
      <c r="A92" s="587"/>
      <c r="B92" s="586" t="s">
        <v>477</v>
      </c>
      <c r="C92" s="272"/>
      <c r="D92" s="603"/>
      <c r="E92" s="523"/>
      <c r="F92" s="571"/>
      <c r="G92" s="549"/>
      <c r="H92" s="548"/>
      <c r="I92" s="548"/>
      <c r="J92" s="1329"/>
      <c r="K92" s="1329"/>
      <c r="L92" s="1329"/>
      <c r="M92" s="1329"/>
      <c r="N92" s="1329"/>
      <c r="O92" s="1329"/>
      <c r="P92" s="1329"/>
      <c r="Q92" s="1330"/>
      <c r="R92" s="575"/>
    </row>
    <row r="93" spans="1:18" s="303" customFormat="1" ht="13.5" thickBot="1">
      <c r="A93" s="637">
        <f>+'Appendix A'!A128</f>
        <v>75</v>
      </c>
      <c r="B93" s="635"/>
      <c r="C93" s="638" t="str">
        <f>+'Appendix A'!C128</f>
        <v>General Advertising Exp Account 930.1</v>
      </c>
      <c r="D93" s="647"/>
      <c r="E93" s="629" t="str">
        <f>+'Appendix A'!E128</f>
        <v>(Note K)</v>
      </c>
      <c r="F93" s="559" t="str">
        <f>'Appendix A'!F120</f>
        <v>p323.191.b</v>
      </c>
      <c r="G93" s="688">
        <f>+G80</f>
        <v>2113178</v>
      </c>
      <c r="H93" s="1174">
        <v>0</v>
      </c>
      <c r="I93" s="648">
        <f>G93-H93</f>
        <v>2113178</v>
      </c>
      <c r="J93" s="1323" t="s">
        <v>662</v>
      </c>
      <c r="K93" s="1323"/>
      <c r="L93" s="1323"/>
      <c r="M93" s="1323"/>
      <c r="N93" s="1323"/>
      <c r="O93" s="1323"/>
      <c r="P93" s="1323"/>
      <c r="Q93" s="1324"/>
      <c r="R93" s="576"/>
    </row>
    <row r="94" spans="1:18">
      <c r="A94" s="575"/>
      <c r="B94" s="575"/>
      <c r="C94" s="575"/>
      <c r="D94" s="575"/>
      <c r="E94" s="575"/>
      <c r="F94" s="575"/>
      <c r="G94" s="575"/>
      <c r="H94" s="575"/>
      <c r="I94" s="575"/>
      <c r="J94" s="666"/>
      <c r="K94" s="666"/>
      <c r="L94" s="666"/>
      <c r="M94" s="666"/>
      <c r="N94" s="666"/>
      <c r="O94" s="666"/>
      <c r="P94" s="666"/>
      <c r="Q94" s="666"/>
      <c r="R94" s="575"/>
    </row>
    <row r="95" spans="1:18">
      <c r="A95" s="575"/>
      <c r="B95" s="575"/>
      <c r="C95" s="575"/>
      <c r="D95" s="575"/>
      <c r="E95" s="575"/>
      <c r="F95" s="575"/>
      <c r="G95" s="575"/>
      <c r="H95" s="575"/>
      <c r="I95" s="575"/>
      <c r="J95" s="666"/>
      <c r="K95" s="666"/>
      <c r="L95" s="666"/>
      <c r="M95" s="666"/>
      <c r="N95" s="666"/>
      <c r="O95" s="666"/>
      <c r="P95" s="666"/>
      <c r="Q95" s="666"/>
      <c r="R95" s="575"/>
    </row>
    <row r="96" spans="1:18" s="303" customFormat="1" ht="18.75" thickBot="1">
      <c r="A96" s="832" t="s">
        <v>336</v>
      </c>
      <c r="B96" s="834"/>
      <c r="C96" s="834"/>
      <c r="D96" s="834"/>
      <c r="E96" s="834"/>
      <c r="F96" s="834"/>
      <c r="G96" s="834"/>
      <c r="H96" s="834"/>
      <c r="I96" s="834"/>
      <c r="J96" s="843"/>
      <c r="K96" s="843"/>
      <c r="L96" s="843"/>
      <c r="M96" s="843"/>
      <c r="N96" s="843"/>
      <c r="O96" s="843"/>
      <c r="P96" s="843"/>
      <c r="Q96" s="843"/>
      <c r="R96" s="576"/>
    </row>
    <row r="97" spans="1:18" ht="43.5" customHeight="1">
      <c r="A97" s="1259" t="s">
        <v>688</v>
      </c>
      <c r="B97" s="1260"/>
      <c r="C97" s="1260"/>
      <c r="D97" s="1260"/>
      <c r="E97" s="1260"/>
      <c r="F97" s="1260"/>
      <c r="G97" s="840" t="str">
        <f>+C99</f>
        <v>Excluded Transmission Facilities</v>
      </c>
      <c r="H97" s="1281" t="s">
        <v>207</v>
      </c>
      <c r="I97" s="1282"/>
      <c r="J97" s="1282"/>
      <c r="K97" s="1282"/>
      <c r="L97" s="1282"/>
      <c r="M97" s="1282"/>
      <c r="N97" s="1282"/>
      <c r="O97" s="1282"/>
      <c r="P97" s="1282"/>
      <c r="Q97" s="1283"/>
      <c r="R97" s="575"/>
    </row>
    <row r="98" spans="1:18" ht="25.5" customHeight="1">
      <c r="A98" s="649"/>
      <c r="B98" s="586" t="s">
        <v>489</v>
      </c>
      <c r="C98" s="586"/>
      <c r="D98" s="650"/>
      <c r="E98" s="533"/>
      <c r="F98" s="651"/>
      <c r="G98" s="549"/>
      <c r="H98" s="548"/>
      <c r="I98" s="548"/>
      <c r="J98" s="565"/>
      <c r="K98" s="565"/>
      <c r="L98" s="565"/>
      <c r="M98" s="565"/>
      <c r="N98" s="565"/>
      <c r="O98" s="565"/>
      <c r="P98" s="565"/>
      <c r="Q98" s="566"/>
      <c r="R98" s="575"/>
    </row>
    <row r="99" spans="1:18">
      <c r="A99" s="587">
        <f>+'Appendix A'!A247</f>
        <v>149</v>
      </c>
      <c r="B99" s="595"/>
      <c r="C99" s="186" t="str">
        <f>+'Appendix A'!C247</f>
        <v>Excluded Transmission Facilities</v>
      </c>
      <c r="D99" s="650"/>
      <c r="E99" s="595" t="str">
        <f>+'Appendix A'!E247</f>
        <v>(Note M)</v>
      </c>
      <c r="F99" s="573"/>
      <c r="G99" s="561"/>
      <c r="H99" s="1290" t="s">
        <v>219</v>
      </c>
      <c r="I99" s="1295"/>
      <c r="J99" s="1295"/>
      <c r="K99" s="1295"/>
      <c r="L99" s="1295"/>
      <c r="M99" s="1295"/>
      <c r="N99" s="1295"/>
      <c r="O99" s="1295"/>
      <c r="P99" s="1295"/>
      <c r="Q99" s="1296"/>
      <c r="R99" s="575"/>
    </row>
    <row r="100" spans="1:18">
      <c r="A100" s="587"/>
      <c r="B100" s="595"/>
      <c r="C100" s="632"/>
      <c r="D100" s="650"/>
      <c r="E100" s="604"/>
      <c r="F100" s="652"/>
      <c r="G100" s="608"/>
      <c r="H100" s="600"/>
      <c r="I100" s="600"/>
      <c r="J100" s="622"/>
      <c r="K100" s="622"/>
      <c r="L100" s="622"/>
      <c r="M100" s="622"/>
      <c r="N100" s="622"/>
      <c r="O100" s="653"/>
      <c r="P100" s="565"/>
      <c r="Q100" s="566"/>
      <c r="R100" s="575"/>
    </row>
    <row r="101" spans="1:18">
      <c r="A101" s="587"/>
      <c r="B101" s="595"/>
      <c r="C101" s="632" t="s">
        <v>431</v>
      </c>
      <c r="D101" s="650"/>
      <c r="E101" s="604"/>
      <c r="F101" s="652"/>
      <c r="G101" s="562" t="s">
        <v>206</v>
      </c>
      <c r="H101" s="1290"/>
      <c r="I101" s="1295"/>
      <c r="J101" s="1295"/>
      <c r="K101" s="1295"/>
      <c r="L101" s="1295"/>
      <c r="M101" s="1295"/>
      <c r="N101" s="1295"/>
      <c r="O101" s="1295"/>
      <c r="P101" s="1295"/>
      <c r="Q101" s="1296"/>
      <c r="R101" s="575"/>
    </row>
    <row r="102" spans="1:18">
      <c r="A102" s="587"/>
      <c r="B102" s="595">
        <v>1</v>
      </c>
      <c r="C102" s="632" t="s">
        <v>630</v>
      </c>
      <c r="D102" s="650"/>
      <c r="E102" s="604"/>
      <c r="F102" s="652"/>
      <c r="G102" s="1175">
        <v>0</v>
      </c>
      <c r="H102" s="1290" t="s">
        <v>755</v>
      </c>
      <c r="I102" s="1295"/>
      <c r="J102" s="1295"/>
      <c r="K102" s="1295"/>
      <c r="L102" s="1295"/>
      <c r="M102" s="1295"/>
      <c r="N102" s="1295"/>
      <c r="O102" s="1295"/>
      <c r="P102" s="1295"/>
      <c r="Q102" s="1296"/>
      <c r="R102" s="575"/>
    </row>
    <row r="103" spans="1:18">
      <c r="A103" s="587"/>
      <c r="B103" s="595"/>
      <c r="C103" s="632" t="s">
        <v>631</v>
      </c>
      <c r="D103" s="650"/>
      <c r="E103" s="604"/>
      <c r="F103" s="652"/>
      <c r="G103" s="770"/>
      <c r="H103" s="382"/>
      <c r="I103" s="383"/>
      <c r="J103" s="553"/>
      <c r="K103" s="553"/>
      <c r="L103" s="553"/>
      <c r="M103" s="553"/>
      <c r="N103" s="553"/>
      <c r="O103" s="553"/>
      <c r="P103" s="553"/>
      <c r="Q103" s="554"/>
      <c r="R103" s="575"/>
    </row>
    <row r="104" spans="1:18">
      <c r="A104" s="587"/>
      <c r="B104" s="595">
        <v>2</v>
      </c>
      <c r="C104" s="632" t="s">
        <v>432</v>
      </c>
      <c r="D104" s="650"/>
      <c r="E104" s="604"/>
      <c r="F104" s="652"/>
      <c r="G104" s="562" t="s">
        <v>433</v>
      </c>
      <c r="H104" s="1290"/>
      <c r="I104" s="1295"/>
      <c r="J104" s="1295"/>
      <c r="K104" s="1295"/>
      <c r="L104" s="1295"/>
      <c r="M104" s="1295"/>
      <c r="N104" s="1295"/>
      <c r="O104" s="1295"/>
      <c r="P104" s="1295"/>
      <c r="Q104" s="1296"/>
      <c r="R104" s="575"/>
    </row>
    <row r="105" spans="1:18">
      <c r="A105" s="587"/>
      <c r="B105" s="595"/>
      <c r="C105" s="632" t="s">
        <v>434</v>
      </c>
      <c r="D105" s="384" t="s">
        <v>435</v>
      </c>
      <c r="E105" s="604"/>
      <c r="F105" s="652"/>
      <c r="G105" s="562" t="str">
        <f>+G101</f>
        <v>Enter $</v>
      </c>
      <c r="H105" s="1290"/>
      <c r="I105" s="1295"/>
      <c r="J105" s="1295"/>
      <c r="K105" s="1295"/>
      <c r="L105" s="1295"/>
      <c r="M105" s="1295"/>
      <c r="N105" s="1295"/>
      <c r="O105" s="1295"/>
      <c r="P105" s="1295"/>
      <c r="Q105" s="1296"/>
      <c r="R105" s="575"/>
    </row>
    <row r="106" spans="1:18">
      <c r="A106" s="552"/>
      <c r="B106" s="563" t="s">
        <v>466</v>
      </c>
      <c r="C106" s="632" t="s">
        <v>436</v>
      </c>
      <c r="D106" s="564">
        <v>1000000</v>
      </c>
      <c r="E106" s="272"/>
      <c r="F106" s="272"/>
      <c r="G106" s="1176"/>
      <c r="H106" s="1290"/>
      <c r="I106" s="1295"/>
      <c r="J106" s="1295"/>
      <c r="K106" s="1295"/>
      <c r="L106" s="1295"/>
      <c r="M106" s="1295"/>
      <c r="N106" s="1295"/>
      <c r="O106" s="1295"/>
      <c r="P106" s="1295"/>
      <c r="Q106" s="1296"/>
      <c r="R106" s="575"/>
    </row>
    <row r="107" spans="1:18">
      <c r="A107" s="552"/>
      <c r="B107" s="563" t="s">
        <v>577</v>
      </c>
      <c r="C107" s="632" t="s">
        <v>437</v>
      </c>
      <c r="D107" s="564">
        <v>500000</v>
      </c>
      <c r="E107" s="272"/>
      <c r="F107" s="272"/>
      <c r="G107" s="1176"/>
      <c r="H107" s="1290"/>
      <c r="I107" s="1295"/>
      <c r="J107" s="1295"/>
      <c r="K107" s="1295"/>
      <c r="L107" s="1295"/>
      <c r="M107" s="1295"/>
      <c r="N107" s="1295"/>
      <c r="O107" s="1295"/>
      <c r="P107" s="1295"/>
      <c r="Q107" s="1296"/>
      <c r="R107" s="575"/>
    </row>
    <row r="108" spans="1:18">
      <c r="A108" s="552"/>
      <c r="B108" s="563" t="s">
        <v>450</v>
      </c>
      <c r="C108" s="632" t="s">
        <v>438</v>
      </c>
      <c r="D108" s="564">
        <v>400000</v>
      </c>
      <c r="E108" s="272"/>
      <c r="F108" s="272"/>
      <c r="G108" s="1176"/>
      <c r="H108" s="1290"/>
      <c r="I108" s="1295"/>
      <c r="J108" s="1295"/>
      <c r="K108" s="1295"/>
      <c r="L108" s="1295"/>
      <c r="M108" s="1295"/>
      <c r="N108" s="1295"/>
      <c r="O108" s="1295"/>
      <c r="P108" s="1295"/>
      <c r="Q108" s="1296"/>
      <c r="R108" s="575"/>
    </row>
    <row r="109" spans="1:18">
      <c r="A109" s="552"/>
      <c r="B109" s="563" t="s">
        <v>467</v>
      </c>
      <c r="C109" s="632" t="s">
        <v>439</v>
      </c>
      <c r="D109" s="564">
        <f>+D106*(D108/(D107+D108))</f>
        <v>444444.44444444444</v>
      </c>
      <c r="E109" s="272"/>
      <c r="F109" s="272"/>
      <c r="G109" s="1176"/>
      <c r="H109" s="1290"/>
      <c r="I109" s="1295"/>
      <c r="J109" s="1295"/>
      <c r="K109" s="1295"/>
      <c r="L109" s="1295"/>
      <c r="M109" s="1295"/>
      <c r="N109" s="1295"/>
      <c r="O109" s="1295"/>
      <c r="P109" s="1295"/>
      <c r="Q109" s="1296"/>
      <c r="R109" s="575"/>
    </row>
    <row r="110" spans="1:18" ht="13.5" thickBot="1">
      <c r="A110" s="555"/>
      <c r="B110" s="556"/>
      <c r="C110" s="556"/>
      <c r="D110" s="556"/>
      <c r="E110" s="556"/>
      <c r="F110" s="556"/>
      <c r="G110" s="904"/>
      <c r="H110" s="556"/>
      <c r="I110" s="556"/>
      <c r="J110" s="668"/>
      <c r="K110" s="672" t="s">
        <v>218</v>
      </c>
      <c r="L110" s="668"/>
      <c r="M110" s="668"/>
      <c r="N110" s="668"/>
      <c r="O110" s="668"/>
      <c r="P110" s="668"/>
      <c r="Q110" s="669"/>
      <c r="R110" s="575"/>
    </row>
    <row r="111" spans="1:18">
      <c r="A111" s="575"/>
      <c r="B111" s="575"/>
      <c r="C111" s="575"/>
      <c r="D111" s="575"/>
      <c r="E111" s="575"/>
      <c r="F111" s="575"/>
      <c r="G111" s="575"/>
      <c r="H111" s="575"/>
      <c r="I111" s="575"/>
      <c r="J111" s="666"/>
      <c r="K111" s="666"/>
      <c r="L111" s="666"/>
      <c r="M111" s="666"/>
      <c r="N111" s="666"/>
      <c r="O111" s="666"/>
      <c r="P111" s="666"/>
      <c r="Q111" s="666"/>
      <c r="R111" s="575"/>
    </row>
    <row r="112" spans="1:18">
      <c r="A112" s="575"/>
      <c r="B112" s="575"/>
      <c r="C112" s="575"/>
      <c r="D112" s="575"/>
      <c r="E112" s="575"/>
      <c r="F112" s="575"/>
      <c r="G112" s="575"/>
      <c r="H112" s="575"/>
      <c r="I112" s="575"/>
      <c r="J112" s="666"/>
      <c r="K112" s="666"/>
      <c r="L112" s="666"/>
      <c r="M112" s="666"/>
      <c r="N112" s="666"/>
      <c r="O112" s="666"/>
      <c r="P112" s="666"/>
      <c r="Q112" s="666"/>
      <c r="R112" s="575"/>
    </row>
    <row r="113" spans="1:18" s="303" customFormat="1" ht="18.75" thickBot="1">
      <c r="A113" s="832" t="s">
        <v>383</v>
      </c>
      <c r="B113" s="834"/>
      <c r="C113" s="834"/>
      <c r="D113" s="834"/>
      <c r="E113" s="834"/>
      <c r="F113" s="834"/>
      <c r="G113" s="834"/>
      <c r="H113" s="834"/>
      <c r="I113" s="834"/>
      <c r="J113" s="843"/>
      <c r="K113" s="843"/>
      <c r="L113" s="843"/>
      <c r="M113" s="843"/>
      <c r="N113" s="843"/>
      <c r="O113" s="843"/>
      <c r="P113" s="843"/>
      <c r="Q113" s="843"/>
      <c r="R113" s="576"/>
    </row>
    <row r="114" spans="1:18" ht="12.75" customHeight="1">
      <c r="A114" s="1259" t="s">
        <v>688</v>
      </c>
      <c r="B114" s="1260"/>
      <c r="C114" s="1260"/>
      <c r="D114" s="1260"/>
      <c r="E114" s="1260"/>
      <c r="F114" s="1306"/>
      <c r="G114" s="1304" t="s">
        <v>440</v>
      </c>
      <c r="H114" s="1293"/>
      <c r="I114" s="1293"/>
      <c r="J114" s="1293"/>
      <c r="K114" s="1293"/>
      <c r="L114" s="1293"/>
      <c r="M114" s="1293"/>
      <c r="N114" s="1293"/>
      <c r="O114" s="1293"/>
      <c r="P114" s="1293"/>
      <c r="Q114" s="1294"/>
      <c r="R114" s="575"/>
    </row>
    <row r="115" spans="1:18">
      <c r="A115" s="552">
        <f>+'Appendix A'!A81</f>
        <v>44</v>
      </c>
      <c r="B115" s="594" t="s">
        <v>510</v>
      </c>
      <c r="C115" s="568"/>
      <c r="D115" s="653"/>
      <c r="E115" s="523" t="s">
        <v>385</v>
      </c>
      <c r="F115" s="654"/>
      <c r="G115" s="1305"/>
      <c r="H115" s="1298"/>
      <c r="I115" s="1298"/>
      <c r="J115" s="1298"/>
      <c r="K115" s="1298"/>
      <c r="L115" s="1298"/>
      <c r="M115" s="1298"/>
      <c r="N115" s="1298"/>
      <c r="O115" s="1298"/>
      <c r="P115" s="1298"/>
      <c r="Q115" s="1299"/>
      <c r="R115" s="575"/>
    </row>
    <row r="116" spans="1:18">
      <c r="A116" s="587"/>
      <c r="B116" s="595"/>
      <c r="C116" s="272" t="s">
        <v>424</v>
      </c>
      <c r="D116" s="1177">
        <v>18958465</v>
      </c>
      <c r="E116" s="1049">
        <f>+'Appendix A'!H15</f>
        <v>0.11348808706465031</v>
      </c>
      <c r="F116" s="655">
        <f>+D116*E116</f>
        <v>2151559.9265321256</v>
      </c>
      <c r="G116" s="1297" t="s">
        <v>834</v>
      </c>
      <c r="H116" s="1298"/>
      <c r="I116" s="1298"/>
      <c r="J116" s="1298"/>
      <c r="K116" s="1298"/>
      <c r="L116" s="1298"/>
      <c r="M116" s="1298"/>
      <c r="N116" s="1298"/>
      <c r="O116" s="1298"/>
      <c r="P116" s="1298"/>
      <c r="Q116" s="1299"/>
      <c r="R116" s="575"/>
    </row>
    <row r="117" spans="1:18">
      <c r="A117" s="587"/>
      <c r="B117" s="595"/>
      <c r="C117" s="272"/>
      <c r="D117" s="564"/>
      <c r="E117" s="656"/>
      <c r="F117" s="655"/>
      <c r="G117" s="1305"/>
      <c r="H117" s="1298"/>
      <c r="I117" s="1298"/>
      <c r="J117" s="1298"/>
      <c r="K117" s="1298"/>
      <c r="L117" s="1298"/>
      <c r="M117" s="1298"/>
      <c r="N117" s="1298"/>
      <c r="O117" s="1298"/>
      <c r="P117" s="1298"/>
      <c r="Q117" s="1299"/>
      <c r="R117" s="575"/>
    </row>
    <row r="118" spans="1:18">
      <c r="A118" s="552">
        <f>+'Appendix A'!A138</f>
        <v>82</v>
      </c>
      <c r="B118" s="594" t="s">
        <v>384</v>
      </c>
      <c r="C118" s="272"/>
      <c r="D118" s="564"/>
      <c r="E118" s="656"/>
      <c r="F118" s="655"/>
      <c r="G118" s="1305"/>
      <c r="H118" s="1298"/>
      <c r="I118" s="1298"/>
      <c r="J118" s="1298"/>
      <c r="K118" s="1298"/>
      <c r="L118" s="1298"/>
      <c r="M118" s="1298"/>
      <c r="N118" s="1298"/>
      <c r="O118" s="1298"/>
      <c r="P118" s="1298"/>
      <c r="Q118" s="1299"/>
      <c r="R118" s="575"/>
    </row>
    <row r="119" spans="1:18" ht="27" customHeight="1">
      <c r="A119" s="587"/>
      <c r="B119" s="595"/>
      <c r="C119" s="657" t="s">
        <v>258</v>
      </c>
      <c r="D119" s="1177">
        <v>1583221096</v>
      </c>
      <c r="E119" s="656"/>
      <c r="F119" s="655"/>
      <c r="G119" s="1305" t="s">
        <v>675</v>
      </c>
      <c r="H119" s="1298"/>
      <c r="I119" s="1298"/>
      <c r="J119" s="1298"/>
      <c r="K119" s="1298"/>
      <c r="L119" s="1298"/>
      <c r="M119" s="1298"/>
      <c r="N119" s="1298"/>
      <c r="O119" s="1298"/>
      <c r="P119" s="1298"/>
      <c r="Q119" s="1299"/>
      <c r="R119" s="575"/>
    </row>
    <row r="120" spans="1:18" ht="13.5" thickBot="1">
      <c r="A120" s="587"/>
      <c r="B120" s="595"/>
      <c r="C120" s="272" t="s">
        <v>259</v>
      </c>
      <c r="D120" s="964">
        <f>'1 - ADIT'!D161</f>
        <v>-411646732</v>
      </c>
      <c r="E120" s="658"/>
      <c r="F120" s="659"/>
      <c r="G120" s="1305"/>
      <c r="H120" s="1298"/>
      <c r="I120" s="1298"/>
      <c r="J120" s="1298"/>
      <c r="K120" s="1298"/>
      <c r="L120" s="1298"/>
      <c r="M120" s="1298"/>
      <c r="N120" s="1298"/>
      <c r="O120" s="1298"/>
      <c r="P120" s="1298"/>
      <c r="Q120" s="1299"/>
      <c r="R120" s="575"/>
    </row>
    <row r="121" spans="1:18" ht="14.25" thickTop="1" thickBot="1">
      <c r="A121" s="628"/>
      <c r="B121" s="629"/>
      <c r="C121" s="630" t="s">
        <v>260</v>
      </c>
      <c r="D121" s="965">
        <f>D119+D120</f>
        <v>1171574364</v>
      </c>
      <c r="E121" s="1050">
        <f>E116</f>
        <v>0.11348808706465031</v>
      </c>
      <c r="F121" s="660">
        <f>D121*E121</f>
        <v>132959733.42434432</v>
      </c>
      <c r="G121" s="1300"/>
      <c r="H121" s="1301"/>
      <c r="I121" s="1301"/>
      <c r="J121" s="1301"/>
      <c r="K121" s="1301"/>
      <c r="L121" s="1301"/>
      <c r="M121" s="1301"/>
      <c r="N121" s="1301"/>
      <c r="O121" s="1301"/>
      <c r="P121" s="1301"/>
      <c r="Q121" s="1302"/>
      <c r="R121" s="575"/>
    </row>
    <row r="122" spans="1:18">
      <c r="A122" s="575"/>
      <c r="B122" s="575"/>
      <c r="C122" s="575"/>
      <c r="D122" s="575"/>
      <c r="E122" s="575"/>
      <c r="F122" s="575"/>
      <c r="G122" s="575"/>
      <c r="H122" s="575"/>
      <c r="I122" s="575"/>
      <c r="J122" s="666"/>
      <c r="K122" s="666"/>
      <c r="L122" s="666"/>
      <c r="M122" s="666"/>
      <c r="N122" s="666"/>
      <c r="O122" s="666"/>
      <c r="P122" s="666"/>
      <c r="Q122" s="666"/>
      <c r="R122" s="575"/>
    </row>
    <row r="123" spans="1:18">
      <c r="A123" s="575"/>
      <c r="B123" s="575"/>
      <c r="C123" s="575"/>
      <c r="D123" s="575"/>
      <c r="E123" s="575"/>
      <c r="F123" s="575"/>
      <c r="G123" s="575"/>
      <c r="H123" s="575"/>
      <c r="I123" s="575"/>
      <c r="J123" s="666"/>
      <c r="K123" s="666"/>
      <c r="L123" s="666"/>
      <c r="M123" s="666"/>
      <c r="N123" s="666"/>
      <c r="O123" s="666"/>
      <c r="P123" s="666"/>
      <c r="Q123" s="666"/>
      <c r="R123" s="575"/>
    </row>
    <row r="124" spans="1:18" s="303" customFormat="1" ht="18.75" thickBot="1">
      <c r="A124" s="832" t="s">
        <v>337</v>
      </c>
      <c r="B124" s="834"/>
      <c r="C124" s="834"/>
      <c r="D124" s="834"/>
      <c r="E124" s="834"/>
      <c r="F124" s="834"/>
      <c r="G124" s="834"/>
      <c r="H124" s="834"/>
      <c r="I124" s="834"/>
      <c r="J124" s="843"/>
      <c r="K124" s="843"/>
      <c r="L124" s="843"/>
      <c r="M124" s="843"/>
      <c r="N124" s="843"/>
      <c r="O124" s="843"/>
      <c r="P124" s="843"/>
      <c r="Q124" s="843"/>
      <c r="R124" s="576"/>
    </row>
    <row r="125" spans="1:18" ht="38.25">
      <c r="A125" s="1259" t="s">
        <v>688</v>
      </c>
      <c r="B125" s="1260"/>
      <c r="C125" s="1260"/>
      <c r="D125" s="1260"/>
      <c r="E125" s="1260"/>
      <c r="F125" s="1260"/>
      <c r="G125" s="840" t="str">
        <f>+C127</f>
        <v>Outstanding Network Credits</v>
      </c>
      <c r="H125" s="1281" t="s">
        <v>220</v>
      </c>
      <c r="I125" s="1282"/>
      <c r="J125" s="1282"/>
      <c r="K125" s="1282"/>
      <c r="L125" s="1282"/>
      <c r="M125" s="1282"/>
      <c r="N125" s="1282"/>
      <c r="O125" s="1282"/>
      <c r="P125" s="1282"/>
      <c r="Q125" s="1283"/>
      <c r="R125" s="575"/>
    </row>
    <row r="126" spans="1:18">
      <c r="A126" s="561"/>
      <c r="B126" s="594" t="s">
        <v>140</v>
      </c>
      <c r="C126" s="568"/>
      <c r="D126" s="653"/>
      <c r="E126" s="624"/>
      <c r="F126" s="677"/>
      <c r="G126" s="562" t="s">
        <v>206</v>
      </c>
      <c r="H126" s="548"/>
      <c r="I126" s="548"/>
      <c r="J126" s="565"/>
      <c r="K126" s="565"/>
      <c r="L126" s="565"/>
      <c r="M126" s="565"/>
      <c r="N126" s="565"/>
      <c r="O126" s="565"/>
      <c r="P126" s="565"/>
      <c r="Q126" s="566"/>
      <c r="R126" s="575"/>
    </row>
    <row r="127" spans="1:18" ht="12.75" customHeight="1">
      <c r="A127" s="587">
        <f>+'Appendix A'!A96</f>
        <v>53</v>
      </c>
      <c r="B127" s="595"/>
      <c r="C127" s="186" t="str">
        <f>+'Appendix A'!C96</f>
        <v>Outstanding Network Credits</v>
      </c>
      <c r="D127" s="595"/>
      <c r="E127" s="548"/>
      <c r="F127" s="595" t="str">
        <f>+'Appendix A'!E96</f>
        <v>(Note N)</v>
      </c>
      <c r="G127" s="1178">
        <v>0</v>
      </c>
      <c r="H127" s="1303" t="s">
        <v>836</v>
      </c>
      <c r="I127" s="1252"/>
      <c r="J127" s="1252"/>
      <c r="K127" s="1252"/>
      <c r="L127" s="1252"/>
      <c r="M127" s="1252"/>
      <c r="N127" s="1252"/>
      <c r="O127" s="1252"/>
      <c r="P127" s="1252"/>
      <c r="Q127" s="1253"/>
      <c r="R127" s="575"/>
    </row>
    <row r="128" spans="1:18">
      <c r="A128" s="587"/>
      <c r="B128" s="595"/>
      <c r="C128" s="186"/>
      <c r="D128" s="595"/>
      <c r="E128" s="548"/>
      <c r="F128" s="588"/>
      <c r="G128" s="1119"/>
      <c r="H128" s="272"/>
      <c r="I128" s="272"/>
      <c r="J128" s="558"/>
      <c r="K128" s="558"/>
      <c r="L128" s="558"/>
      <c r="M128" s="558"/>
      <c r="N128" s="558"/>
      <c r="O128" s="558"/>
      <c r="P128" s="558"/>
      <c r="Q128" s="567"/>
      <c r="R128" s="575"/>
    </row>
    <row r="129" spans="1:246">
      <c r="A129" s="587"/>
      <c r="B129" s="595"/>
      <c r="C129" s="186"/>
      <c r="D129" s="595"/>
      <c r="E129" s="548"/>
      <c r="F129" s="588"/>
      <c r="G129" s="1120">
        <f>SUM(G127:G128)</f>
        <v>0</v>
      </c>
      <c r="H129" s="1252" t="s">
        <v>576</v>
      </c>
      <c r="I129" s="1252"/>
      <c r="J129" s="1252"/>
      <c r="K129" s="1252"/>
      <c r="L129" s="1252"/>
      <c r="M129" s="1252"/>
      <c r="N129" s="1252"/>
      <c r="O129" s="1252"/>
      <c r="P129" s="1252"/>
      <c r="Q129" s="1253"/>
      <c r="R129" s="575"/>
    </row>
    <row r="130" spans="1:246" ht="13.5" thickBot="1">
      <c r="A130" s="628"/>
      <c r="B130" s="629"/>
      <c r="C130" s="629"/>
      <c r="D130" s="629"/>
      <c r="E130" s="617"/>
      <c r="F130" s="663"/>
      <c r="G130" s="661"/>
      <c r="H130" s="569"/>
      <c r="I130" s="569"/>
      <c r="J130" s="671"/>
      <c r="K130" s="672" t="s">
        <v>218</v>
      </c>
      <c r="L130" s="668"/>
      <c r="M130" s="668"/>
      <c r="N130" s="668"/>
      <c r="O130" s="668"/>
      <c r="P130" s="668"/>
      <c r="Q130" s="669"/>
      <c r="R130" s="575"/>
    </row>
    <row r="131" spans="1:246">
      <c r="A131" s="575"/>
      <c r="B131" s="575"/>
      <c r="C131" s="575"/>
      <c r="D131" s="575"/>
      <c r="E131" s="575"/>
      <c r="F131" s="575"/>
      <c r="G131" s="575"/>
      <c r="H131" s="575"/>
      <c r="I131" s="575"/>
      <c r="J131" s="666"/>
      <c r="K131" s="666"/>
      <c r="L131" s="666"/>
      <c r="M131" s="666"/>
      <c r="N131" s="666"/>
      <c r="O131" s="666"/>
      <c r="P131" s="666"/>
      <c r="Q131" s="666"/>
      <c r="R131" s="575"/>
    </row>
    <row r="132" spans="1:246">
      <c r="A132" s="575"/>
      <c r="B132" s="575"/>
      <c r="C132" s="575"/>
      <c r="D132" s="575"/>
      <c r="E132" s="575"/>
      <c r="F132" s="575"/>
      <c r="G132" s="575"/>
      <c r="H132" s="575"/>
      <c r="I132" s="575"/>
      <c r="J132" s="666"/>
      <c r="K132" s="666"/>
      <c r="L132" s="666"/>
      <c r="M132" s="666"/>
      <c r="N132" s="666"/>
      <c r="O132" s="666"/>
      <c r="P132" s="666"/>
      <c r="Q132" s="666"/>
      <c r="R132" s="575"/>
    </row>
    <row r="133" spans="1:246" s="303" customFormat="1" ht="18.75" thickBot="1">
      <c r="A133" s="832" t="s">
        <v>683</v>
      </c>
      <c r="B133" s="834"/>
      <c r="C133" s="834"/>
      <c r="D133" s="834"/>
      <c r="E133" s="834"/>
      <c r="F133" s="834"/>
      <c r="G133" s="834"/>
      <c r="H133" s="834"/>
      <c r="I133" s="834"/>
      <c r="J133" s="843"/>
      <c r="K133" s="843"/>
      <c r="L133" s="843"/>
      <c r="M133" s="843"/>
      <c r="N133" s="843"/>
      <c r="O133" s="843"/>
      <c r="P133" s="843"/>
      <c r="Q133" s="843"/>
      <c r="R133" s="576"/>
    </row>
    <row r="134" spans="1:246" ht="27" customHeight="1">
      <c r="A134" s="1259" t="s">
        <v>688</v>
      </c>
      <c r="B134" s="1260"/>
      <c r="C134" s="1260"/>
      <c r="D134" s="1260"/>
      <c r="E134" s="1260"/>
      <c r="F134" s="1260"/>
      <c r="G134" s="840" t="s">
        <v>576</v>
      </c>
      <c r="H134" s="841" t="s">
        <v>398</v>
      </c>
      <c r="I134" s="841" t="s">
        <v>196</v>
      </c>
      <c r="J134" s="1247" t="s">
        <v>77</v>
      </c>
      <c r="K134" s="1248"/>
      <c r="L134" s="1248"/>
      <c r="M134" s="1248"/>
      <c r="N134" s="1248"/>
      <c r="O134" s="1248"/>
      <c r="P134" s="1248"/>
      <c r="Q134" s="1249"/>
      <c r="R134" s="575"/>
      <c r="S134" s="186"/>
      <c r="T134" s="595"/>
      <c r="U134" s="595"/>
      <c r="V134" s="595"/>
      <c r="W134" s="186"/>
      <c r="X134" s="595"/>
      <c r="Y134" s="595"/>
      <c r="Z134" s="595"/>
      <c r="AA134" s="595"/>
      <c r="AB134" s="595"/>
      <c r="AC134" s="186"/>
      <c r="AD134" s="595"/>
      <c r="AE134" s="595"/>
      <c r="AF134" s="595"/>
      <c r="AG134" s="595"/>
      <c r="AH134" s="595"/>
      <c r="AI134" s="186"/>
      <c r="AJ134" s="595"/>
      <c r="AK134" s="595"/>
      <c r="AL134" s="595"/>
      <c r="AM134" s="595"/>
      <c r="AN134" s="595"/>
      <c r="AO134" s="186"/>
      <c r="AP134" s="595"/>
      <c r="AQ134" s="595"/>
      <c r="AR134" s="595"/>
      <c r="AS134" s="595"/>
      <c r="AT134" s="595"/>
      <c r="AU134" s="186"/>
      <c r="AV134" s="595"/>
      <c r="AW134" s="595"/>
      <c r="AX134" s="595"/>
      <c r="AY134" s="595"/>
      <c r="AZ134" s="595"/>
      <c r="BA134" s="186"/>
      <c r="BB134" s="595"/>
      <c r="BC134" s="595"/>
      <c r="BD134" s="595"/>
      <c r="BE134" s="595"/>
      <c r="BF134" s="595"/>
      <c r="BG134" s="186"/>
      <c r="BH134" s="595"/>
      <c r="BI134" s="595"/>
      <c r="BJ134" s="595"/>
      <c r="BK134" s="595"/>
      <c r="BL134" s="595"/>
      <c r="BM134" s="186"/>
      <c r="BN134" s="595"/>
      <c r="BO134" s="595"/>
      <c r="BP134" s="595"/>
      <c r="BQ134" s="595"/>
      <c r="BR134" s="595"/>
      <c r="BS134" s="186"/>
      <c r="BT134" s="595"/>
      <c r="BU134" s="595"/>
      <c r="BV134" s="595"/>
      <c r="BW134" s="595"/>
      <c r="BX134" s="595"/>
      <c r="BY134" s="186"/>
      <c r="BZ134" s="595"/>
      <c r="CA134" s="595"/>
      <c r="CB134" s="595"/>
      <c r="CC134" s="595"/>
      <c r="CD134" s="595"/>
      <c r="CE134" s="186"/>
      <c r="CF134" s="595"/>
      <c r="CG134" s="595"/>
      <c r="CH134" s="595"/>
      <c r="CI134" s="595"/>
      <c r="CJ134" s="595"/>
      <c r="CK134" s="186"/>
      <c r="CL134" s="595"/>
      <c r="CM134" s="595"/>
      <c r="CN134" s="595"/>
      <c r="CO134" s="595"/>
      <c r="CP134" s="595"/>
      <c r="CQ134" s="186"/>
      <c r="CR134" s="595"/>
      <c r="CS134" s="595"/>
      <c r="CT134" s="595"/>
      <c r="CU134" s="595"/>
      <c r="CV134" s="595"/>
      <c r="CW134" s="186"/>
      <c r="CX134" s="595"/>
      <c r="CY134" s="595"/>
      <c r="CZ134" s="595"/>
      <c r="DA134" s="595"/>
      <c r="DB134" s="595"/>
      <c r="DC134" s="186"/>
      <c r="DD134" s="595"/>
      <c r="DE134" s="595"/>
      <c r="DF134" s="595"/>
      <c r="DG134" s="595"/>
      <c r="DH134" s="595"/>
      <c r="DI134" s="186"/>
      <c r="DJ134" s="595"/>
      <c r="DK134" s="595"/>
      <c r="DL134" s="595"/>
      <c r="DM134" s="595"/>
      <c r="DN134" s="595"/>
      <c r="DO134" s="186"/>
      <c r="DP134" s="595"/>
      <c r="DQ134" s="595"/>
      <c r="DR134" s="595"/>
      <c r="DS134" s="595"/>
      <c r="DT134" s="595"/>
      <c r="DU134" s="186"/>
      <c r="DV134" s="595"/>
      <c r="DW134" s="595"/>
      <c r="DX134" s="595"/>
      <c r="DY134" s="595"/>
      <c r="DZ134" s="595"/>
      <c r="EA134" s="186"/>
      <c r="EB134" s="595"/>
      <c r="EC134" s="595"/>
      <c r="ED134" s="595"/>
      <c r="EE134" s="595"/>
      <c r="EF134" s="595"/>
      <c r="EG134" s="186"/>
      <c r="EH134" s="595"/>
      <c r="EI134" s="595"/>
      <c r="EJ134" s="595"/>
      <c r="EK134" s="595"/>
      <c r="EL134" s="595"/>
      <c r="EM134" s="186"/>
      <c r="EN134" s="595"/>
      <c r="EO134" s="595"/>
      <c r="EP134" s="595"/>
      <c r="EQ134" s="595"/>
      <c r="ER134" s="595"/>
      <c r="ES134" s="186"/>
      <c r="ET134" s="595"/>
      <c r="EU134" s="595"/>
      <c r="EV134" s="595"/>
      <c r="EW134" s="595"/>
      <c r="EX134" s="595"/>
      <c r="EY134" s="186"/>
      <c r="EZ134" s="595"/>
      <c r="FA134" s="595"/>
      <c r="FB134" s="595"/>
      <c r="FC134" s="595"/>
      <c r="FD134" s="595"/>
      <c r="FE134" s="186"/>
      <c r="FF134" s="595"/>
      <c r="FG134" s="595"/>
      <c r="FH134" s="595"/>
      <c r="FI134" s="595"/>
      <c r="FJ134" s="595"/>
      <c r="FK134" s="186"/>
      <c r="FL134" s="595"/>
      <c r="FM134" s="595"/>
      <c r="FN134" s="595"/>
      <c r="FO134" s="595"/>
      <c r="FP134" s="595"/>
      <c r="FQ134" s="186"/>
      <c r="FR134" s="595"/>
      <c r="FS134" s="595"/>
      <c r="FT134" s="595"/>
      <c r="FU134" s="595"/>
      <c r="FV134" s="595"/>
      <c r="FW134" s="186"/>
      <c r="FX134" s="595"/>
      <c r="FY134" s="595"/>
      <c r="FZ134" s="595"/>
      <c r="GA134" s="595"/>
      <c r="GB134" s="595"/>
      <c r="GC134" s="186"/>
      <c r="GD134" s="595"/>
      <c r="GE134" s="595"/>
      <c r="GF134" s="595"/>
      <c r="GG134" s="595"/>
      <c r="GH134" s="595"/>
      <c r="GI134" s="186"/>
      <c r="GJ134" s="595"/>
      <c r="GK134" s="595"/>
      <c r="GL134" s="595"/>
      <c r="GM134" s="595"/>
      <c r="GN134" s="595"/>
      <c r="GO134" s="186"/>
      <c r="GP134" s="595"/>
      <c r="GQ134" s="595"/>
      <c r="GR134" s="595"/>
      <c r="GS134" s="595"/>
      <c r="GT134" s="595"/>
      <c r="GU134" s="186"/>
      <c r="GV134" s="595"/>
      <c r="GW134" s="595"/>
      <c r="GX134" s="595"/>
      <c r="GY134" s="595"/>
      <c r="GZ134" s="595"/>
      <c r="HA134" s="186"/>
      <c r="HB134" s="595"/>
      <c r="HC134" s="595"/>
      <c r="HD134" s="595"/>
      <c r="HE134" s="595"/>
      <c r="HF134" s="595"/>
      <c r="HG134" s="186"/>
      <c r="HH134" s="595"/>
      <c r="HI134" s="595"/>
      <c r="HJ134" s="595"/>
      <c r="HK134" s="595"/>
      <c r="HL134" s="595"/>
      <c r="HM134" s="186"/>
      <c r="HN134" s="595"/>
      <c r="HO134" s="595"/>
      <c r="HP134" s="595"/>
      <c r="HQ134" s="595"/>
      <c r="HR134" s="595"/>
      <c r="HS134" s="186"/>
      <c r="HT134" s="595"/>
      <c r="HU134" s="595"/>
      <c r="HV134" s="595"/>
      <c r="HW134" s="595"/>
      <c r="HX134" s="595"/>
      <c r="HY134" s="186"/>
      <c r="HZ134" s="595"/>
      <c r="IA134" s="595"/>
      <c r="IB134" s="595"/>
      <c r="IC134" s="595"/>
      <c r="ID134" s="595"/>
      <c r="IE134" s="186"/>
      <c r="IF134" s="595"/>
      <c r="IG134" s="595"/>
      <c r="IH134" s="595"/>
      <c r="II134" s="595"/>
      <c r="IJ134" s="595"/>
      <c r="IK134" s="186"/>
      <c r="IL134" s="595"/>
    </row>
    <row r="135" spans="1:246">
      <c r="A135" s="587"/>
      <c r="B135" s="595"/>
      <c r="C135" s="186"/>
      <c r="D135" s="595"/>
      <c r="E135" s="595"/>
      <c r="F135" s="595"/>
      <c r="G135" s="587"/>
      <c r="H135" s="595"/>
      <c r="I135" s="186"/>
      <c r="J135" s="1288"/>
      <c r="K135" s="1288"/>
      <c r="L135" s="1288"/>
      <c r="M135" s="1288"/>
      <c r="N135" s="1288"/>
      <c r="O135" s="1288"/>
      <c r="P135" s="1288"/>
      <c r="Q135" s="1289"/>
      <c r="R135" s="581"/>
      <c r="S135" s="186"/>
      <c r="T135" s="595"/>
      <c r="U135" s="595"/>
      <c r="V135" s="595"/>
      <c r="W135" s="186"/>
      <c r="X135" s="595"/>
      <c r="Y135" s="595"/>
      <c r="Z135" s="595"/>
      <c r="AA135" s="595"/>
      <c r="AB135" s="595"/>
      <c r="AC135" s="186"/>
      <c r="AD135" s="595"/>
      <c r="AE135" s="595"/>
      <c r="AF135" s="595"/>
      <c r="AG135" s="595"/>
      <c r="AH135" s="595"/>
      <c r="AI135" s="186"/>
      <c r="AJ135" s="595"/>
      <c r="AK135" s="595"/>
      <c r="AL135" s="595"/>
      <c r="AM135" s="595"/>
      <c r="AN135" s="595"/>
      <c r="AO135" s="186"/>
      <c r="AP135" s="595"/>
      <c r="AQ135" s="595"/>
      <c r="AR135" s="595"/>
      <c r="AS135" s="595"/>
      <c r="AT135" s="595"/>
      <c r="AU135" s="186"/>
      <c r="AV135" s="595"/>
      <c r="AW135" s="595"/>
      <c r="AX135" s="595"/>
      <c r="AY135" s="595"/>
      <c r="AZ135" s="595"/>
      <c r="BA135" s="186"/>
      <c r="BB135" s="595"/>
      <c r="BC135" s="595"/>
      <c r="BD135" s="595"/>
      <c r="BE135" s="595"/>
      <c r="BF135" s="595"/>
      <c r="BG135" s="186"/>
      <c r="BH135" s="595"/>
      <c r="BI135" s="595"/>
      <c r="BJ135" s="595"/>
      <c r="BK135" s="595"/>
      <c r="BL135" s="595"/>
      <c r="BM135" s="186"/>
      <c r="BN135" s="595"/>
      <c r="BO135" s="595"/>
      <c r="BP135" s="595"/>
      <c r="BQ135" s="595"/>
      <c r="BR135" s="595"/>
      <c r="BS135" s="186"/>
      <c r="BT135" s="595"/>
      <c r="BU135" s="595"/>
      <c r="BV135" s="595"/>
      <c r="BW135" s="595"/>
      <c r="BX135" s="595"/>
      <c r="BY135" s="186"/>
      <c r="BZ135" s="595"/>
      <c r="CA135" s="595"/>
      <c r="CB135" s="595"/>
      <c r="CC135" s="595"/>
      <c r="CD135" s="595"/>
      <c r="CE135" s="186"/>
      <c r="CF135" s="595"/>
      <c r="CG135" s="595"/>
      <c r="CH135" s="595"/>
      <c r="CI135" s="595"/>
      <c r="CJ135" s="595"/>
      <c r="CK135" s="186"/>
      <c r="CL135" s="595"/>
      <c r="CM135" s="595"/>
      <c r="CN135" s="595"/>
      <c r="CO135" s="595"/>
      <c r="CP135" s="595"/>
      <c r="CQ135" s="186"/>
      <c r="CR135" s="595"/>
      <c r="CS135" s="595"/>
      <c r="CT135" s="595"/>
      <c r="CU135" s="595"/>
      <c r="CV135" s="595"/>
      <c r="CW135" s="186"/>
      <c r="CX135" s="595"/>
      <c r="CY135" s="595"/>
      <c r="CZ135" s="595"/>
      <c r="DA135" s="595"/>
      <c r="DB135" s="595"/>
      <c r="DC135" s="186"/>
      <c r="DD135" s="595"/>
      <c r="DE135" s="595"/>
      <c r="DF135" s="595"/>
      <c r="DG135" s="595"/>
      <c r="DH135" s="595"/>
      <c r="DI135" s="186"/>
      <c r="DJ135" s="595"/>
      <c r="DK135" s="595"/>
      <c r="DL135" s="595"/>
      <c r="DM135" s="595"/>
      <c r="DN135" s="595"/>
      <c r="DO135" s="186"/>
      <c r="DP135" s="595"/>
      <c r="DQ135" s="595"/>
      <c r="DR135" s="595"/>
      <c r="DS135" s="595"/>
      <c r="DT135" s="595"/>
      <c r="DU135" s="186"/>
      <c r="DV135" s="595"/>
      <c r="DW135" s="595"/>
      <c r="DX135" s="595"/>
      <c r="DY135" s="595"/>
      <c r="DZ135" s="595"/>
      <c r="EA135" s="186"/>
      <c r="EB135" s="595"/>
      <c r="EC135" s="595"/>
      <c r="ED135" s="595"/>
      <c r="EE135" s="595"/>
      <c r="EF135" s="595"/>
      <c r="EG135" s="186"/>
      <c r="EH135" s="595"/>
      <c r="EI135" s="595"/>
      <c r="EJ135" s="595"/>
      <c r="EK135" s="595"/>
      <c r="EL135" s="595"/>
      <c r="EM135" s="186"/>
      <c r="EN135" s="595"/>
      <c r="EO135" s="595"/>
      <c r="EP135" s="595"/>
      <c r="EQ135" s="595"/>
      <c r="ER135" s="595"/>
      <c r="ES135" s="186"/>
      <c r="ET135" s="595"/>
      <c r="EU135" s="595"/>
      <c r="EV135" s="595"/>
      <c r="EW135" s="595"/>
      <c r="EX135" s="595"/>
      <c r="EY135" s="186"/>
      <c r="EZ135" s="595"/>
      <c r="FA135" s="595"/>
      <c r="FB135" s="595"/>
      <c r="FC135" s="595"/>
      <c r="FD135" s="595"/>
      <c r="FE135" s="186"/>
      <c r="FF135" s="595"/>
      <c r="FG135" s="595"/>
      <c r="FH135" s="595"/>
      <c r="FI135" s="595"/>
      <c r="FJ135" s="595"/>
      <c r="FK135" s="186"/>
      <c r="FL135" s="595"/>
      <c r="FM135" s="595"/>
      <c r="FN135" s="595"/>
      <c r="FO135" s="595"/>
      <c r="FP135" s="595"/>
      <c r="FQ135" s="186"/>
      <c r="FR135" s="595"/>
      <c r="FS135" s="595"/>
      <c r="FT135" s="595"/>
      <c r="FU135" s="595"/>
      <c r="FV135" s="595"/>
      <c r="FW135" s="186"/>
      <c r="FX135" s="595"/>
      <c r="FY135" s="595"/>
      <c r="FZ135" s="595"/>
      <c r="GA135" s="595"/>
      <c r="GB135" s="595"/>
      <c r="GC135" s="186"/>
      <c r="GD135" s="595"/>
      <c r="GE135" s="595"/>
      <c r="GF135" s="595"/>
      <c r="GG135" s="595"/>
      <c r="GH135" s="595"/>
      <c r="GI135" s="186"/>
      <c r="GJ135" s="595"/>
      <c r="GK135" s="595"/>
      <c r="GL135" s="595"/>
      <c r="GM135" s="595"/>
      <c r="GN135" s="595"/>
      <c r="GO135" s="186"/>
      <c r="GP135" s="595"/>
      <c r="GQ135" s="595"/>
      <c r="GR135" s="595"/>
      <c r="GS135" s="595"/>
      <c r="GT135" s="595"/>
      <c r="GU135" s="186"/>
      <c r="GV135" s="595"/>
      <c r="GW135" s="595"/>
      <c r="GX135" s="595"/>
      <c r="GY135" s="595"/>
      <c r="GZ135" s="595"/>
      <c r="HA135" s="186"/>
      <c r="HB135" s="595"/>
      <c r="HC135" s="595"/>
      <c r="HD135" s="595"/>
      <c r="HE135" s="595"/>
      <c r="HF135" s="595"/>
      <c r="HG135" s="186"/>
      <c r="HH135" s="595"/>
      <c r="HI135" s="595"/>
      <c r="HJ135" s="595"/>
      <c r="HK135" s="595"/>
      <c r="HL135" s="595"/>
      <c r="HM135" s="186"/>
      <c r="HN135" s="595"/>
      <c r="HO135" s="595"/>
      <c r="HP135" s="595"/>
      <c r="HQ135" s="595"/>
      <c r="HR135" s="595"/>
      <c r="HS135" s="186"/>
      <c r="HT135" s="595"/>
      <c r="HU135" s="595"/>
      <c r="HV135" s="595"/>
      <c r="HW135" s="595"/>
      <c r="HX135" s="595"/>
      <c r="HY135" s="186"/>
      <c r="HZ135" s="595"/>
      <c r="IA135" s="595"/>
      <c r="IB135" s="595"/>
      <c r="IC135" s="595"/>
      <c r="ID135" s="595"/>
      <c r="IE135" s="186"/>
      <c r="IF135" s="595"/>
      <c r="IG135" s="595"/>
      <c r="IH135" s="595"/>
      <c r="II135" s="595"/>
      <c r="IJ135" s="595"/>
      <c r="IK135" s="186"/>
      <c r="IL135" s="595"/>
    </row>
    <row r="136" spans="1:246" s="303" customFormat="1">
      <c r="A136" s="587">
        <f>'Appendix A'!A105</f>
        <v>56</v>
      </c>
      <c r="B136" s="595"/>
      <c r="C136" s="186" t="str">
        <f>'Appendix A'!C105</f>
        <v>Transmission O&amp;M</v>
      </c>
      <c r="D136" s="595"/>
      <c r="E136" s="588"/>
      <c r="F136" s="898" t="s">
        <v>113</v>
      </c>
      <c r="G136" s="1179">
        <v>229733400</v>
      </c>
      <c r="H136" s="1180">
        <v>-142300537</v>
      </c>
      <c r="I136" s="597">
        <f>G136+H136</f>
        <v>87432863</v>
      </c>
      <c r="J136" s="1292" t="s">
        <v>399</v>
      </c>
      <c r="K136" s="1284"/>
      <c r="L136" s="1284"/>
      <c r="M136" s="1284"/>
      <c r="N136" s="1284"/>
      <c r="O136" s="1284"/>
      <c r="P136" s="1284"/>
      <c r="Q136" s="1285"/>
      <c r="R136" s="641"/>
      <c r="S136" s="573"/>
      <c r="T136" s="520"/>
      <c r="U136" s="520"/>
      <c r="V136" s="520"/>
      <c r="W136" s="573"/>
      <c r="X136" s="520"/>
      <c r="Y136" s="520"/>
      <c r="Z136" s="520"/>
      <c r="AA136" s="520"/>
      <c r="AB136" s="520"/>
      <c r="AC136" s="573"/>
      <c r="AD136" s="520"/>
      <c r="AE136" s="520"/>
      <c r="AF136" s="520"/>
      <c r="AG136" s="520"/>
      <c r="AH136" s="520"/>
      <c r="AI136" s="573"/>
      <c r="AJ136" s="520"/>
      <c r="AK136" s="520"/>
      <c r="AL136" s="520"/>
      <c r="AM136" s="520"/>
      <c r="AN136" s="520"/>
      <c r="AO136" s="573"/>
      <c r="AP136" s="520"/>
      <c r="AQ136" s="520"/>
      <c r="AR136" s="520"/>
      <c r="AS136" s="520"/>
      <c r="AT136" s="520"/>
      <c r="AU136" s="573"/>
      <c r="AV136" s="520"/>
      <c r="AW136" s="520"/>
      <c r="AX136" s="520"/>
      <c r="AY136" s="520"/>
      <c r="AZ136" s="520"/>
      <c r="BA136" s="573"/>
      <c r="BB136" s="520"/>
      <c r="BC136" s="520"/>
      <c r="BD136" s="520"/>
      <c r="BE136" s="520"/>
      <c r="BF136" s="520"/>
      <c r="BG136" s="573"/>
      <c r="BH136" s="520"/>
      <c r="BI136" s="520"/>
      <c r="BJ136" s="520"/>
      <c r="BK136" s="520"/>
      <c r="BL136" s="520"/>
      <c r="BM136" s="573"/>
      <c r="BN136" s="520"/>
      <c r="BO136" s="520"/>
      <c r="BP136" s="520"/>
      <c r="BQ136" s="520"/>
      <c r="BR136" s="520"/>
      <c r="BS136" s="573"/>
      <c r="BT136" s="520"/>
      <c r="BU136" s="520"/>
      <c r="BV136" s="520"/>
      <c r="BW136" s="520"/>
      <c r="BX136" s="520"/>
      <c r="BY136" s="573"/>
      <c r="BZ136" s="520"/>
      <c r="CA136" s="520"/>
      <c r="CB136" s="520"/>
      <c r="CC136" s="520"/>
      <c r="CD136" s="520"/>
      <c r="CE136" s="573"/>
      <c r="CF136" s="520"/>
      <c r="CG136" s="520"/>
      <c r="CH136" s="520"/>
      <c r="CI136" s="520"/>
      <c r="CJ136" s="520"/>
      <c r="CK136" s="573"/>
      <c r="CL136" s="520"/>
      <c r="CM136" s="520"/>
      <c r="CN136" s="520"/>
      <c r="CO136" s="520"/>
      <c r="CP136" s="520"/>
      <c r="CQ136" s="573"/>
      <c r="CR136" s="520"/>
      <c r="CS136" s="520"/>
      <c r="CT136" s="520"/>
      <c r="CU136" s="520"/>
      <c r="CV136" s="520"/>
      <c r="CW136" s="573"/>
      <c r="CX136" s="520"/>
      <c r="CY136" s="520"/>
      <c r="CZ136" s="520"/>
      <c r="DA136" s="520"/>
      <c r="DB136" s="520"/>
      <c r="DC136" s="573"/>
      <c r="DD136" s="520"/>
      <c r="DE136" s="520"/>
      <c r="DF136" s="520"/>
      <c r="DG136" s="520"/>
      <c r="DH136" s="520"/>
      <c r="DI136" s="573"/>
      <c r="DJ136" s="520"/>
      <c r="DK136" s="520"/>
      <c r="DL136" s="520"/>
      <c r="DM136" s="520"/>
      <c r="DN136" s="520"/>
      <c r="DO136" s="573"/>
      <c r="DP136" s="520"/>
      <c r="DQ136" s="520"/>
      <c r="DR136" s="520"/>
      <c r="DS136" s="520"/>
      <c r="DT136" s="520"/>
      <c r="DU136" s="573"/>
      <c r="DV136" s="520"/>
      <c r="DW136" s="520"/>
      <c r="DX136" s="520"/>
      <c r="DY136" s="520"/>
      <c r="DZ136" s="520"/>
      <c r="EA136" s="573"/>
      <c r="EB136" s="520"/>
      <c r="EC136" s="520"/>
      <c r="ED136" s="520"/>
      <c r="EE136" s="520"/>
      <c r="EF136" s="520"/>
      <c r="EG136" s="573"/>
      <c r="EH136" s="520"/>
      <c r="EI136" s="520"/>
      <c r="EJ136" s="520"/>
      <c r="EK136" s="520"/>
      <c r="EL136" s="520"/>
      <c r="EM136" s="573"/>
      <c r="EN136" s="520"/>
      <c r="EO136" s="520"/>
      <c r="EP136" s="520"/>
      <c r="EQ136" s="520"/>
      <c r="ER136" s="520"/>
      <c r="ES136" s="573"/>
      <c r="ET136" s="520"/>
      <c r="EU136" s="520"/>
      <c r="EV136" s="520"/>
      <c r="EW136" s="520"/>
      <c r="EX136" s="520"/>
      <c r="EY136" s="573"/>
      <c r="EZ136" s="520"/>
      <c r="FA136" s="520"/>
      <c r="FB136" s="520"/>
      <c r="FC136" s="520"/>
      <c r="FD136" s="520"/>
      <c r="FE136" s="573"/>
      <c r="FF136" s="520"/>
      <c r="FG136" s="520"/>
      <c r="FH136" s="520"/>
      <c r="FI136" s="520"/>
      <c r="FJ136" s="520"/>
      <c r="FK136" s="573"/>
      <c r="FL136" s="520"/>
      <c r="FM136" s="520"/>
      <c r="FN136" s="520"/>
      <c r="FO136" s="520"/>
      <c r="FP136" s="520"/>
      <c r="FQ136" s="573"/>
      <c r="FR136" s="520"/>
      <c r="FS136" s="520"/>
      <c r="FT136" s="520"/>
      <c r="FU136" s="520"/>
      <c r="FV136" s="520"/>
      <c r="FW136" s="573"/>
      <c r="FX136" s="520"/>
      <c r="FY136" s="520"/>
      <c r="FZ136" s="520"/>
      <c r="GA136" s="520"/>
      <c r="GB136" s="520"/>
      <c r="GC136" s="573"/>
      <c r="GD136" s="520"/>
      <c r="GE136" s="520"/>
      <c r="GF136" s="520"/>
      <c r="GG136" s="520"/>
      <c r="GH136" s="520"/>
      <c r="GI136" s="573"/>
      <c r="GJ136" s="520"/>
      <c r="GK136" s="520"/>
      <c r="GL136" s="520"/>
      <c r="GM136" s="520"/>
      <c r="GN136" s="520"/>
      <c r="GO136" s="573"/>
      <c r="GP136" s="520"/>
      <c r="GQ136" s="520"/>
      <c r="GR136" s="520"/>
      <c r="GS136" s="520"/>
      <c r="GT136" s="520"/>
      <c r="GU136" s="573"/>
      <c r="GV136" s="520"/>
      <c r="GW136" s="520"/>
      <c r="GX136" s="520"/>
      <c r="GY136" s="520"/>
      <c r="GZ136" s="520"/>
      <c r="HA136" s="573"/>
      <c r="HB136" s="520"/>
      <c r="HC136" s="520"/>
      <c r="HD136" s="520"/>
      <c r="HE136" s="520"/>
      <c r="HF136" s="520"/>
      <c r="HG136" s="573"/>
      <c r="HH136" s="520"/>
      <c r="HI136" s="520"/>
      <c r="HJ136" s="520"/>
      <c r="HK136" s="520"/>
      <c r="HL136" s="520"/>
      <c r="HM136" s="573"/>
      <c r="HN136" s="520"/>
      <c r="HO136" s="520"/>
      <c r="HP136" s="520"/>
      <c r="HQ136" s="520"/>
      <c r="HR136" s="520"/>
      <c r="HS136" s="573"/>
      <c r="HT136" s="520"/>
      <c r="HU136" s="520"/>
      <c r="HV136" s="520"/>
      <c r="HW136" s="520"/>
      <c r="HX136" s="520"/>
      <c r="HY136" s="573"/>
      <c r="HZ136" s="520"/>
      <c r="IA136" s="520"/>
      <c r="IB136" s="520"/>
      <c r="IC136" s="520"/>
      <c r="ID136" s="520"/>
      <c r="IE136" s="573"/>
      <c r="IF136" s="520"/>
      <c r="IG136" s="520"/>
      <c r="IH136" s="520"/>
      <c r="II136" s="520"/>
      <c r="IJ136" s="520"/>
      <c r="IK136" s="573"/>
      <c r="IL136" s="520"/>
    </row>
    <row r="137" spans="1:246" s="303" customFormat="1">
      <c r="A137" s="590"/>
      <c r="B137" s="520"/>
      <c r="C137" s="573"/>
      <c r="D137" s="520"/>
      <c r="E137" s="588"/>
      <c r="F137" s="898"/>
      <c r="G137" s="813"/>
      <c r="H137" s="551"/>
      <c r="I137" s="597"/>
      <c r="J137" s="1292" t="s">
        <v>400</v>
      </c>
      <c r="K137" s="1284"/>
      <c r="L137" s="1284"/>
      <c r="M137" s="1284"/>
      <c r="N137" s="1284"/>
      <c r="O137" s="1284"/>
      <c r="P137" s="1284"/>
      <c r="Q137" s="1285"/>
      <c r="R137" s="641"/>
      <c r="S137" s="573"/>
      <c r="T137" s="520"/>
      <c r="U137" s="520"/>
      <c r="V137" s="520"/>
      <c r="W137" s="573"/>
      <c r="X137" s="520"/>
      <c r="Y137" s="520"/>
      <c r="Z137" s="520"/>
      <c r="AA137" s="520"/>
      <c r="AB137" s="520"/>
      <c r="AC137" s="573"/>
      <c r="AD137" s="520"/>
      <c r="AE137" s="520"/>
      <c r="AF137" s="520"/>
      <c r="AG137" s="520"/>
      <c r="AH137" s="520"/>
      <c r="AI137" s="573"/>
      <c r="AJ137" s="520"/>
      <c r="AK137" s="520"/>
      <c r="AL137" s="520"/>
      <c r="AM137" s="520"/>
      <c r="AN137" s="520"/>
      <c r="AO137" s="573"/>
      <c r="AP137" s="520"/>
      <c r="AQ137" s="520"/>
      <c r="AR137" s="520"/>
      <c r="AS137" s="520"/>
      <c r="AT137" s="520"/>
      <c r="AU137" s="573"/>
      <c r="AV137" s="520"/>
      <c r="AW137" s="520"/>
      <c r="AX137" s="520"/>
      <c r="AY137" s="520"/>
      <c r="AZ137" s="520"/>
      <c r="BA137" s="573"/>
      <c r="BB137" s="520"/>
      <c r="BC137" s="520"/>
      <c r="BD137" s="520"/>
      <c r="BE137" s="520"/>
      <c r="BF137" s="520"/>
      <c r="BG137" s="573"/>
      <c r="BH137" s="520"/>
      <c r="BI137" s="520"/>
      <c r="BJ137" s="520"/>
      <c r="BK137" s="520"/>
      <c r="BL137" s="520"/>
      <c r="BM137" s="573"/>
      <c r="BN137" s="520"/>
      <c r="BO137" s="520"/>
      <c r="BP137" s="520"/>
      <c r="BQ137" s="520"/>
      <c r="BR137" s="520"/>
      <c r="BS137" s="573"/>
      <c r="BT137" s="520"/>
      <c r="BU137" s="520"/>
      <c r="BV137" s="520"/>
      <c r="BW137" s="520"/>
      <c r="BX137" s="520"/>
      <c r="BY137" s="573"/>
      <c r="BZ137" s="520"/>
      <c r="CA137" s="520"/>
      <c r="CB137" s="520"/>
      <c r="CC137" s="520"/>
      <c r="CD137" s="520"/>
      <c r="CE137" s="573"/>
      <c r="CF137" s="520"/>
      <c r="CG137" s="520"/>
      <c r="CH137" s="520"/>
      <c r="CI137" s="520"/>
      <c r="CJ137" s="520"/>
      <c r="CK137" s="573"/>
      <c r="CL137" s="520"/>
      <c r="CM137" s="520"/>
      <c r="CN137" s="520"/>
      <c r="CO137" s="520"/>
      <c r="CP137" s="520"/>
      <c r="CQ137" s="573"/>
      <c r="CR137" s="520"/>
      <c r="CS137" s="520"/>
      <c r="CT137" s="520"/>
      <c r="CU137" s="520"/>
      <c r="CV137" s="520"/>
      <c r="CW137" s="573"/>
      <c r="CX137" s="520"/>
      <c r="CY137" s="520"/>
      <c r="CZ137" s="520"/>
      <c r="DA137" s="520"/>
      <c r="DB137" s="520"/>
      <c r="DC137" s="573"/>
      <c r="DD137" s="520"/>
      <c r="DE137" s="520"/>
      <c r="DF137" s="520"/>
      <c r="DG137" s="520"/>
      <c r="DH137" s="520"/>
      <c r="DI137" s="573"/>
      <c r="DJ137" s="520"/>
      <c r="DK137" s="520"/>
      <c r="DL137" s="520"/>
      <c r="DM137" s="520"/>
      <c r="DN137" s="520"/>
      <c r="DO137" s="573"/>
      <c r="DP137" s="520"/>
      <c r="DQ137" s="520"/>
      <c r="DR137" s="520"/>
      <c r="DS137" s="520"/>
      <c r="DT137" s="520"/>
      <c r="DU137" s="573"/>
      <c r="DV137" s="520"/>
      <c r="DW137" s="520"/>
      <c r="DX137" s="520"/>
      <c r="DY137" s="520"/>
      <c r="DZ137" s="520"/>
      <c r="EA137" s="573"/>
      <c r="EB137" s="520"/>
      <c r="EC137" s="520"/>
      <c r="ED137" s="520"/>
      <c r="EE137" s="520"/>
      <c r="EF137" s="520"/>
      <c r="EG137" s="573"/>
      <c r="EH137" s="520"/>
      <c r="EI137" s="520"/>
      <c r="EJ137" s="520"/>
      <c r="EK137" s="520"/>
      <c r="EL137" s="520"/>
      <c r="EM137" s="573"/>
      <c r="EN137" s="520"/>
      <c r="EO137" s="520"/>
      <c r="EP137" s="520"/>
      <c r="EQ137" s="520"/>
      <c r="ER137" s="520"/>
      <c r="ES137" s="573"/>
      <c r="ET137" s="520"/>
      <c r="EU137" s="520"/>
      <c r="EV137" s="520"/>
      <c r="EW137" s="520"/>
      <c r="EX137" s="520"/>
      <c r="EY137" s="573"/>
      <c r="EZ137" s="520"/>
      <c r="FA137" s="520"/>
      <c r="FB137" s="520"/>
      <c r="FC137" s="520"/>
      <c r="FD137" s="520"/>
      <c r="FE137" s="573"/>
      <c r="FF137" s="520"/>
      <c r="FG137" s="520"/>
      <c r="FH137" s="520"/>
      <c r="FI137" s="520"/>
      <c r="FJ137" s="520"/>
      <c r="FK137" s="573"/>
      <c r="FL137" s="520"/>
      <c r="FM137" s="520"/>
      <c r="FN137" s="520"/>
      <c r="FO137" s="520"/>
      <c r="FP137" s="520"/>
      <c r="FQ137" s="573"/>
      <c r="FR137" s="520"/>
      <c r="FS137" s="520"/>
      <c r="FT137" s="520"/>
      <c r="FU137" s="520"/>
      <c r="FV137" s="520"/>
      <c r="FW137" s="573"/>
      <c r="FX137" s="520"/>
      <c r="FY137" s="520"/>
      <c r="FZ137" s="520"/>
      <c r="GA137" s="520"/>
      <c r="GB137" s="520"/>
      <c r="GC137" s="573"/>
      <c r="GD137" s="520"/>
      <c r="GE137" s="520"/>
      <c r="GF137" s="520"/>
      <c r="GG137" s="520"/>
      <c r="GH137" s="520"/>
      <c r="GI137" s="573"/>
      <c r="GJ137" s="520"/>
      <c r="GK137" s="520"/>
      <c r="GL137" s="520"/>
      <c r="GM137" s="520"/>
      <c r="GN137" s="520"/>
      <c r="GO137" s="573"/>
      <c r="GP137" s="520"/>
      <c r="GQ137" s="520"/>
      <c r="GR137" s="520"/>
      <c r="GS137" s="520"/>
      <c r="GT137" s="520"/>
      <c r="GU137" s="573"/>
      <c r="GV137" s="520"/>
      <c r="GW137" s="520"/>
      <c r="GX137" s="520"/>
      <c r="GY137" s="520"/>
      <c r="GZ137" s="520"/>
      <c r="HA137" s="573"/>
      <c r="HB137" s="520"/>
      <c r="HC137" s="520"/>
      <c r="HD137" s="520"/>
      <c r="HE137" s="520"/>
      <c r="HF137" s="520"/>
      <c r="HG137" s="573"/>
      <c r="HH137" s="520"/>
      <c r="HI137" s="520"/>
      <c r="HJ137" s="520"/>
      <c r="HK137" s="520"/>
      <c r="HL137" s="520"/>
      <c r="HM137" s="573"/>
      <c r="HN137" s="520"/>
      <c r="HO137" s="520"/>
      <c r="HP137" s="520"/>
      <c r="HQ137" s="520"/>
      <c r="HR137" s="520"/>
      <c r="HS137" s="573"/>
      <c r="HT137" s="520"/>
      <c r="HU137" s="520"/>
      <c r="HV137" s="520"/>
      <c r="HW137" s="520"/>
      <c r="HX137" s="520"/>
      <c r="HY137" s="573"/>
      <c r="HZ137" s="520"/>
      <c r="IA137" s="520"/>
      <c r="IB137" s="520"/>
      <c r="IC137" s="520"/>
      <c r="ID137" s="520"/>
      <c r="IE137" s="573"/>
      <c r="IF137" s="520"/>
      <c r="IG137" s="520"/>
      <c r="IH137" s="520"/>
      <c r="II137" s="520"/>
      <c r="IJ137" s="520"/>
      <c r="IK137" s="573"/>
      <c r="IL137" s="520"/>
    </row>
    <row r="138" spans="1:246" s="303" customFormat="1" ht="13.5" customHeight="1">
      <c r="A138" s="590"/>
      <c r="B138" s="520"/>
      <c r="C138" s="573"/>
      <c r="D138" s="520"/>
      <c r="E138" s="588"/>
      <c r="F138" s="551"/>
      <c r="G138" s="813"/>
      <c r="H138" s="551"/>
      <c r="I138" s="662"/>
      <c r="J138" s="1292" t="s">
        <v>108</v>
      </c>
      <c r="K138" s="1284"/>
      <c r="L138" s="1284"/>
      <c r="M138" s="1284"/>
      <c r="N138" s="1284"/>
      <c r="O138" s="1284"/>
      <c r="P138" s="1284"/>
      <c r="Q138" s="1285"/>
      <c r="R138" s="641"/>
      <c r="S138" s="573"/>
      <c r="T138" s="520"/>
      <c r="U138" s="520"/>
      <c r="V138" s="520"/>
      <c r="W138" s="573"/>
      <c r="X138" s="520"/>
      <c r="Y138" s="520"/>
      <c r="Z138" s="520"/>
      <c r="AA138" s="520"/>
      <c r="AB138" s="520"/>
      <c r="AC138" s="573"/>
      <c r="AD138" s="520"/>
      <c r="AE138" s="520"/>
      <c r="AF138" s="520"/>
      <c r="AG138" s="520"/>
      <c r="AH138" s="520"/>
      <c r="AI138" s="573"/>
      <c r="AJ138" s="520"/>
      <c r="AK138" s="520"/>
      <c r="AL138" s="520"/>
      <c r="AM138" s="520"/>
      <c r="AN138" s="520"/>
      <c r="AO138" s="573"/>
      <c r="AP138" s="520"/>
      <c r="AQ138" s="520"/>
      <c r="AR138" s="520"/>
      <c r="AS138" s="520"/>
      <c r="AT138" s="520"/>
      <c r="AU138" s="573"/>
      <c r="AV138" s="520"/>
      <c r="AW138" s="520"/>
      <c r="AX138" s="520"/>
      <c r="AY138" s="520"/>
      <c r="AZ138" s="520"/>
      <c r="BA138" s="573"/>
      <c r="BB138" s="520"/>
      <c r="BC138" s="520"/>
      <c r="BD138" s="520"/>
      <c r="BE138" s="520"/>
      <c r="BF138" s="520"/>
      <c r="BG138" s="573"/>
      <c r="BH138" s="520"/>
      <c r="BI138" s="520"/>
      <c r="BJ138" s="520"/>
      <c r="BK138" s="520"/>
      <c r="BL138" s="520"/>
      <c r="BM138" s="573"/>
      <c r="BN138" s="520"/>
      <c r="BO138" s="520"/>
      <c r="BP138" s="520"/>
      <c r="BQ138" s="520"/>
      <c r="BR138" s="520"/>
      <c r="BS138" s="573"/>
      <c r="BT138" s="520"/>
      <c r="BU138" s="520"/>
      <c r="BV138" s="520"/>
      <c r="BW138" s="520"/>
      <c r="BX138" s="520"/>
      <c r="BY138" s="573"/>
      <c r="BZ138" s="520"/>
      <c r="CA138" s="520"/>
      <c r="CB138" s="520"/>
      <c r="CC138" s="520"/>
      <c r="CD138" s="520"/>
      <c r="CE138" s="573"/>
      <c r="CF138" s="520"/>
      <c r="CG138" s="520"/>
      <c r="CH138" s="520"/>
      <c r="CI138" s="520"/>
      <c r="CJ138" s="520"/>
      <c r="CK138" s="573"/>
      <c r="CL138" s="520"/>
      <c r="CM138" s="520"/>
      <c r="CN138" s="520"/>
      <c r="CO138" s="520"/>
      <c r="CP138" s="520"/>
      <c r="CQ138" s="573"/>
      <c r="CR138" s="520"/>
      <c r="CS138" s="520"/>
      <c r="CT138" s="520"/>
      <c r="CU138" s="520"/>
      <c r="CV138" s="520"/>
      <c r="CW138" s="573"/>
      <c r="CX138" s="520"/>
      <c r="CY138" s="520"/>
      <c r="CZ138" s="520"/>
      <c r="DA138" s="520"/>
      <c r="DB138" s="520"/>
      <c r="DC138" s="573"/>
      <c r="DD138" s="520"/>
      <c r="DE138" s="520"/>
      <c r="DF138" s="520"/>
      <c r="DG138" s="520"/>
      <c r="DH138" s="520"/>
      <c r="DI138" s="573"/>
      <c r="DJ138" s="520"/>
      <c r="DK138" s="520"/>
      <c r="DL138" s="520"/>
      <c r="DM138" s="520"/>
      <c r="DN138" s="520"/>
      <c r="DO138" s="573"/>
      <c r="DP138" s="520"/>
      <c r="DQ138" s="520"/>
      <c r="DR138" s="520"/>
      <c r="DS138" s="520"/>
      <c r="DT138" s="520"/>
      <c r="DU138" s="573"/>
      <c r="DV138" s="520"/>
      <c r="DW138" s="520"/>
      <c r="DX138" s="520"/>
      <c r="DY138" s="520"/>
      <c r="DZ138" s="520"/>
      <c r="EA138" s="573"/>
      <c r="EB138" s="520"/>
      <c r="EC138" s="520"/>
      <c r="ED138" s="520"/>
      <c r="EE138" s="520"/>
      <c r="EF138" s="520"/>
      <c r="EG138" s="573"/>
      <c r="EH138" s="520"/>
      <c r="EI138" s="520"/>
      <c r="EJ138" s="520"/>
      <c r="EK138" s="520"/>
      <c r="EL138" s="520"/>
      <c r="EM138" s="573"/>
      <c r="EN138" s="520"/>
      <c r="EO138" s="520"/>
      <c r="EP138" s="520"/>
      <c r="EQ138" s="520"/>
      <c r="ER138" s="520"/>
      <c r="ES138" s="573"/>
      <c r="ET138" s="520"/>
      <c r="EU138" s="520"/>
      <c r="EV138" s="520"/>
      <c r="EW138" s="520"/>
      <c r="EX138" s="520"/>
      <c r="EY138" s="573"/>
      <c r="EZ138" s="520"/>
      <c r="FA138" s="520"/>
      <c r="FB138" s="520"/>
      <c r="FC138" s="520"/>
      <c r="FD138" s="520"/>
      <c r="FE138" s="573"/>
      <c r="FF138" s="520"/>
      <c r="FG138" s="520"/>
      <c r="FH138" s="520"/>
      <c r="FI138" s="520"/>
      <c r="FJ138" s="520"/>
      <c r="FK138" s="573"/>
      <c r="FL138" s="520"/>
      <c r="FM138" s="520"/>
      <c r="FN138" s="520"/>
      <c r="FO138" s="520"/>
      <c r="FP138" s="520"/>
      <c r="FQ138" s="573"/>
      <c r="FR138" s="520"/>
      <c r="FS138" s="520"/>
      <c r="FT138" s="520"/>
      <c r="FU138" s="520"/>
      <c r="FV138" s="520"/>
      <c r="FW138" s="573"/>
      <c r="FX138" s="520"/>
      <c r="FY138" s="520"/>
      <c r="FZ138" s="520"/>
      <c r="GA138" s="520"/>
      <c r="GB138" s="520"/>
      <c r="GC138" s="573"/>
      <c r="GD138" s="520"/>
      <c r="GE138" s="520"/>
      <c r="GF138" s="520"/>
      <c r="GG138" s="520"/>
      <c r="GH138" s="520"/>
      <c r="GI138" s="573"/>
      <c r="GJ138" s="520"/>
      <c r="GK138" s="520"/>
      <c r="GL138" s="520"/>
      <c r="GM138" s="520"/>
      <c r="GN138" s="520"/>
      <c r="GO138" s="573"/>
      <c r="GP138" s="520"/>
      <c r="GQ138" s="520"/>
      <c r="GR138" s="520"/>
      <c r="GS138" s="520"/>
      <c r="GT138" s="520"/>
      <c r="GU138" s="573"/>
      <c r="GV138" s="520"/>
      <c r="GW138" s="520"/>
      <c r="GX138" s="520"/>
      <c r="GY138" s="520"/>
      <c r="GZ138" s="520"/>
      <c r="HA138" s="573"/>
      <c r="HB138" s="520"/>
      <c r="HC138" s="520"/>
      <c r="HD138" s="520"/>
      <c r="HE138" s="520"/>
      <c r="HF138" s="520"/>
      <c r="HG138" s="573"/>
      <c r="HH138" s="520"/>
      <c r="HI138" s="520"/>
      <c r="HJ138" s="520"/>
      <c r="HK138" s="520"/>
      <c r="HL138" s="520"/>
      <c r="HM138" s="573"/>
      <c r="HN138" s="520"/>
      <c r="HO138" s="520"/>
      <c r="HP138" s="520"/>
      <c r="HQ138" s="520"/>
      <c r="HR138" s="520"/>
      <c r="HS138" s="573"/>
      <c r="HT138" s="520"/>
      <c r="HU138" s="520"/>
      <c r="HV138" s="520"/>
      <c r="HW138" s="520"/>
      <c r="HX138" s="520"/>
      <c r="HY138" s="573"/>
      <c r="HZ138" s="520"/>
      <c r="IA138" s="520"/>
      <c r="IB138" s="520"/>
      <c r="IC138" s="520"/>
      <c r="ID138" s="520"/>
      <c r="IE138" s="573"/>
      <c r="IF138" s="520"/>
      <c r="IG138" s="520"/>
      <c r="IH138" s="520"/>
      <c r="II138" s="520"/>
      <c r="IJ138" s="520"/>
      <c r="IK138" s="573"/>
      <c r="IL138" s="520"/>
    </row>
    <row r="139" spans="1:246" s="303" customFormat="1" ht="13.5" customHeight="1">
      <c r="A139" s="590">
        <f>'Appendix A'!A106</f>
        <v>57</v>
      </c>
      <c r="B139" s="520"/>
      <c r="C139" s="573" t="str">
        <f>'Appendix A'!C106</f>
        <v xml:space="preserve">     Less Account 565</v>
      </c>
      <c r="D139" s="520"/>
      <c r="E139" s="588"/>
      <c r="F139" s="186" t="s">
        <v>114</v>
      </c>
      <c r="G139" s="1179">
        <v>5993969</v>
      </c>
      <c r="H139" s="1121">
        <v>0</v>
      </c>
      <c r="I139" s="597">
        <f>G139+H139</f>
        <v>5993969</v>
      </c>
      <c r="J139" s="1284" t="s">
        <v>115</v>
      </c>
      <c r="K139" s="1284"/>
      <c r="L139" s="1284"/>
      <c r="M139" s="1284"/>
      <c r="N139" s="1284"/>
      <c r="O139" s="1284"/>
      <c r="P139" s="1284"/>
      <c r="Q139" s="1285"/>
      <c r="R139" s="641"/>
      <c r="S139" s="573"/>
      <c r="T139" s="520"/>
      <c r="U139" s="520"/>
      <c r="V139" s="520"/>
      <c r="W139" s="573"/>
      <c r="X139" s="520"/>
      <c r="Y139" s="520"/>
      <c r="Z139" s="520"/>
      <c r="AA139" s="520"/>
      <c r="AB139" s="520"/>
      <c r="AC139" s="573"/>
      <c r="AD139" s="520"/>
      <c r="AE139" s="520"/>
      <c r="AF139" s="520"/>
      <c r="AG139" s="520"/>
      <c r="AH139" s="520"/>
      <c r="AI139" s="573"/>
      <c r="AJ139" s="520"/>
      <c r="AK139" s="520"/>
      <c r="AL139" s="520"/>
      <c r="AM139" s="520"/>
      <c r="AN139" s="520"/>
      <c r="AO139" s="573"/>
      <c r="AP139" s="520"/>
      <c r="AQ139" s="520"/>
      <c r="AR139" s="520"/>
      <c r="AS139" s="520"/>
      <c r="AT139" s="520"/>
      <c r="AU139" s="573"/>
      <c r="AV139" s="520"/>
      <c r="AW139" s="520"/>
      <c r="AX139" s="520"/>
      <c r="AY139" s="520"/>
      <c r="AZ139" s="520"/>
      <c r="BA139" s="573"/>
      <c r="BB139" s="520"/>
      <c r="BC139" s="520"/>
      <c r="BD139" s="520"/>
      <c r="BE139" s="520"/>
      <c r="BF139" s="520"/>
      <c r="BG139" s="573"/>
      <c r="BH139" s="520"/>
      <c r="BI139" s="520"/>
      <c r="BJ139" s="520"/>
      <c r="BK139" s="520"/>
      <c r="BL139" s="520"/>
      <c r="BM139" s="573"/>
      <c r="BN139" s="520"/>
      <c r="BO139" s="520"/>
      <c r="BP139" s="520"/>
      <c r="BQ139" s="520"/>
      <c r="BR139" s="520"/>
      <c r="BS139" s="573"/>
      <c r="BT139" s="520"/>
      <c r="BU139" s="520"/>
      <c r="BV139" s="520"/>
      <c r="BW139" s="520"/>
      <c r="BX139" s="520"/>
      <c r="BY139" s="573"/>
      <c r="BZ139" s="520"/>
      <c r="CA139" s="520"/>
      <c r="CB139" s="520"/>
      <c r="CC139" s="520"/>
      <c r="CD139" s="520"/>
      <c r="CE139" s="573"/>
      <c r="CF139" s="520"/>
      <c r="CG139" s="520"/>
      <c r="CH139" s="520"/>
      <c r="CI139" s="520"/>
      <c r="CJ139" s="520"/>
      <c r="CK139" s="573"/>
      <c r="CL139" s="520"/>
      <c r="CM139" s="520"/>
      <c r="CN139" s="520"/>
      <c r="CO139" s="520"/>
      <c r="CP139" s="520"/>
      <c r="CQ139" s="573"/>
      <c r="CR139" s="520"/>
      <c r="CS139" s="520"/>
      <c r="CT139" s="520"/>
      <c r="CU139" s="520"/>
      <c r="CV139" s="520"/>
      <c r="CW139" s="573"/>
      <c r="CX139" s="520"/>
      <c r="CY139" s="520"/>
      <c r="CZ139" s="520"/>
      <c r="DA139" s="520"/>
      <c r="DB139" s="520"/>
      <c r="DC139" s="573"/>
      <c r="DD139" s="520"/>
      <c r="DE139" s="520"/>
      <c r="DF139" s="520"/>
      <c r="DG139" s="520"/>
      <c r="DH139" s="520"/>
      <c r="DI139" s="573"/>
      <c r="DJ139" s="520"/>
      <c r="DK139" s="520"/>
      <c r="DL139" s="520"/>
      <c r="DM139" s="520"/>
      <c r="DN139" s="520"/>
      <c r="DO139" s="573"/>
      <c r="DP139" s="520"/>
      <c r="DQ139" s="520"/>
      <c r="DR139" s="520"/>
      <c r="DS139" s="520"/>
      <c r="DT139" s="520"/>
      <c r="DU139" s="573"/>
      <c r="DV139" s="520"/>
      <c r="DW139" s="520"/>
      <c r="DX139" s="520"/>
      <c r="DY139" s="520"/>
      <c r="DZ139" s="520"/>
      <c r="EA139" s="573"/>
      <c r="EB139" s="520"/>
      <c r="EC139" s="520"/>
      <c r="ED139" s="520"/>
      <c r="EE139" s="520"/>
      <c r="EF139" s="520"/>
      <c r="EG139" s="573"/>
      <c r="EH139" s="520"/>
      <c r="EI139" s="520"/>
      <c r="EJ139" s="520"/>
      <c r="EK139" s="520"/>
      <c r="EL139" s="520"/>
      <c r="EM139" s="573"/>
      <c r="EN139" s="520"/>
      <c r="EO139" s="520"/>
      <c r="EP139" s="520"/>
      <c r="EQ139" s="520"/>
      <c r="ER139" s="520"/>
      <c r="ES139" s="573"/>
      <c r="ET139" s="520"/>
      <c r="EU139" s="520"/>
      <c r="EV139" s="520"/>
      <c r="EW139" s="520"/>
      <c r="EX139" s="520"/>
      <c r="EY139" s="573"/>
      <c r="EZ139" s="520"/>
      <c r="FA139" s="520"/>
      <c r="FB139" s="520"/>
      <c r="FC139" s="520"/>
      <c r="FD139" s="520"/>
      <c r="FE139" s="573"/>
      <c r="FF139" s="520"/>
      <c r="FG139" s="520"/>
      <c r="FH139" s="520"/>
      <c r="FI139" s="520"/>
      <c r="FJ139" s="520"/>
      <c r="FK139" s="573"/>
      <c r="FL139" s="520"/>
      <c r="FM139" s="520"/>
      <c r="FN139" s="520"/>
      <c r="FO139" s="520"/>
      <c r="FP139" s="520"/>
      <c r="FQ139" s="573"/>
      <c r="FR139" s="520"/>
      <c r="FS139" s="520"/>
      <c r="FT139" s="520"/>
      <c r="FU139" s="520"/>
      <c r="FV139" s="520"/>
      <c r="FW139" s="573"/>
      <c r="FX139" s="520"/>
      <c r="FY139" s="520"/>
      <c r="FZ139" s="520"/>
      <c r="GA139" s="520"/>
      <c r="GB139" s="520"/>
      <c r="GC139" s="573"/>
      <c r="GD139" s="520"/>
      <c r="GE139" s="520"/>
      <c r="GF139" s="520"/>
      <c r="GG139" s="520"/>
      <c r="GH139" s="520"/>
      <c r="GI139" s="573"/>
      <c r="GJ139" s="520"/>
      <c r="GK139" s="520"/>
      <c r="GL139" s="520"/>
      <c r="GM139" s="520"/>
      <c r="GN139" s="520"/>
      <c r="GO139" s="573"/>
      <c r="GP139" s="520"/>
      <c r="GQ139" s="520"/>
      <c r="GR139" s="520"/>
      <c r="GS139" s="520"/>
      <c r="GT139" s="520"/>
      <c r="GU139" s="573"/>
      <c r="GV139" s="520"/>
      <c r="GW139" s="520"/>
      <c r="GX139" s="520"/>
      <c r="GY139" s="520"/>
      <c r="GZ139" s="520"/>
      <c r="HA139" s="573"/>
      <c r="HB139" s="520"/>
      <c r="HC139" s="520"/>
      <c r="HD139" s="520"/>
      <c r="HE139" s="520"/>
      <c r="HF139" s="520"/>
      <c r="HG139" s="573"/>
      <c r="HH139" s="520"/>
      <c r="HI139" s="520"/>
      <c r="HJ139" s="520"/>
      <c r="HK139" s="520"/>
      <c r="HL139" s="520"/>
      <c r="HM139" s="573"/>
      <c r="HN139" s="520"/>
      <c r="HO139" s="520"/>
      <c r="HP139" s="520"/>
      <c r="HQ139" s="520"/>
      <c r="HR139" s="520"/>
      <c r="HS139" s="573"/>
      <c r="HT139" s="520"/>
      <c r="HU139" s="520"/>
      <c r="HV139" s="520"/>
      <c r="HW139" s="520"/>
      <c r="HX139" s="520"/>
      <c r="HY139" s="573"/>
      <c r="HZ139" s="520"/>
      <c r="IA139" s="520"/>
      <c r="IB139" s="520"/>
      <c r="IC139" s="520"/>
      <c r="ID139" s="520"/>
      <c r="IE139" s="573"/>
      <c r="IF139" s="520"/>
      <c r="IG139" s="520"/>
      <c r="IH139" s="520"/>
      <c r="II139" s="520"/>
      <c r="IJ139" s="520"/>
      <c r="IK139" s="573"/>
      <c r="IL139" s="520"/>
    </row>
    <row r="140" spans="1:246" ht="13.5" thickBot="1">
      <c r="A140" s="614"/>
      <c r="B140" s="663"/>
      <c r="C140" s="663"/>
      <c r="D140" s="663"/>
      <c r="E140" s="617"/>
      <c r="F140" s="663"/>
      <c r="G140" s="678"/>
      <c r="H140" s="664"/>
      <c r="I140" s="664"/>
      <c r="J140" s="1286"/>
      <c r="K140" s="1286"/>
      <c r="L140" s="1286"/>
      <c r="M140" s="1286"/>
      <c r="N140" s="1286"/>
      <c r="O140" s="1286"/>
      <c r="P140" s="1286"/>
      <c r="Q140" s="1287"/>
      <c r="R140" s="581"/>
      <c r="S140" s="186"/>
      <c r="T140" s="595"/>
      <c r="U140" s="595"/>
      <c r="V140" s="595"/>
      <c r="W140" s="186"/>
      <c r="X140" s="595"/>
      <c r="Y140" s="595"/>
      <c r="Z140" s="595"/>
      <c r="AA140" s="595"/>
      <c r="AB140" s="595"/>
      <c r="AC140" s="186"/>
      <c r="AD140" s="595"/>
      <c r="AE140" s="595"/>
      <c r="AF140" s="595"/>
      <c r="AG140" s="595"/>
      <c r="AH140" s="595"/>
      <c r="AI140" s="186"/>
      <c r="AJ140" s="595"/>
      <c r="AK140" s="595"/>
      <c r="AL140" s="595"/>
      <c r="AM140" s="595"/>
      <c r="AN140" s="595"/>
      <c r="AO140" s="186"/>
      <c r="AP140" s="595"/>
      <c r="AQ140" s="595"/>
      <c r="AR140" s="595"/>
      <c r="AS140" s="595"/>
      <c r="AT140" s="595"/>
      <c r="AU140" s="186"/>
      <c r="AV140" s="595"/>
      <c r="AW140" s="595"/>
      <c r="AX140" s="595"/>
      <c r="AY140" s="595"/>
      <c r="AZ140" s="595"/>
      <c r="BA140" s="186"/>
      <c r="BB140" s="595"/>
      <c r="BC140" s="595"/>
      <c r="BD140" s="595"/>
      <c r="BE140" s="595"/>
      <c r="BF140" s="595"/>
      <c r="BG140" s="186"/>
      <c r="BH140" s="595"/>
      <c r="BI140" s="595"/>
      <c r="BJ140" s="595"/>
      <c r="BK140" s="595"/>
      <c r="BL140" s="595"/>
      <c r="BM140" s="186"/>
      <c r="BN140" s="595"/>
      <c r="BO140" s="595"/>
      <c r="BP140" s="595"/>
      <c r="BQ140" s="595"/>
      <c r="BR140" s="595"/>
      <c r="BS140" s="186"/>
      <c r="BT140" s="595"/>
      <c r="BU140" s="595"/>
      <c r="BV140" s="595"/>
      <c r="BW140" s="595"/>
      <c r="BX140" s="595"/>
      <c r="BY140" s="186"/>
      <c r="BZ140" s="595"/>
      <c r="CA140" s="595"/>
      <c r="CB140" s="595"/>
      <c r="CC140" s="595"/>
      <c r="CD140" s="595"/>
      <c r="CE140" s="186"/>
      <c r="CF140" s="595"/>
      <c r="CG140" s="595"/>
      <c r="CH140" s="595"/>
      <c r="CI140" s="595"/>
      <c r="CJ140" s="595"/>
      <c r="CK140" s="186"/>
      <c r="CL140" s="595"/>
      <c r="CM140" s="595"/>
      <c r="CN140" s="595"/>
      <c r="CO140" s="595"/>
      <c r="CP140" s="595"/>
      <c r="CQ140" s="186"/>
      <c r="CR140" s="595"/>
      <c r="CS140" s="595"/>
      <c r="CT140" s="595"/>
      <c r="CU140" s="595"/>
      <c r="CV140" s="595"/>
      <c r="CW140" s="186"/>
      <c r="CX140" s="595"/>
      <c r="CY140" s="595"/>
      <c r="CZ140" s="595"/>
      <c r="DA140" s="595"/>
      <c r="DB140" s="595"/>
      <c r="DC140" s="186"/>
      <c r="DD140" s="595"/>
      <c r="DE140" s="595"/>
      <c r="DF140" s="595"/>
      <c r="DG140" s="595"/>
      <c r="DH140" s="595"/>
      <c r="DI140" s="186"/>
      <c r="DJ140" s="595"/>
      <c r="DK140" s="595"/>
      <c r="DL140" s="595"/>
      <c r="DM140" s="595"/>
      <c r="DN140" s="595"/>
      <c r="DO140" s="186"/>
      <c r="DP140" s="595"/>
      <c r="DQ140" s="595"/>
      <c r="DR140" s="595"/>
      <c r="DS140" s="595"/>
      <c r="DT140" s="595"/>
      <c r="DU140" s="186"/>
      <c r="DV140" s="595"/>
      <c r="DW140" s="595"/>
      <c r="DX140" s="595"/>
      <c r="DY140" s="595"/>
      <c r="DZ140" s="595"/>
      <c r="EA140" s="186"/>
      <c r="EB140" s="595"/>
      <c r="EC140" s="595"/>
      <c r="ED140" s="595"/>
      <c r="EE140" s="595"/>
      <c r="EF140" s="595"/>
      <c r="EG140" s="186"/>
      <c r="EH140" s="595"/>
      <c r="EI140" s="595"/>
      <c r="EJ140" s="595"/>
      <c r="EK140" s="595"/>
      <c r="EL140" s="595"/>
      <c r="EM140" s="186"/>
      <c r="EN140" s="595"/>
      <c r="EO140" s="595"/>
      <c r="EP140" s="595"/>
      <c r="EQ140" s="595"/>
      <c r="ER140" s="595"/>
      <c r="ES140" s="186"/>
      <c r="ET140" s="595"/>
      <c r="EU140" s="595"/>
      <c r="EV140" s="595"/>
      <c r="EW140" s="595"/>
      <c r="EX140" s="595"/>
      <c r="EY140" s="186"/>
      <c r="EZ140" s="595"/>
      <c r="FA140" s="595"/>
      <c r="FB140" s="595"/>
      <c r="FC140" s="595"/>
      <c r="FD140" s="595"/>
      <c r="FE140" s="186"/>
      <c r="FF140" s="595"/>
      <c r="FG140" s="595"/>
      <c r="FH140" s="595"/>
      <c r="FI140" s="595"/>
      <c r="FJ140" s="595"/>
      <c r="FK140" s="186"/>
      <c r="FL140" s="595"/>
      <c r="FM140" s="595"/>
      <c r="FN140" s="595"/>
      <c r="FO140" s="595"/>
      <c r="FP140" s="595"/>
      <c r="FQ140" s="186"/>
      <c r="FR140" s="595"/>
      <c r="FS140" s="595"/>
      <c r="FT140" s="595"/>
      <c r="FU140" s="595"/>
      <c r="FV140" s="595"/>
      <c r="FW140" s="186"/>
      <c r="FX140" s="595"/>
      <c r="FY140" s="595"/>
      <c r="FZ140" s="595"/>
      <c r="GA140" s="595"/>
      <c r="GB140" s="595"/>
      <c r="GC140" s="186"/>
      <c r="GD140" s="595"/>
      <c r="GE140" s="595"/>
      <c r="GF140" s="595"/>
      <c r="GG140" s="595"/>
      <c r="GH140" s="595"/>
      <c r="GI140" s="186"/>
      <c r="GJ140" s="595"/>
      <c r="GK140" s="595"/>
      <c r="GL140" s="595"/>
      <c r="GM140" s="595"/>
      <c r="GN140" s="595"/>
      <c r="GO140" s="186"/>
      <c r="GP140" s="595"/>
      <c r="GQ140" s="595"/>
      <c r="GR140" s="595"/>
      <c r="GS140" s="595"/>
      <c r="GT140" s="595"/>
      <c r="GU140" s="186"/>
      <c r="GV140" s="595"/>
      <c r="GW140" s="595"/>
      <c r="GX140" s="595"/>
      <c r="GY140" s="595"/>
      <c r="GZ140" s="595"/>
      <c r="HA140" s="186"/>
      <c r="HB140" s="595"/>
      <c r="HC140" s="595"/>
      <c r="HD140" s="595"/>
      <c r="HE140" s="595"/>
      <c r="HF140" s="595"/>
      <c r="HG140" s="186"/>
      <c r="HH140" s="595"/>
      <c r="HI140" s="595"/>
      <c r="HJ140" s="595"/>
      <c r="HK140" s="595"/>
      <c r="HL140" s="595"/>
      <c r="HM140" s="186"/>
      <c r="HN140" s="595"/>
      <c r="HO140" s="595"/>
      <c r="HP140" s="595"/>
      <c r="HQ140" s="595"/>
      <c r="HR140" s="595"/>
      <c r="HS140" s="186"/>
      <c r="HT140" s="595"/>
      <c r="HU140" s="595"/>
      <c r="HV140" s="595"/>
      <c r="HW140" s="595"/>
      <c r="HX140" s="595"/>
      <c r="HY140" s="186"/>
      <c r="HZ140" s="595"/>
      <c r="IA140" s="595"/>
      <c r="IB140" s="595"/>
      <c r="IC140" s="595"/>
      <c r="ID140" s="595"/>
      <c r="IE140" s="186"/>
      <c r="IF140" s="595"/>
      <c r="IG140" s="595"/>
      <c r="IH140" s="595"/>
      <c r="II140" s="595"/>
      <c r="IJ140" s="595"/>
      <c r="IK140" s="186"/>
      <c r="IL140" s="595"/>
    </row>
    <row r="141" spans="1:246">
      <c r="A141" s="575"/>
      <c r="B141" s="575"/>
      <c r="C141" s="575"/>
      <c r="D141" s="575"/>
      <c r="E141" s="575"/>
      <c r="F141" s="575"/>
      <c r="G141" s="575"/>
      <c r="H141" s="575"/>
      <c r="I141" s="575"/>
      <c r="J141" s="666"/>
      <c r="K141" s="666"/>
      <c r="L141" s="666"/>
      <c r="M141" s="666"/>
      <c r="N141" s="666"/>
      <c r="O141" s="666"/>
      <c r="P141" s="666"/>
      <c r="Q141" s="666"/>
      <c r="R141" s="575"/>
    </row>
    <row r="142" spans="1:246">
      <c r="A142" s="575"/>
      <c r="B142" s="575"/>
      <c r="C142" s="575"/>
      <c r="D142" s="575"/>
      <c r="E142" s="575"/>
      <c r="F142" s="575"/>
      <c r="G142" s="575"/>
      <c r="H142" s="575"/>
      <c r="I142" s="575"/>
      <c r="J142" s="666"/>
      <c r="K142" s="666"/>
      <c r="L142" s="666"/>
      <c r="M142" s="666"/>
      <c r="N142" s="666"/>
      <c r="O142" s="666"/>
      <c r="P142" s="666"/>
      <c r="Q142" s="666"/>
      <c r="R142" s="575"/>
    </row>
    <row r="143" spans="1:246" s="303" customFormat="1" ht="18.75" thickBot="1">
      <c r="A143" s="832" t="s">
        <v>634</v>
      </c>
      <c r="B143" s="834"/>
      <c r="C143" s="834"/>
      <c r="D143" s="834"/>
      <c r="E143" s="834"/>
      <c r="F143" s="834"/>
      <c r="G143" s="834"/>
      <c r="H143" s="834"/>
      <c r="I143" s="834"/>
      <c r="J143" s="843"/>
      <c r="K143" s="843"/>
      <c r="L143" s="843"/>
      <c r="M143" s="843"/>
      <c r="N143" s="843"/>
      <c r="O143" s="843"/>
      <c r="P143" s="843"/>
      <c r="Q143" s="843"/>
      <c r="R143" s="576"/>
    </row>
    <row r="144" spans="1:246" ht="48.75" customHeight="1">
      <c r="A144" s="1259" t="s">
        <v>688</v>
      </c>
      <c r="B144" s="1260"/>
      <c r="C144" s="1260"/>
      <c r="D144" s="1260"/>
      <c r="E144" s="1260"/>
      <c r="F144" s="1260"/>
      <c r="G144" s="840" t="s">
        <v>637</v>
      </c>
      <c r="H144" s="841" t="s">
        <v>760</v>
      </c>
      <c r="I144" s="841" t="s">
        <v>638</v>
      </c>
      <c r="J144" s="1247" t="s">
        <v>77</v>
      </c>
      <c r="K144" s="1248"/>
      <c r="L144" s="1248"/>
      <c r="M144" s="1248"/>
      <c r="N144" s="1248"/>
      <c r="O144" s="1248"/>
      <c r="P144" s="1248"/>
      <c r="Q144" s="1249"/>
      <c r="R144" s="581"/>
      <c r="S144" s="186"/>
      <c r="T144" s="595"/>
      <c r="U144" s="595"/>
      <c r="V144" s="595"/>
      <c r="W144" s="186"/>
      <c r="X144" s="595"/>
      <c r="Y144" s="595"/>
      <c r="Z144" s="595"/>
      <c r="AA144" s="595"/>
      <c r="AB144" s="595"/>
      <c r="AC144" s="186"/>
      <c r="AD144" s="595"/>
      <c r="AE144" s="595"/>
      <c r="AF144" s="595"/>
      <c r="AG144" s="595"/>
      <c r="AH144" s="595"/>
      <c r="AI144" s="186"/>
      <c r="AJ144" s="595"/>
      <c r="AK144" s="595"/>
      <c r="AL144" s="595"/>
      <c r="AM144" s="595"/>
      <c r="AN144" s="595"/>
      <c r="AO144" s="186"/>
      <c r="AP144" s="595"/>
      <c r="AQ144" s="595"/>
      <c r="AR144" s="595"/>
      <c r="AS144" s="595"/>
      <c r="AT144" s="595"/>
      <c r="AU144" s="186"/>
      <c r="AV144" s="595"/>
      <c r="AW144" s="595"/>
      <c r="AX144" s="595"/>
      <c r="AY144" s="595"/>
      <c r="AZ144" s="595"/>
      <c r="BA144" s="186"/>
      <c r="BB144" s="595"/>
      <c r="BC144" s="595"/>
      <c r="BD144" s="595"/>
      <c r="BE144" s="595"/>
      <c r="BF144" s="595"/>
      <c r="BG144" s="186"/>
      <c r="BH144" s="595"/>
      <c r="BI144" s="595"/>
      <c r="BJ144" s="595"/>
      <c r="BK144" s="595"/>
      <c r="BL144" s="595"/>
      <c r="BM144" s="186"/>
      <c r="BN144" s="595"/>
      <c r="BO144" s="595"/>
      <c r="BP144" s="595"/>
      <c r="BQ144" s="595"/>
      <c r="BR144" s="595"/>
      <c r="BS144" s="186"/>
      <c r="BT144" s="595"/>
      <c r="BU144" s="595"/>
      <c r="BV144" s="595"/>
      <c r="BW144" s="595"/>
      <c r="BX144" s="595"/>
      <c r="BY144" s="186"/>
      <c r="BZ144" s="595"/>
      <c r="CA144" s="595"/>
      <c r="CB144" s="595"/>
      <c r="CC144" s="595"/>
      <c r="CD144" s="595"/>
      <c r="CE144" s="186"/>
      <c r="CF144" s="595"/>
      <c r="CG144" s="595"/>
      <c r="CH144" s="595"/>
      <c r="CI144" s="595"/>
      <c r="CJ144" s="595"/>
      <c r="CK144" s="186"/>
      <c r="CL144" s="595"/>
      <c r="CM144" s="595"/>
      <c r="CN144" s="595"/>
      <c r="CO144" s="595"/>
      <c r="CP144" s="595"/>
      <c r="CQ144" s="186"/>
      <c r="CR144" s="595"/>
      <c r="CS144" s="595"/>
      <c r="CT144" s="595"/>
      <c r="CU144" s="595"/>
      <c r="CV144" s="595"/>
      <c r="CW144" s="186"/>
      <c r="CX144" s="595"/>
      <c r="CY144" s="595"/>
      <c r="CZ144" s="595"/>
      <c r="DA144" s="595"/>
      <c r="DB144" s="595"/>
      <c r="DC144" s="186"/>
      <c r="DD144" s="595"/>
      <c r="DE144" s="595"/>
      <c r="DF144" s="595"/>
      <c r="DG144" s="595"/>
      <c r="DH144" s="595"/>
      <c r="DI144" s="186"/>
      <c r="DJ144" s="595"/>
      <c r="DK144" s="595"/>
      <c r="DL144" s="595"/>
      <c r="DM144" s="595"/>
      <c r="DN144" s="595"/>
      <c r="DO144" s="186"/>
      <c r="DP144" s="595"/>
      <c r="DQ144" s="595"/>
      <c r="DR144" s="595"/>
      <c r="DS144" s="595"/>
      <c r="DT144" s="595"/>
      <c r="DU144" s="186"/>
      <c r="DV144" s="595"/>
      <c r="DW144" s="595"/>
      <c r="DX144" s="595"/>
      <c r="DY144" s="595"/>
      <c r="DZ144" s="595"/>
      <c r="EA144" s="186"/>
      <c r="EB144" s="595"/>
      <c r="EC144" s="595"/>
      <c r="ED144" s="595"/>
      <c r="EE144" s="595"/>
      <c r="EF144" s="595"/>
      <c r="EG144" s="186"/>
      <c r="EH144" s="595"/>
      <c r="EI144" s="595"/>
      <c r="EJ144" s="595"/>
      <c r="EK144" s="595"/>
      <c r="EL144" s="595"/>
      <c r="EM144" s="186"/>
      <c r="EN144" s="595"/>
      <c r="EO144" s="595"/>
      <c r="EP144" s="595"/>
      <c r="EQ144" s="595"/>
      <c r="ER144" s="595"/>
      <c r="ES144" s="186"/>
      <c r="ET144" s="595"/>
      <c r="EU144" s="595"/>
      <c r="EV144" s="595"/>
      <c r="EW144" s="595"/>
      <c r="EX144" s="595"/>
      <c r="EY144" s="186"/>
      <c r="EZ144" s="595"/>
      <c r="FA144" s="595"/>
      <c r="FB144" s="595"/>
      <c r="FC144" s="595"/>
      <c r="FD144" s="595"/>
      <c r="FE144" s="186"/>
      <c r="FF144" s="595"/>
      <c r="FG144" s="595"/>
      <c r="FH144" s="595"/>
      <c r="FI144" s="595"/>
      <c r="FJ144" s="595"/>
      <c r="FK144" s="186"/>
      <c r="FL144" s="595"/>
      <c r="FM144" s="595"/>
      <c r="FN144" s="595"/>
      <c r="FO144" s="595"/>
      <c r="FP144" s="595"/>
      <c r="FQ144" s="186"/>
      <c r="FR144" s="595"/>
      <c r="FS144" s="595"/>
      <c r="FT144" s="595"/>
      <c r="FU144" s="595"/>
      <c r="FV144" s="595"/>
      <c r="FW144" s="186"/>
      <c r="FX144" s="595"/>
      <c r="FY144" s="595"/>
      <c r="FZ144" s="595"/>
      <c r="GA144" s="595"/>
      <c r="GB144" s="595"/>
      <c r="GC144" s="186"/>
      <c r="GD144" s="595"/>
      <c r="GE144" s="595"/>
      <c r="GF144" s="595"/>
      <c r="GG144" s="595"/>
      <c r="GH144" s="595"/>
      <c r="GI144" s="186"/>
      <c r="GJ144" s="595"/>
      <c r="GK144" s="595"/>
      <c r="GL144" s="595"/>
      <c r="GM144" s="595"/>
      <c r="GN144" s="595"/>
      <c r="GO144" s="186"/>
      <c r="GP144" s="595"/>
      <c r="GQ144" s="595"/>
      <c r="GR144" s="595"/>
      <c r="GS144" s="595"/>
      <c r="GT144" s="595"/>
      <c r="GU144" s="186"/>
      <c r="GV144" s="595"/>
      <c r="GW144" s="595"/>
      <c r="GX144" s="595"/>
      <c r="GY144" s="595"/>
      <c r="GZ144" s="595"/>
      <c r="HA144" s="186"/>
      <c r="HB144" s="595"/>
      <c r="HC144" s="595"/>
      <c r="HD144" s="595"/>
      <c r="HE144" s="595"/>
      <c r="HF144" s="595"/>
      <c r="HG144" s="186"/>
      <c r="HH144" s="595"/>
      <c r="HI144" s="595"/>
      <c r="HJ144" s="595"/>
      <c r="HK144" s="595"/>
      <c r="HL144" s="595"/>
      <c r="HM144" s="186"/>
      <c r="HN144" s="595"/>
      <c r="HO144" s="595"/>
      <c r="HP144" s="595"/>
      <c r="HQ144" s="595"/>
      <c r="HR144" s="595"/>
      <c r="HS144" s="186"/>
      <c r="HT144" s="595"/>
      <c r="HU144" s="595"/>
      <c r="HV144" s="595"/>
      <c r="HW144" s="595"/>
      <c r="HX144" s="595"/>
      <c r="HY144" s="186"/>
      <c r="HZ144" s="595"/>
      <c r="IA144" s="595"/>
      <c r="IB144" s="595"/>
      <c r="IC144" s="595"/>
      <c r="ID144" s="595"/>
      <c r="IE144" s="186"/>
      <c r="IF144" s="595"/>
      <c r="IG144" s="595"/>
      <c r="IH144" s="595"/>
      <c r="II144" s="595"/>
      <c r="IJ144" s="595"/>
      <c r="IK144" s="186"/>
      <c r="IL144" s="595"/>
    </row>
    <row r="145" spans="1:246">
      <c r="A145" s="587"/>
      <c r="B145" s="594" t="s">
        <v>636</v>
      </c>
      <c r="C145" s="595"/>
      <c r="D145" s="595"/>
      <c r="E145" s="595"/>
      <c r="F145" s="595"/>
      <c r="G145" s="549"/>
      <c r="H145" s="548"/>
      <c r="I145" s="548"/>
      <c r="J145" s="1288"/>
      <c r="K145" s="1288"/>
      <c r="L145" s="1288"/>
      <c r="M145" s="1288"/>
      <c r="N145" s="1288"/>
      <c r="O145" s="1288"/>
      <c r="P145" s="1288"/>
      <c r="Q145" s="1289"/>
      <c r="R145" s="581"/>
      <c r="S145" s="186"/>
      <c r="T145" s="595"/>
      <c r="U145" s="595"/>
      <c r="V145" s="595"/>
      <c r="W145" s="186"/>
      <c r="X145" s="595"/>
      <c r="Y145" s="595"/>
      <c r="Z145" s="595"/>
      <c r="AA145" s="595"/>
      <c r="AB145" s="595"/>
      <c r="AC145" s="186"/>
      <c r="AD145" s="595"/>
      <c r="AE145" s="595"/>
      <c r="AF145" s="595"/>
      <c r="AG145" s="595"/>
      <c r="AH145" s="595"/>
      <c r="AI145" s="186"/>
      <c r="AJ145" s="595"/>
      <c r="AK145" s="595"/>
      <c r="AL145" s="595"/>
      <c r="AM145" s="595"/>
      <c r="AN145" s="595"/>
      <c r="AO145" s="186"/>
      <c r="AP145" s="595"/>
      <c r="AQ145" s="595"/>
      <c r="AR145" s="595"/>
      <c r="AS145" s="595"/>
      <c r="AT145" s="595"/>
      <c r="AU145" s="186"/>
      <c r="AV145" s="595"/>
      <c r="AW145" s="595"/>
      <c r="AX145" s="595"/>
      <c r="AY145" s="595"/>
      <c r="AZ145" s="595"/>
      <c r="BA145" s="186"/>
      <c r="BB145" s="595"/>
      <c r="BC145" s="595"/>
      <c r="BD145" s="595"/>
      <c r="BE145" s="595"/>
      <c r="BF145" s="595"/>
      <c r="BG145" s="186"/>
      <c r="BH145" s="595"/>
      <c r="BI145" s="595"/>
      <c r="BJ145" s="595"/>
      <c r="BK145" s="595"/>
      <c r="BL145" s="595"/>
      <c r="BM145" s="186"/>
      <c r="BN145" s="595"/>
      <c r="BO145" s="595"/>
      <c r="BP145" s="595"/>
      <c r="BQ145" s="595"/>
      <c r="BR145" s="595"/>
      <c r="BS145" s="186"/>
      <c r="BT145" s="595"/>
      <c r="BU145" s="595"/>
      <c r="BV145" s="595"/>
      <c r="BW145" s="595"/>
      <c r="BX145" s="595"/>
      <c r="BY145" s="186"/>
      <c r="BZ145" s="595"/>
      <c r="CA145" s="595"/>
      <c r="CB145" s="595"/>
      <c r="CC145" s="595"/>
      <c r="CD145" s="595"/>
      <c r="CE145" s="186"/>
      <c r="CF145" s="595"/>
      <c r="CG145" s="595"/>
      <c r="CH145" s="595"/>
      <c r="CI145" s="595"/>
      <c r="CJ145" s="595"/>
      <c r="CK145" s="186"/>
      <c r="CL145" s="595"/>
      <c r="CM145" s="595"/>
      <c r="CN145" s="595"/>
      <c r="CO145" s="595"/>
      <c r="CP145" s="595"/>
      <c r="CQ145" s="186"/>
      <c r="CR145" s="595"/>
      <c r="CS145" s="595"/>
      <c r="CT145" s="595"/>
      <c r="CU145" s="595"/>
      <c r="CV145" s="595"/>
      <c r="CW145" s="186"/>
      <c r="CX145" s="595"/>
      <c r="CY145" s="595"/>
      <c r="CZ145" s="595"/>
      <c r="DA145" s="595"/>
      <c r="DB145" s="595"/>
      <c r="DC145" s="186"/>
      <c r="DD145" s="595"/>
      <c r="DE145" s="595"/>
      <c r="DF145" s="595"/>
      <c r="DG145" s="595"/>
      <c r="DH145" s="595"/>
      <c r="DI145" s="186"/>
      <c r="DJ145" s="595"/>
      <c r="DK145" s="595"/>
      <c r="DL145" s="595"/>
      <c r="DM145" s="595"/>
      <c r="DN145" s="595"/>
      <c r="DO145" s="186"/>
      <c r="DP145" s="595"/>
      <c r="DQ145" s="595"/>
      <c r="DR145" s="595"/>
      <c r="DS145" s="595"/>
      <c r="DT145" s="595"/>
      <c r="DU145" s="186"/>
      <c r="DV145" s="595"/>
      <c r="DW145" s="595"/>
      <c r="DX145" s="595"/>
      <c r="DY145" s="595"/>
      <c r="DZ145" s="595"/>
      <c r="EA145" s="186"/>
      <c r="EB145" s="595"/>
      <c r="EC145" s="595"/>
      <c r="ED145" s="595"/>
      <c r="EE145" s="595"/>
      <c r="EF145" s="595"/>
      <c r="EG145" s="186"/>
      <c r="EH145" s="595"/>
      <c r="EI145" s="595"/>
      <c r="EJ145" s="595"/>
      <c r="EK145" s="595"/>
      <c r="EL145" s="595"/>
      <c r="EM145" s="186"/>
      <c r="EN145" s="595"/>
      <c r="EO145" s="595"/>
      <c r="EP145" s="595"/>
      <c r="EQ145" s="595"/>
      <c r="ER145" s="595"/>
      <c r="ES145" s="186"/>
      <c r="ET145" s="595"/>
      <c r="EU145" s="595"/>
      <c r="EV145" s="595"/>
      <c r="EW145" s="595"/>
      <c r="EX145" s="595"/>
      <c r="EY145" s="186"/>
      <c r="EZ145" s="595"/>
      <c r="FA145" s="595"/>
      <c r="FB145" s="595"/>
      <c r="FC145" s="595"/>
      <c r="FD145" s="595"/>
      <c r="FE145" s="186"/>
      <c r="FF145" s="595"/>
      <c r="FG145" s="595"/>
      <c r="FH145" s="595"/>
      <c r="FI145" s="595"/>
      <c r="FJ145" s="595"/>
      <c r="FK145" s="186"/>
      <c r="FL145" s="595"/>
      <c r="FM145" s="595"/>
      <c r="FN145" s="595"/>
      <c r="FO145" s="595"/>
      <c r="FP145" s="595"/>
      <c r="FQ145" s="186"/>
      <c r="FR145" s="595"/>
      <c r="FS145" s="595"/>
      <c r="FT145" s="595"/>
      <c r="FU145" s="595"/>
      <c r="FV145" s="595"/>
      <c r="FW145" s="186"/>
      <c r="FX145" s="595"/>
      <c r="FY145" s="595"/>
      <c r="FZ145" s="595"/>
      <c r="GA145" s="595"/>
      <c r="GB145" s="595"/>
      <c r="GC145" s="186"/>
      <c r="GD145" s="595"/>
      <c r="GE145" s="595"/>
      <c r="GF145" s="595"/>
      <c r="GG145" s="595"/>
      <c r="GH145" s="595"/>
      <c r="GI145" s="186"/>
      <c r="GJ145" s="595"/>
      <c r="GK145" s="595"/>
      <c r="GL145" s="595"/>
      <c r="GM145" s="595"/>
      <c r="GN145" s="595"/>
      <c r="GO145" s="186"/>
      <c r="GP145" s="595"/>
      <c r="GQ145" s="595"/>
      <c r="GR145" s="595"/>
      <c r="GS145" s="595"/>
      <c r="GT145" s="595"/>
      <c r="GU145" s="186"/>
      <c r="GV145" s="595"/>
      <c r="GW145" s="595"/>
      <c r="GX145" s="595"/>
      <c r="GY145" s="595"/>
      <c r="GZ145" s="595"/>
      <c r="HA145" s="186"/>
      <c r="HB145" s="595"/>
      <c r="HC145" s="595"/>
      <c r="HD145" s="595"/>
      <c r="HE145" s="595"/>
      <c r="HF145" s="595"/>
      <c r="HG145" s="186"/>
      <c r="HH145" s="595"/>
      <c r="HI145" s="595"/>
      <c r="HJ145" s="595"/>
      <c r="HK145" s="595"/>
      <c r="HL145" s="595"/>
      <c r="HM145" s="186"/>
      <c r="HN145" s="595"/>
      <c r="HO145" s="595"/>
      <c r="HP145" s="595"/>
      <c r="HQ145" s="595"/>
      <c r="HR145" s="595"/>
      <c r="HS145" s="186"/>
      <c r="HT145" s="595"/>
      <c r="HU145" s="595"/>
      <c r="HV145" s="595"/>
      <c r="HW145" s="595"/>
      <c r="HX145" s="595"/>
      <c r="HY145" s="186"/>
      <c r="HZ145" s="595"/>
      <c r="IA145" s="595"/>
      <c r="IB145" s="595"/>
      <c r="IC145" s="595"/>
      <c r="ID145" s="595"/>
      <c r="IE145" s="186"/>
      <c r="IF145" s="595"/>
      <c r="IG145" s="595"/>
      <c r="IH145" s="595"/>
      <c r="II145" s="595"/>
      <c r="IJ145" s="595"/>
      <c r="IK145" s="186"/>
      <c r="IL145" s="595"/>
    </row>
    <row r="146" spans="1:246">
      <c r="A146" s="587"/>
      <c r="B146" s="594"/>
      <c r="C146" s="595"/>
      <c r="D146" s="595"/>
      <c r="E146" s="595"/>
      <c r="F146" s="595"/>
      <c r="G146" s="549"/>
      <c r="H146" s="548"/>
      <c r="I146" s="548"/>
      <c r="J146" s="1288"/>
      <c r="K146" s="1288"/>
      <c r="L146" s="1288"/>
      <c r="M146" s="1288"/>
      <c r="N146" s="1288"/>
      <c r="O146" s="1288"/>
      <c r="P146" s="1288"/>
      <c r="Q146" s="1289"/>
      <c r="R146" s="581"/>
      <c r="S146" s="186"/>
      <c r="T146" s="595"/>
      <c r="U146" s="595"/>
      <c r="V146" s="595"/>
      <c r="W146" s="186"/>
      <c r="X146" s="595"/>
      <c r="Y146" s="595"/>
      <c r="Z146" s="595"/>
      <c r="AA146" s="595"/>
      <c r="AB146" s="595"/>
      <c r="AC146" s="186"/>
      <c r="AD146" s="595"/>
      <c r="AE146" s="595"/>
      <c r="AF146" s="595"/>
      <c r="AG146" s="595"/>
      <c r="AH146" s="595"/>
      <c r="AI146" s="186"/>
      <c r="AJ146" s="595"/>
      <c r="AK146" s="595"/>
      <c r="AL146" s="595"/>
      <c r="AM146" s="595"/>
      <c r="AN146" s="595"/>
      <c r="AO146" s="186"/>
      <c r="AP146" s="595"/>
      <c r="AQ146" s="595"/>
      <c r="AR146" s="595"/>
      <c r="AS146" s="595"/>
      <c r="AT146" s="595"/>
      <c r="AU146" s="186"/>
      <c r="AV146" s="595"/>
      <c r="AW146" s="595"/>
      <c r="AX146" s="595"/>
      <c r="AY146" s="595"/>
      <c r="AZ146" s="595"/>
      <c r="BA146" s="186"/>
      <c r="BB146" s="595"/>
      <c r="BC146" s="595"/>
      <c r="BD146" s="595"/>
      <c r="BE146" s="595"/>
      <c r="BF146" s="595"/>
      <c r="BG146" s="186"/>
      <c r="BH146" s="595"/>
      <c r="BI146" s="595"/>
      <c r="BJ146" s="595"/>
      <c r="BK146" s="595"/>
      <c r="BL146" s="595"/>
      <c r="BM146" s="186"/>
      <c r="BN146" s="595"/>
      <c r="BO146" s="595"/>
      <c r="BP146" s="595"/>
      <c r="BQ146" s="595"/>
      <c r="BR146" s="595"/>
      <c r="BS146" s="186"/>
      <c r="BT146" s="595"/>
      <c r="BU146" s="595"/>
      <c r="BV146" s="595"/>
      <c r="BW146" s="595"/>
      <c r="BX146" s="595"/>
      <c r="BY146" s="186"/>
      <c r="BZ146" s="595"/>
      <c r="CA146" s="595"/>
      <c r="CB146" s="595"/>
      <c r="CC146" s="595"/>
      <c r="CD146" s="595"/>
      <c r="CE146" s="186"/>
      <c r="CF146" s="595"/>
      <c r="CG146" s="595"/>
      <c r="CH146" s="595"/>
      <c r="CI146" s="595"/>
      <c r="CJ146" s="595"/>
      <c r="CK146" s="186"/>
      <c r="CL146" s="595"/>
      <c r="CM146" s="595"/>
      <c r="CN146" s="595"/>
      <c r="CO146" s="595"/>
      <c r="CP146" s="595"/>
      <c r="CQ146" s="186"/>
      <c r="CR146" s="595"/>
      <c r="CS146" s="595"/>
      <c r="CT146" s="595"/>
      <c r="CU146" s="595"/>
      <c r="CV146" s="595"/>
      <c r="CW146" s="186"/>
      <c r="CX146" s="595"/>
      <c r="CY146" s="595"/>
      <c r="CZ146" s="595"/>
      <c r="DA146" s="595"/>
      <c r="DB146" s="595"/>
      <c r="DC146" s="186"/>
      <c r="DD146" s="595"/>
      <c r="DE146" s="595"/>
      <c r="DF146" s="595"/>
      <c r="DG146" s="595"/>
      <c r="DH146" s="595"/>
      <c r="DI146" s="186"/>
      <c r="DJ146" s="595"/>
      <c r="DK146" s="595"/>
      <c r="DL146" s="595"/>
      <c r="DM146" s="595"/>
      <c r="DN146" s="595"/>
      <c r="DO146" s="186"/>
      <c r="DP146" s="595"/>
      <c r="DQ146" s="595"/>
      <c r="DR146" s="595"/>
      <c r="DS146" s="595"/>
      <c r="DT146" s="595"/>
      <c r="DU146" s="186"/>
      <c r="DV146" s="595"/>
      <c r="DW146" s="595"/>
      <c r="DX146" s="595"/>
      <c r="DY146" s="595"/>
      <c r="DZ146" s="595"/>
      <c r="EA146" s="186"/>
      <c r="EB146" s="595"/>
      <c r="EC146" s="595"/>
      <c r="ED146" s="595"/>
      <c r="EE146" s="595"/>
      <c r="EF146" s="595"/>
      <c r="EG146" s="186"/>
      <c r="EH146" s="595"/>
      <c r="EI146" s="595"/>
      <c r="EJ146" s="595"/>
      <c r="EK146" s="595"/>
      <c r="EL146" s="595"/>
      <c r="EM146" s="186"/>
      <c r="EN146" s="595"/>
      <c r="EO146" s="595"/>
      <c r="EP146" s="595"/>
      <c r="EQ146" s="595"/>
      <c r="ER146" s="595"/>
      <c r="ES146" s="186"/>
      <c r="ET146" s="595"/>
      <c r="EU146" s="595"/>
      <c r="EV146" s="595"/>
      <c r="EW146" s="595"/>
      <c r="EX146" s="595"/>
      <c r="EY146" s="186"/>
      <c r="EZ146" s="595"/>
      <c r="FA146" s="595"/>
      <c r="FB146" s="595"/>
      <c r="FC146" s="595"/>
      <c r="FD146" s="595"/>
      <c r="FE146" s="186"/>
      <c r="FF146" s="595"/>
      <c r="FG146" s="595"/>
      <c r="FH146" s="595"/>
      <c r="FI146" s="595"/>
      <c r="FJ146" s="595"/>
      <c r="FK146" s="186"/>
      <c r="FL146" s="595"/>
      <c r="FM146" s="595"/>
      <c r="FN146" s="595"/>
      <c r="FO146" s="595"/>
      <c r="FP146" s="595"/>
      <c r="FQ146" s="186"/>
      <c r="FR146" s="595"/>
      <c r="FS146" s="595"/>
      <c r="FT146" s="595"/>
      <c r="FU146" s="595"/>
      <c r="FV146" s="595"/>
      <c r="FW146" s="186"/>
      <c r="FX146" s="595"/>
      <c r="FY146" s="595"/>
      <c r="FZ146" s="595"/>
      <c r="GA146" s="595"/>
      <c r="GB146" s="595"/>
      <c r="GC146" s="186"/>
      <c r="GD146" s="595"/>
      <c r="GE146" s="595"/>
      <c r="GF146" s="595"/>
      <c r="GG146" s="595"/>
      <c r="GH146" s="595"/>
      <c r="GI146" s="186"/>
      <c r="GJ146" s="595"/>
      <c r="GK146" s="595"/>
      <c r="GL146" s="595"/>
      <c r="GM146" s="595"/>
      <c r="GN146" s="595"/>
      <c r="GO146" s="186"/>
      <c r="GP146" s="595"/>
      <c r="GQ146" s="595"/>
      <c r="GR146" s="595"/>
      <c r="GS146" s="595"/>
      <c r="GT146" s="595"/>
      <c r="GU146" s="186"/>
      <c r="GV146" s="595"/>
      <c r="GW146" s="595"/>
      <c r="GX146" s="595"/>
      <c r="GY146" s="595"/>
      <c r="GZ146" s="595"/>
      <c r="HA146" s="186"/>
      <c r="HB146" s="595"/>
      <c r="HC146" s="595"/>
      <c r="HD146" s="595"/>
      <c r="HE146" s="595"/>
      <c r="HF146" s="595"/>
      <c r="HG146" s="186"/>
      <c r="HH146" s="595"/>
      <c r="HI146" s="595"/>
      <c r="HJ146" s="595"/>
      <c r="HK146" s="595"/>
      <c r="HL146" s="595"/>
      <c r="HM146" s="186"/>
      <c r="HN146" s="595"/>
      <c r="HO146" s="595"/>
      <c r="HP146" s="595"/>
      <c r="HQ146" s="595"/>
      <c r="HR146" s="595"/>
      <c r="HS146" s="186"/>
      <c r="HT146" s="595"/>
      <c r="HU146" s="595"/>
      <c r="HV146" s="595"/>
      <c r="HW146" s="595"/>
      <c r="HX146" s="595"/>
      <c r="HY146" s="186"/>
      <c r="HZ146" s="595"/>
      <c r="IA146" s="595"/>
      <c r="IB146" s="595"/>
      <c r="IC146" s="595"/>
      <c r="ID146" s="595"/>
      <c r="IE146" s="186"/>
      <c r="IF146" s="595"/>
      <c r="IG146" s="595"/>
      <c r="IH146" s="595"/>
      <c r="II146" s="595"/>
      <c r="IJ146" s="595"/>
      <c r="IK146" s="186"/>
      <c r="IL146" s="595"/>
    </row>
    <row r="147" spans="1:246" s="159" customFormat="1" ht="15.75" customHeight="1">
      <c r="A147" s="587">
        <f>'Appendix A'!A171</f>
        <v>99</v>
      </c>
      <c r="B147" s="595"/>
      <c r="C147" s="595" t="str">
        <f>'Appendix A'!C171</f>
        <v>Long Term Interest</v>
      </c>
      <c r="D147" s="595"/>
      <c r="F147" s="623" t="s">
        <v>117</v>
      </c>
      <c r="G147" s="1179">
        <v>299115016</v>
      </c>
      <c r="H147" s="1181">
        <v>0</v>
      </c>
      <c r="I147" s="550">
        <f>H147+G147</f>
        <v>299115016</v>
      </c>
      <c r="J147" s="1284" t="s">
        <v>372</v>
      </c>
      <c r="K147" s="1284"/>
      <c r="L147" s="1284"/>
      <c r="M147" s="1284"/>
      <c r="N147" s="1284"/>
      <c r="O147" s="1284"/>
      <c r="P147" s="1284"/>
      <c r="Q147" s="1285"/>
      <c r="R147" s="581"/>
      <c r="S147" s="186"/>
      <c r="T147" s="595"/>
      <c r="U147" s="595"/>
      <c r="V147" s="595"/>
      <c r="W147" s="186"/>
      <c r="X147" s="595"/>
      <c r="Y147" s="595"/>
      <c r="Z147" s="595"/>
      <c r="AA147" s="595"/>
      <c r="AB147" s="595"/>
      <c r="AC147" s="186"/>
      <c r="AD147" s="595"/>
      <c r="AE147" s="595"/>
      <c r="AF147" s="595"/>
      <c r="AG147" s="595"/>
      <c r="AH147" s="595"/>
      <c r="AI147" s="186"/>
      <c r="AJ147" s="595"/>
      <c r="AK147" s="595"/>
      <c r="AL147" s="595"/>
      <c r="AM147" s="595"/>
      <c r="AN147" s="595"/>
      <c r="AO147" s="186"/>
      <c r="AP147" s="595"/>
      <c r="AQ147" s="595"/>
      <c r="AR147" s="595"/>
      <c r="AS147" s="595"/>
      <c r="AT147" s="595"/>
      <c r="AU147" s="186"/>
      <c r="AV147" s="595"/>
      <c r="AW147" s="595"/>
      <c r="AX147" s="595"/>
      <c r="AY147" s="595"/>
      <c r="AZ147" s="595"/>
      <c r="BA147" s="186"/>
      <c r="BB147" s="595"/>
      <c r="BC147" s="595"/>
      <c r="BD147" s="595"/>
      <c r="BE147" s="595"/>
      <c r="BF147" s="595"/>
      <c r="BG147" s="186"/>
      <c r="BH147" s="595"/>
      <c r="BI147" s="595"/>
      <c r="BJ147" s="595"/>
      <c r="BK147" s="595"/>
      <c r="BL147" s="595"/>
      <c r="BM147" s="186"/>
      <c r="BN147" s="595"/>
      <c r="BO147" s="595"/>
      <c r="BP147" s="595"/>
      <c r="BQ147" s="595"/>
      <c r="BR147" s="595"/>
      <c r="BS147" s="186"/>
      <c r="BT147" s="595"/>
      <c r="BU147" s="595"/>
      <c r="BV147" s="595"/>
      <c r="BW147" s="595"/>
      <c r="BX147" s="595"/>
      <c r="BY147" s="186"/>
      <c r="BZ147" s="595"/>
      <c r="CA147" s="595"/>
      <c r="CB147" s="595"/>
      <c r="CC147" s="595"/>
      <c r="CD147" s="595"/>
      <c r="CE147" s="186"/>
      <c r="CF147" s="595"/>
      <c r="CG147" s="595"/>
      <c r="CH147" s="595"/>
      <c r="CI147" s="595"/>
      <c r="CJ147" s="595"/>
      <c r="CK147" s="186"/>
      <c r="CL147" s="595"/>
      <c r="CM147" s="595"/>
      <c r="CN147" s="595"/>
      <c r="CO147" s="595"/>
      <c r="CP147" s="595"/>
      <c r="CQ147" s="186"/>
      <c r="CR147" s="595"/>
      <c r="CS147" s="595"/>
      <c r="CT147" s="595"/>
      <c r="CU147" s="595"/>
      <c r="CV147" s="595"/>
      <c r="CW147" s="186"/>
      <c r="CX147" s="595"/>
      <c r="CY147" s="595"/>
      <c r="CZ147" s="595"/>
      <c r="DA147" s="595"/>
      <c r="DB147" s="595"/>
      <c r="DC147" s="186"/>
      <c r="DD147" s="595"/>
      <c r="DE147" s="595"/>
      <c r="DF147" s="595"/>
      <c r="DG147" s="595"/>
      <c r="DH147" s="595"/>
      <c r="DI147" s="186"/>
      <c r="DJ147" s="595"/>
      <c r="DK147" s="595"/>
      <c r="DL147" s="595"/>
      <c r="DM147" s="595"/>
      <c r="DN147" s="595"/>
      <c r="DO147" s="186"/>
      <c r="DP147" s="595"/>
      <c r="DQ147" s="595"/>
      <c r="DR147" s="595"/>
      <c r="DS147" s="595"/>
      <c r="DT147" s="595"/>
      <c r="DU147" s="186"/>
      <c r="DV147" s="595"/>
      <c r="DW147" s="595"/>
      <c r="DX147" s="595"/>
      <c r="DY147" s="595"/>
      <c r="DZ147" s="595"/>
      <c r="EA147" s="186"/>
      <c r="EB147" s="595"/>
      <c r="EC147" s="595"/>
      <c r="ED147" s="595"/>
      <c r="EE147" s="595"/>
      <c r="EF147" s="595"/>
      <c r="EG147" s="186"/>
      <c r="EH147" s="595"/>
      <c r="EI147" s="595"/>
      <c r="EJ147" s="595"/>
      <c r="EK147" s="595"/>
      <c r="EL147" s="595"/>
      <c r="EM147" s="186"/>
      <c r="EN147" s="595"/>
      <c r="EO147" s="595"/>
      <c r="EP147" s="595"/>
      <c r="EQ147" s="595"/>
      <c r="ER147" s="595"/>
      <c r="ES147" s="186"/>
      <c r="ET147" s="595"/>
      <c r="EU147" s="595"/>
      <c r="EV147" s="595"/>
      <c r="EW147" s="595"/>
      <c r="EX147" s="595"/>
      <c r="EY147" s="186"/>
      <c r="EZ147" s="595"/>
      <c r="FA147" s="595"/>
      <c r="FB147" s="595"/>
      <c r="FC147" s="595"/>
      <c r="FD147" s="595"/>
      <c r="FE147" s="186"/>
      <c r="FF147" s="595"/>
      <c r="FG147" s="595"/>
      <c r="FH147" s="595"/>
      <c r="FI147" s="595"/>
      <c r="FJ147" s="595"/>
      <c r="FK147" s="186"/>
      <c r="FL147" s="595"/>
      <c r="FM147" s="595"/>
      <c r="FN147" s="595"/>
      <c r="FO147" s="595"/>
      <c r="FP147" s="595"/>
      <c r="FQ147" s="186"/>
      <c r="FR147" s="595"/>
      <c r="FS147" s="595"/>
      <c r="FT147" s="595"/>
      <c r="FU147" s="595"/>
      <c r="FV147" s="595"/>
      <c r="FW147" s="186"/>
      <c r="FX147" s="595"/>
      <c r="FY147" s="595"/>
      <c r="FZ147" s="595"/>
      <c r="GA147" s="595"/>
      <c r="GB147" s="595"/>
      <c r="GC147" s="186"/>
      <c r="GD147" s="595"/>
      <c r="GE147" s="595"/>
      <c r="GF147" s="595"/>
      <c r="GG147" s="595"/>
      <c r="GH147" s="595"/>
      <c r="GI147" s="186"/>
      <c r="GJ147" s="595"/>
      <c r="GK147" s="595"/>
      <c r="GL147" s="595"/>
      <c r="GM147" s="595"/>
      <c r="GN147" s="595"/>
      <c r="GO147" s="186"/>
      <c r="GP147" s="595"/>
      <c r="GQ147" s="595"/>
      <c r="GR147" s="595"/>
      <c r="GS147" s="595"/>
      <c r="GT147" s="595"/>
      <c r="GU147" s="186"/>
      <c r="GV147" s="595"/>
      <c r="GW147" s="595"/>
      <c r="GX147" s="595"/>
      <c r="GY147" s="595"/>
      <c r="GZ147" s="595"/>
      <c r="HA147" s="186"/>
      <c r="HB147" s="595"/>
      <c r="HC147" s="595"/>
      <c r="HD147" s="595"/>
      <c r="HE147" s="595"/>
      <c r="HF147" s="595"/>
      <c r="HG147" s="186"/>
      <c r="HH147" s="595"/>
      <c r="HI147" s="595"/>
      <c r="HJ147" s="595"/>
      <c r="HK147" s="595"/>
      <c r="HL147" s="595"/>
      <c r="HM147" s="186"/>
      <c r="HN147" s="595"/>
      <c r="HO147" s="595"/>
      <c r="HP147" s="595"/>
      <c r="HQ147" s="595"/>
      <c r="HR147" s="595"/>
      <c r="HS147" s="186"/>
      <c r="HT147" s="595"/>
      <c r="HU147" s="595"/>
      <c r="HV147" s="595"/>
      <c r="HW147" s="595"/>
      <c r="HX147" s="595"/>
      <c r="HY147" s="186"/>
      <c r="HZ147" s="595"/>
      <c r="IA147" s="595"/>
      <c r="IB147" s="595"/>
      <c r="IC147" s="595"/>
      <c r="ID147" s="595"/>
      <c r="IE147" s="186"/>
      <c r="IF147" s="595"/>
      <c r="IG147" s="595"/>
      <c r="IH147" s="595"/>
      <c r="II147" s="595"/>
      <c r="IJ147" s="595"/>
      <c r="IK147" s="186"/>
      <c r="IL147" s="595"/>
    </row>
    <row r="148" spans="1:246">
      <c r="A148" s="587"/>
      <c r="B148" s="595"/>
      <c r="C148" s="595"/>
      <c r="D148" s="595"/>
      <c r="E148" s="623"/>
      <c r="F148" s="548"/>
      <c r="G148" s="561"/>
      <c r="H148" s="382"/>
      <c r="I148" s="383"/>
      <c r="J148" s="1284"/>
      <c r="K148" s="1284"/>
      <c r="L148" s="1284"/>
      <c r="M148" s="1284"/>
      <c r="N148" s="1284"/>
      <c r="O148" s="1284"/>
      <c r="P148" s="1284"/>
      <c r="Q148" s="1285"/>
      <c r="R148" s="581"/>
      <c r="S148" s="186"/>
      <c r="T148" s="595"/>
      <c r="U148" s="595"/>
      <c r="V148" s="595"/>
      <c r="W148" s="186"/>
      <c r="X148" s="595"/>
      <c r="Y148" s="595"/>
      <c r="Z148" s="595"/>
      <c r="AA148" s="595"/>
      <c r="AB148" s="595"/>
      <c r="AC148" s="186"/>
      <c r="AD148" s="595"/>
      <c r="AE148" s="595"/>
      <c r="AF148" s="595"/>
      <c r="AG148" s="595"/>
      <c r="AH148" s="595"/>
      <c r="AI148" s="186"/>
      <c r="AJ148" s="595"/>
      <c r="AK148" s="595"/>
      <c r="AL148" s="595"/>
      <c r="AM148" s="595"/>
      <c r="AN148" s="595"/>
      <c r="AO148" s="186"/>
      <c r="AP148" s="595"/>
      <c r="AQ148" s="595"/>
      <c r="AR148" s="595"/>
      <c r="AS148" s="595"/>
      <c r="AT148" s="595"/>
      <c r="AU148" s="186"/>
      <c r="AV148" s="595"/>
      <c r="AW148" s="595"/>
      <c r="AX148" s="595"/>
      <c r="AY148" s="595"/>
      <c r="AZ148" s="595"/>
      <c r="BA148" s="186"/>
      <c r="BB148" s="595"/>
      <c r="BC148" s="595"/>
      <c r="BD148" s="595"/>
      <c r="BE148" s="595"/>
      <c r="BF148" s="595"/>
      <c r="BG148" s="186"/>
      <c r="BH148" s="595"/>
      <c r="BI148" s="595"/>
      <c r="BJ148" s="595"/>
      <c r="BK148" s="595"/>
      <c r="BL148" s="595"/>
      <c r="BM148" s="186"/>
      <c r="BN148" s="595"/>
      <c r="BO148" s="595"/>
      <c r="BP148" s="595"/>
      <c r="BQ148" s="595"/>
      <c r="BR148" s="595"/>
      <c r="BS148" s="186"/>
      <c r="BT148" s="595"/>
      <c r="BU148" s="595"/>
      <c r="BV148" s="595"/>
      <c r="BW148" s="595"/>
      <c r="BX148" s="595"/>
      <c r="BY148" s="186"/>
      <c r="BZ148" s="595"/>
      <c r="CA148" s="595"/>
      <c r="CB148" s="595"/>
      <c r="CC148" s="595"/>
      <c r="CD148" s="595"/>
      <c r="CE148" s="186"/>
      <c r="CF148" s="595"/>
      <c r="CG148" s="595"/>
      <c r="CH148" s="595"/>
      <c r="CI148" s="595"/>
      <c r="CJ148" s="595"/>
      <c r="CK148" s="186"/>
      <c r="CL148" s="595"/>
      <c r="CM148" s="595"/>
      <c r="CN148" s="595"/>
      <c r="CO148" s="595"/>
      <c r="CP148" s="595"/>
      <c r="CQ148" s="186"/>
      <c r="CR148" s="595"/>
      <c r="CS148" s="595"/>
      <c r="CT148" s="595"/>
      <c r="CU148" s="595"/>
      <c r="CV148" s="595"/>
      <c r="CW148" s="186"/>
      <c r="CX148" s="595"/>
      <c r="CY148" s="595"/>
      <c r="CZ148" s="595"/>
      <c r="DA148" s="595"/>
      <c r="DB148" s="595"/>
      <c r="DC148" s="186"/>
      <c r="DD148" s="595"/>
      <c r="DE148" s="595"/>
      <c r="DF148" s="595"/>
      <c r="DG148" s="595"/>
      <c r="DH148" s="595"/>
      <c r="DI148" s="186"/>
      <c r="DJ148" s="595"/>
      <c r="DK148" s="595"/>
      <c r="DL148" s="595"/>
      <c r="DM148" s="595"/>
      <c r="DN148" s="595"/>
      <c r="DO148" s="186"/>
      <c r="DP148" s="595"/>
      <c r="DQ148" s="595"/>
      <c r="DR148" s="595"/>
      <c r="DS148" s="595"/>
      <c r="DT148" s="595"/>
      <c r="DU148" s="186"/>
      <c r="DV148" s="595"/>
      <c r="DW148" s="595"/>
      <c r="DX148" s="595"/>
      <c r="DY148" s="595"/>
      <c r="DZ148" s="595"/>
      <c r="EA148" s="186"/>
      <c r="EB148" s="595"/>
      <c r="EC148" s="595"/>
      <c r="ED148" s="595"/>
      <c r="EE148" s="595"/>
      <c r="EF148" s="595"/>
      <c r="EG148" s="186"/>
      <c r="EH148" s="595"/>
      <c r="EI148" s="595"/>
      <c r="EJ148" s="595"/>
      <c r="EK148" s="595"/>
      <c r="EL148" s="595"/>
      <c r="EM148" s="186"/>
      <c r="EN148" s="595"/>
      <c r="EO148" s="595"/>
      <c r="EP148" s="595"/>
      <c r="EQ148" s="595"/>
      <c r="ER148" s="595"/>
      <c r="ES148" s="186"/>
      <c r="ET148" s="595"/>
      <c r="EU148" s="595"/>
      <c r="EV148" s="595"/>
      <c r="EW148" s="595"/>
      <c r="EX148" s="595"/>
      <c r="EY148" s="186"/>
      <c r="EZ148" s="595"/>
      <c r="FA148" s="595"/>
      <c r="FB148" s="595"/>
      <c r="FC148" s="595"/>
      <c r="FD148" s="595"/>
      <c r="FE148" s="186"/>
      <c r="FF148" s="595"/>
      <c r="FG148" s="595"/>
      <c r="FH148" s="595"/>
      <c r="FI148" s="595"/>
      <c r="FJ148" s="595"/>
      <c r="FK148" s="186"/>
      <c r="FL148" s="595"/>
      <c r="FM148" s="595"/>
      <c r="FN148" s="595"/>
      <c r="FO148" s="595"/>
      <c r="FP148" s="595"/>
      <c r="FQ148" s="186"/>
      <c r="FR148" s="595"/>
      <c r="FS148" s="595"/>
      <c r="FT148" s="595"/>
      <c r="FU148" s="595"/>
      <c r="FV148" s="595"/>
      <c r="FW148" s="186"/>
      <c r="FX148" s="595"/>
      <c r="FY148" s="595"/>
      <c r="FZ148" s="595"/>
      <c r="GA148" s="595"/>
      <c r="GB148" s="595"/>
      <c r="GC148" s="186"/>
      <c r="GD148" s="595"/>
      <c r="GE148" s="595"/>
      <c r="GF148" s="595"/>
      <c r="GG148" s="595"/>
      <c r="GH148" s="595"/>
      <c r="GI148" s="186"/>
      <c r="GJ148" s="595"/>
      <c r="GK148" s="595"/>
      <c r="GL148" s="595"/>
      <c r="GM148" s="595"/>
      <c r="GN148" s="595"/>
      <c r="GO148" s="186"/>
      <c r="GP148" s="595"/>
      <c r="GQ148" s="595"/>
      <c r="GR148" s="595"/>
      <c r="GS148" s="595"/>
      <c r="GT148" s="595"/>
      <c r="GU148" s="186"/>
      <c r="GV148" s="595"/>
      <c r="GW148" s="595"/>
      <c r="GX148" s="595"/>
      <c r="GY148" s="595"/>
      <c r="GZ148" s="595"/>
      <c r="HA148" s="186"/>
      <c r="HB148" s="595"/>
      <c r="HC148" s="595"/>
      <c r="HD148" s="595"/>
      <c r="HE148" s="595"/>
      <c r="HF148" s="595"/>
      <c r="HG148" s="186"/>
      <c r="HH148" s="595"/>
      <c r="HI148" s="595"/>
      <c r="HJ148" s="595"/>
      <c r="HK148" s="595"/>
      <c r="HL148" s="595"/>
      <c r="HM148" s="186"/>
      <c r="HN148" s="595"/>
      <c r="HO148" s="595"/>
      <c r="HP148" s="595"/>
      <c r="HQ148" s="595"/>
      <c r="HR148" s="595"/>
      <c r="HS148" s="186"/>
      <c r="HT148" s="595"/>
      <c r="HU148" s="595"/>
      <c r="HV148" s="595"/>
      <c r="HW148" s="595"/>
      <c r="HX148" s="595"/>
      <c r="HY148" s="186"/>
      <c r="HZ148" s="595"/>
      <c r="IA148" s="595"/>
      <c r="IB148" s="595"/>
      <c r="IC148" s="595"/>
      <c r="ID148" s="595"/>
      <c r="IE148" s="186"/>
      <c r="IF148" s="595"/>
      <c r="IG148" s="595"/>
      <c r="IH148" s="595"/>
      <c r="II148" s="595"/>
      <c r="IJ148" s="595"/>
      <c r="IK148" s="186"/>
      <c r="IL148" s="595"/>
    </row>
    <row r="149" spans="1:246" ht="13.5" thickBot="1">
      <c r="A149" s="628"/>
      <c r="B149" s="629"/>
      <c r="C149" s="629"/>
      <c r="D149" s="629"/>
      <c r="E149" s="617"/>
      <c r="F149" s="663"/>
      <c r="G149" s="679"/>
      <c r="H149" s="556"/>
      <c r="I149" s="556"/>
      <c r="J149" s="1286"/>
      <c r="K149" s="1286"/>
      <c r="L149" s="1286"/>
      <c r="M149" s="1286"/>
      <c r="N149" s="1286"/>
      <c r="O149" s="1286"/>
      <c r="P149" s="1286"/>
      <c r="Q149" s="1287"/>
      <c r="R149" s="581"/>
      <c r="S149" s="186"/>
      <c r="T149" s="595"/>
      <c r="U149" s="595"/>
      <c r="V149" s="595"/>
      <c r="W149" s="186"/>
      <c r="X149" s="595"/>
      <c r="Y149" s="595"/>
      <c r="Z149" s="595"/>
      <c r="AA149" s="595"/>
      <c r="AB149" s="595"/>
      <c r="AC149" s="186"/>
      <c r="AD149" s="595"/>
      <c r="AE149" s="595"/>
      <c r="AF149" s="595"/>
      <c r="AG149" s="595"/>
      <c r="AH149" s="595"/>
      <c r="AI149" s="186"/>
      <c r="AJ149" s="595"/>
      <c r="AK149" s="595"/>
      <c r="AL149" s="595"/>
      <c r="AM149" s="595"/>
      <c r="AN149" s="595"/>
      <c r="AO149" s="186"/>
      <c r="AP149" s="595"/>
      <c r="AQ149" s="595"/>
      <c r="AR149" s="595"/>
      <c r="AS149" s="595"/>
      <c r="AT149" s="595"/>
      <c r="AU149" s="186"/>
      <c r="AV149" s="595"/>
      <c r="AW149" s="595"/>
      <c r="AX149" s="595"/>
      <c r="AY149" s="595"/>
      <c r="AZ149" s="595"/>
      <c r="BA149" s="186"/>
      <c r="BB149" s="595"/>
      <c r="BC149" s="595"/>
      <c r="BD149" s="595"/>
      <c r="BE149" s="595"/>
      <c r="BF149" s="595"/>
      <c r="BG149" s="186"/>
      <c r="BH149" s="595"/>
      <c r="BI149" s="595"/>
      <c r="BJ149" s="595"/>
      <c r="BK149" s="595"/>
      <c r="BL149" s="595"/>
      <c r="BM149" s="186"/>
      <c r="BN149" s="595"/>
      <c r="BO149" s="595"/>
      <c r="BP149" s="595"/>
      <c r="BQ149" s="595"/>
      <c r="BR149" s="595"/>
      <c r="BS149" s="186"/>
      <c r="BT149" s="595"/>
      <c r="BU149" s="595"/>
      <c r="BV149" s="595"/>
      <c r="BW149" s="595"/>
      <c r="BX149" s="595"/>
      <c r="BY149" s="186"/>
      <c r="BZ149" s="595"/>
      <c r="CA149" s="595"/>
      <c r="CB149" s="595"/>
      <c r="CC149" s="595"/>
      <c r="CD149" s="595"/>
      <c r="CE149" s="186"/>
      <c r="CF149" s="595"/>
      <c r="CG149" s="595"/>
      <c r="CH149" s="595"/>
      <c r="CI149" s="595"/>
      <c r="CJ149" s="595"/>
      <c r="CK149" s="186"/>
      <c r="CL149" s="595"/>
      <c r="CM149" s="595"/>
      <c r="CN149" s="595"/>
      <c r="CO149" s="595"/>
      <c r="CP149" s="595"/>
      <c r="CQ149" s="186"/>
      <c r="CR149" s="595"/>
      <c r="CS149" s="595"/>
      <c r="CT149" s="595"/>
      <c r="CU149" s="595"/>
      <c r="CV149" s="595"/>
      <c r="CW149" s="186"/>
      <c r="CX149" s="595"/>
      <c r="CY149" s="595"/>
      <c r="CZ149" s="595"/>
      <c r="DA149" s="595"/>
      <c r="DB149" s="595"/>
      <c r="DC149" s="186"/>
      <c r="DD149" s="595"/>
      <c r="DE149" s="595"/>
      <c r="DF149" s="595"/>
      <c r="DG149" s="595"/>
      <c r="DH149" s="595"/>
      <c r="DI149" s="186"/>
      <c r="DJ149" s="595"/>
      <c r="DK149" s="595"/>
      <c r="DL149" s="595"/>
      <c r="DM149" s="595"/>
      <c r="DN149" s="595"/>
      <c r="DO149" s="186"/>
      <c r="DP149" s="595"/>
      <c r="DQ149" s="595"/>
      <c r="DR149" s="595"/>
      <c r="DS149" s="595"/>
      <c r="DT149" s="595"/>
      <c r="DU149" s="186"/>
      <c r="DV149" s="595"/>
      <c r="DW149" s="595"/>
      <c r="DX149" s="595"/>
      <c r="DY149" s="595"/>
      <c r="DZ149" s="595"/>
      <c r="EA149" s="186"/>
      <c r="EB149" s="595"/>
      <c r="EC149" s="595"/>
      <c r="ED149" s="595"/>
      <c r="EE149" s="595"/>
      <c r="EF149" s="595"/>
      <c r="EG149" s="186"/>
      <c r="EH149" s="595"/>
      <c r="EI149" s="595"/>
      <c r="EJ149" s="595"/>
      <c r="EK149" s="595"/>
      <c r="EL149" s="595"/>
      <c r="EM149" s="186"/>
      <c r="EN149" s="595"/>
      <c r="EO149" s="595"/>
      <c r="EP149" s="595"/>
      <c r="EQ149" s="595"/>
      <c r="ER149" s="595"/>
      <c r="ES149" s="186"/>
      <c r="ET149" s="595"/>
      <c r="EU149" s="595"/>
      <c r="EV149" s="595"/>
      <c r="EW149" s="595"/>
      <c r="EX149" s="595"/>
      <c r="EY149" s="186"/>
      <c r="EZ149" s="595"/>
      <c r="FA149" s="595"/>
      <c r="FB149" s="595"/>
      <c r="FC149" s="595"/>
      <c r="FD149" s="595"/>
      <c r="FE149" s="186"/>
      <c r="FF149" s="595"/>
      <c r="FG149" s="595"/>
      <c r="FH149" s="595"/>
      <c r="FI149" s="595"/>
      <c r="FJ149" s="595"/>
      <c r="FK149" s="186"/>
      <c r="FL149" s="595"/>
      <c r="FM149" s="595"/>
      <c r="FN149" s="595"/>
      <c r="FO149" s="595"/>
      <c r="FP149" s="595"/>
      <c r="FQ149" s="186"/>
      <c r="FR149" s="595"/>
      <c r="FS149" s="595"/>
      <c r="FT149" s="595"/>
      <c r="FU149" s="595"/>
      <c r="FV149" s="595"/>
      <c r="FW149" s="186"/>
      <c r="FX149" s="595"/>
      <c r="FY149" s="595"/>
      <c r="FZ149" s="595"/>
      <c r="GA149" s="595"/>
      <c r="GB149" s="595"/>
      <c r="GC149" s="186"/>
      <c r="GD149" s="595"/>
      <c r="GE149" s="595"/>
      <c r="GF149" s="595"/>
      <c r="GG149" s="595"/>
      <c r="GH149" s="595"/>
      <c r="GI149" s="186"/>
      <c r="GJ149" s="595"/>
      <c r="GK149" s="595"/>
      <c r="GL149" s="595"/>
      <c r="GM149" s="595"/>
      <c r="GN149" s="595"/>
      <c r="GO149" s="186"/>
      <c r="GP149" s="595"/>
      <c r="GQ149" s="595"/>
      <c r="GR149" s="595"/>
      <c r="GS149" s="595"/>
      <c r="GT149" s="595"/>
      <c r="GU149" s="186"/>
      <c r="GV149" s="595"/>
      <c r="GW149" s="595"/>
      <c r="GX149" s="595"/>
      <c r="GY149" s="595"/>
      <c r="GZ149" s="595"/>
      <c r="HA149" s="186"/>
      <c r="HB149" s="595"/>
      <c r="HC149" s="595"/>
      <c r="HD149" s="595"/>
      <c r="HE149" s="595"/>
      <c r="HF149" s="595"/>
      <c r="HG149" s="186"/>
      <c r="HH149" s="595"/>
      <c r="HI149" s="595"/>
      <c r="HJ149" s="595"/>
      <c r="HK149" s="595"/>
      <c r="HL149" s="595"/>
      <c r="HM149" s="186"/>
      <c r="HN149" s="595"/>
      <c r="HO149" s="595"/>
      <c r="HP149" s="595"/>
      <c r="HQ149" s="595"/>
      <c r="HR149" s="595"/>
      <c r="HS149" s="186"/>
      <c r="HT149" s="595"/>
      <c r="HU149" s="595"/>
      <c r="HV149" s="595"/>
      <c r="HW149" s="595"/>
      <c r="HX149" s="595"/>
      <c r="HY149" s="186"/>
      <c r="HZ149" s="595"/>
      <c r="IA149" s="595"/>
      <c r="IB149" s="595"/>
      <c r="IC149" s="595"/>
      <c r="ID149" s="595"/>
      <c r="IE149" s="186"/>
      <c r="IF149" s="595"/>
      <c r="IG149" s="595"/>
      <c r="IH149" s="595"/>
      <c r="II149" s="595"/>
      <c r="IJ149" s="595"/>
      <c r="IK149" s="186"/>
      <c r="IL149" s="595"/>
    </row>
    <row r="150" spans="1:246">
      <c r="A150" s="575"/>
      <c r="B150" s="575"/>
      <c r="C150" s="575"/>
      <c r="D150" s="575"/>
      <c r="E150" s="575"/>
      <c r="F150" s="575"/>
      <c r="G150" s="575"/>
      <c r="H150" s="575"/>
      <c r="I150" s="575"/>
      <c r="J150" s="666"/>
      <c r="K150" s="666"/>
      <c r="L150" s="666"/>
      <c r="M150" s="666"/>
      <c r="N150" s="666"/>
      <c r="O150" s="666"/>
      <c r="P150" s="666"/>
      <c r="Q150" s="666"/>
      <c r="R150" s="575"/>
    </row>
    <row r="151" spans="1:246">
      <c r="A151" s="575"/>
      <c r="B151" s="575"/>
      <c r="C151" s="575"/>
      <c r="D151" s="575"/>
      <c r="E151" s="575"/>
      <c r="F151" s="575"/>
      <c r="G151" s="575"/>
      <c r="H151" s="575"/>
      <c r="I151" s="575"/>
      <c r="J151" s="666"/>
      <c r="K151" s="666"/>
      <c r="L151" s="666"/>
      <c r="M151" s="666"/>
      <c r="N151" s="666"/>
      <c r="O151" s="666"/>
      <c r="P151" s="666"/>
      <c r="Q151" s="666"/>
      <c r="R151" s="575"/>
    </row>
    <row r="152" spans="1:246" s="303" customFormat="1" ht="18.75" thickBot="1">
      <c r="A152" s="832" t="s">
        <v>338</v>
      </c>
      <c r="B152" s="834"/>
      <c r="C152" s="834"/>
      <c r="D152" s="834"/>
      <c r="E152" s="834"/>
      <c r="F152" s="834"/>
      <c r="G152" s="834"/>
      <c r="H152" s="834"/>
      <c r="I152" s="834"/>
      <c r="J152" s="843"/>
      <c r="K152" s="843"/>
      <c r="L152" s="843"/>
      <c r="M152" s="843"/>
      <c r="N152" s="843"/>
      <c r="O152" s="843"/>
      <c r="P152" s="843"/>
      <c r="Q152" s="843"/>
      <c r="R152" s="576"/>
    </row>
    <row r="153" spans="1:246" ht="38.25">
      <c r="A153" s="1259" t="s">
        <v>688</v>
      </c>
      <c r="B153" s="1260"/>
      <c r="C153" s="1260"/>
      <c r="D153" s="1260"/>
      <c r="E153" s="1260"/>
      <c r="F153" s="1260"/>
      <c r="G153" s="840" t="str">
        <f>+C155</f>
        <v>Interest on Network Credits</v>
      </c>
      <c r="H153" s="1247" t="s">
        <v>222</v>
      </c>
      <c r="I153" s="1293"/>
      <c r="J153" s="1293"/>
      <c r="K153" s="1293"/>
      <c r="L153" s="1293"/>
      <c r="M153" s="1293"/>
      <c r="N153" s="1293"/>
      <c r="O153" s="1293"/>
      <c r="P153" s="1293"/>
      <c r="Q153" s="1294"/>
      <c r="R153" s="575"/>
    </row>
    <row r="154" spans="1:246">
      <c r="A154" s="587"/>
      <c r="B154" s="594" t="str">
        <f>+'Appendix A'!B253</f>
        <v>Revenue Credits &amp; Interest on Network Credits</v>
      </c>
      <c r="C154" s="595"/>
      <c r="D154" s="595"/>
      <c r="E154" s="595"/>
      <c r="F154" s="595"/>
      <c r="G154" s="813"/>
      <c r="H154" s="1252"/>
      <c r="I154" s="1252"/>
      <c r="J154" s="1252"/>
      <c r="K154" s="1252"/>
      <c r="L154" s="1252"/>
      <c r="M154" s="1252"/>
      <c r="N154" s="1252"/>
      <c r="O154" s="1252"/>
      <c r="P154" s="1252"/>
      <c r="Q154" s="1253"/>
      <c r="R154" s="575"/>
    </row>
    <row r="155" spans="1:246" ht="12.75" customHeight="1">
      <c r="A155" s="587">
        <f>+'Appendix A'!A255</f>
        <v>155</v>
      </c>
      <c r="B155" s="595"/>
      <c r="C155" s="186" t="str">
        <f>+'Appendix A'!C255</f>
        <v>Interest on Network Credits</v>
      </c>
      <c r="D155" s="595"/>
      <c r="E155" s="595" t="str">
        <f>+'Appendix A'!E255</f>
        <v>(Note N)</v>
      </c>
      <c r="F155" s="595" t="s">
        <v>545</v>
      </c>
      <c r="G155" s="1178">
        <v>0</v>
      </c>
      <c r="H155" s="1251" t="s">
        <v>794</v>
      </c>
      <c r="I155" s="1251"/>
      <c r="J155" s="1251"/>
      <c r="K155" s="1251"/>
      <c r="L155" s="1251"/>
      <c r="M155" s="1251"/>
      <c r="N155" s="1251"/>
      <c r="O155" s="1251"/>
      <c r="P155" s="1251"/>
      <c r="Q155" s="1262"/>
      <c r="R155" s="575"/>
    </row>
    <row r="156" spans="1:246">
      <c r="A156" s="587"/>
      <c r="B156" s="595"/>
      <c r="C156" s="595"/>
      <c r="D156" s="595"/>
      <c r="E156" s="588"/>
      <c r="F156" s="520"/>
      <c r="G156" s="608"/>
      <c r="H156" s="1252"/>
      <c r="I156" s="1252"/>
      <c r="J156" s="1252"/>
      <c r="K156" s="1252"/>
      <c r="L156" s="1252"/>
      <c r="M156" s="1252"/>
      <c r="N156" s="1252"/>
      <c r="O156" s="1252"/>
      <c r="P156" s="1252"/>
      <c r="Q156" s="1253"/>
      <c r="R156" s="575"/>
    </row>
    <row r="157" spans="1:246">
      <c r="A157" s="587"/>
      <c r="B157" s="595"/>
      <c r="C157" s="595"/>
      <c r="D157" s="595"/>
      <c r="E157" s="588"/>
      <c r="F157" s="520"/>
      <c r="G157" s="608"/>
      <c r="Q157" s="567"/>
      <c r="R157" s="575"/>
    </row>
    <row r="158" spans="1:246">
      <c r="A158" s="587"/>
      <c r="B158" s="595"/>
      <c r="C158" s="595"/>
      <c r="D158" s="595"/>
      <c r="E158" s="588"/>
      <c r="F158" s="520"/>
      <c r="G158" s="562"/>
      <c r="H158" s="1290"/>
      <c r="I158" s="1290"/>
      <c r="J158" s="1290"/>
      <c r="K158" s="1290"/>
      <c r="L158" s="1290"/>
      <c r="M158" s="1290"/>
      <c r="N158" s="1290"/>
      <c r="O158" s="1290"/>
      <c r="P158" s="1290"/>
      <c r="Q158" s="1291"/>
      <c r="R158" s="575"/>
    </row>
    <row r="159" spans="1:246" ht="13.5" thickBot="1">
      <c r="A159" s="628"/>
      <c r="B159" s="629"/>
      <c r="C159" s="629"/>
      <c r="D159" s="629"/>
      <c r="E159" s="617"/>
      <c r="F159" s="663"/>
      <c r="G159" s="661"/>
      <c r="H159" s="569"/>
      <c r="I159" s="569"/>
      <c r="J159" s="671"/>
      <c r="K159" s="672" t="s">
        <v>218</v>
      </c>
      <c r="L159" s="668"/>
      <c r="M159" s="668"/>
      <c r="N159" s="668"/>
      <c r="O159" s="668"/>
      <c r="P159" s="668"/>
      <c r="Q159" s="669"/>
      <c r="R159" s="575"/>
    </row>
    <row r="160" spans="1:246">
      <c r="A160" s="575"/>
      <c r="B160" s="575"/>
      <c r="C160" s="575"/>
      <c r="D160" s="575"/>
      <c r="E160" s="575"/>
      <c r="F160" s="575"/>
      <c r="G160" s="575"/>
      <c r="H160" s="575"/>
      <c r="I160" s="575"/>
      <c r="J160" s="666"/>
      <c r="K160" s="666"/>
      <c r="L160" s="666"/>
      <c r="M160" s="666"/>
      <c r="N160" s="666"/>
      <c r="O160" s="666"/>
      <c r="P160" s="666"/>
      <c r="Q160" s="666"/>
      <c r="R160" s="575"/>
    </row>
    <row r="161" spans="1:18">
      <c r="A161" s="575"/>
      <c r="B161" s="575"/>
      <c r="C161" s="575"/>
      <c r="D161" s="575"/>
      <c r="E161" s="575"/>
      <c r="F161" s="575"/>
      <c r="G161" s="575"/>
      <c r="H161" s="575"/>
      <c r="I161" s="575"/>
      <c r="J161" s="666"/>
      <c r="K161" s="666"/>
      <c r="L161" s="666"/>
      <c r="M161" s="666"/>
      <c r="N161" s="666"/>
      <c r="O161" s="666"/>
      <c r="P161" s="666"/>
      <c r="Q161" s="666"/>
      <c r="R161" s="575"/>
    </row>
    <row r="162" spans="1:18" s="303" customFormat="1" ht="18.75" thickBot="1">
      <c r="A162" s="832" t="str">
        <f>+'Appendix A'!C277</f>
        <v xml:space="preserve">Facility Credits under Section 30.9 of the PJM OATT </v>
      </c>
      <c r="B162" s="834"/>
      <c r="C162" s="834"/>
      <c r="D162" s="834"/>
      <c r="E162" s="834"/>
      <c r="F162" s="834"/>
      <c r="G162" s="834"/>
      <c r="H162" s="834"/>
      <c r="I162" s="834"/>
      <c r="J162" s="843"/>
      <c r="K162" s="843"/>
      <c r="L162" s="843"/>
      <c r="M162" s="843"/>
      <c r="N162" s="843"/>
      <c r="O162" s="843"/>
      <c r="P162" s="843"/>
      <c r="Q162" s="843"/>
      <c r="R162" s="576"/>
    </row>
    <row r="163" spans="1:18">
      <c r="A163" s="1259" t="s">
        <v>688</v>
      </c>
      <c r="B163" s="1260"/>
      <c r="C163" s="1260"/>
      <c r="D163" s="1260"/>
      <c r="E163" s="1260"/>
      <c r="F163" s="1260"/>
      <c r="G163" s="840" t="s">
        <v>61</v>
      </c>
      <c r="H163" s="1281" t="s">
        <v>221</v>
      </c>
      <c r="I163" s="1282"/>
      <c r="J163" s="1282"/>
      <c r="K163" s="1282"/>
      <c r="L163" s="1282"/>
      <c r="M163" s="1282"/>
      <c r="N163" s="1282"/>
      <c r="O163" s="1282"/>
      <c r="P163" s="1282"/>
      <c r="Q163" s="1283"/>
      <c r="R163" s="575"/>
    </row>
    <row r="164" spans="1:18">
      <c r="A164" s="587"/>
      <c r="B164" s="606" t="str">
        <f>+'Appendix A'!C274</f>
        <v>Net Revenue Requirement</v>
      </c>
      <c r="C164" s="272"/>
      <c r="D164" s="272"/>
      <c r="E164" s="485"/>
      <c r="F164" s="571"/>
      <c r="G164" s="549"/>
      <c r="H164" s="1252"/>
      <c r="I164" s="1252"/>
      <c r="J164" s="1252"/>
      <c r="K164" s="1252"/>
      <c r="L164" s="1252"/>
      <c r="M164" s="1252"/>
      <c r="N164" s="1252"/>
      <c r="O164" s="1252"/>
      <c r="P164" s="1252"/>
      <c r="Q164" s="1253"/>
      <c r="R164" s="575"/>
    </row>
    <row r="165" spans="1:18" ht="13.5" thickBot="1">
      <c r="A165" s="628">
        <f>+'Appendix A'!A277</f>
        <v>171</v>
      </c>
      <c r="B165" s="644"/>
      <c r="C165" s="630" t="str">
        <f>+'Appendix A'!C277</f>
        <v xml:space="preserve">Facility Credits under Section 30.9 of the PJM OATT </v>
      </c>
      <c r="D165" s="639"/>
      <c r="E165" s="629"/>
      <c r="F165" s="629"/>
      <c r="G165" s="1182">
        <v>0</v>
      </c>
      <c r="H165" s="1278" t="s">
        <v>794</v>
      </c>
      <c r="I165" s="1279"/>
      <c r="J165" s="1279"/>
      <c r="K165" s="1279"/>
      <c r="L165" s="1279"/>
      <c r="M165" s="1279"/>
      <c r="N165" s="1279"/>
      <c r="O165" s="1279"/>
      <c r="P165" s="1279"/>
      <c r="Q165" s="1280"/>
      <c r="R165" s="575"/>
    </row>
    <row r="166" spans="1:18">
      <c r="A166" s="575"/>
      <c r="B166" s="575"/>
      <c r="C166" s="575"/>
      <c r="D166" s="575"/>
      <c r="E166" s="575"/>
      <c r="F166" s="575"/>
      <c r="G166" s="575"/>
      <c r="H166" s="575"/>
      <c r="I166" s="575"/>
      <c r="J166" s="666"/>
      <c r="K166" s="666"/>
      <c r="L166" s="666"/>
      <c r="M166" s="666"/>
      <c r="N166" s="666"/>
      <c r="O166" s="666"/>
      <c r="P166" s="666"/>
      <c r="Q166" s="666"/>
      <c r="R166" s="575"/>
    </row>
    <row r="167" spans="1:18">
      <c r="A167" s="575"/>
      <c r="B167" s="575"/>
      <c r="C167" s="575"/>
      <c r="D167" s="575"/>
      <c r="E167" s="575"/>
      <c r="F167" s="575"/>
      <c r="G167" s="575"/>
      <c r="H167" s="575"/>
      <c r="I167" s="575"/>
      <c r="J167" s="666"/>
      <c r="K167" s="666"/>
      <c r="L167" s="666"/>
      <c r="M167" s="666"/>
      <c r="N167" s="666"/>
      <c r="O167" s="666"/>
      <c r="P167" s="666"/>
      <c r="Q167" s="666"/>
      <c r="R167" s="575"/>
    </row>
    <row r="168" spans="1:18" s="303" customFormat="1" ht="18.75" thickBot="1">
      <c r="A168" s="832" t="s">
        <v>335</v>
      </c>
      <c r="B168" s="834"/>
      <c r="C168" s="834"/>
      <c r="D168" s="834"/>
      <c r="E168" s="834"/>
      <c r="F168" s="834"/>
      <c r="G168" s="834"/>
      <c r="H168" s="834"/>
      <c r="I168" s="834"/>
      <c r="J168" s="843"/>
      <c r="K168" s="843"/>
      <c r="L168" s="843"/>
      <c r="M168" s="843"/>
      <c r="N168" s="843"/>
      <c r="O168" s="843"/>
      <c r="P168" s="843"/>
      <c r="Q168" s="843"/>
      <c r="R168" s="576"/>
    </row>
    <row r="169" spans="1:18">
      <c r="A169" s="1259" t="s">
        <v>688</v>
      </c>
      <c r="B169" s="1260"/>
      <c r="C169" s="1260"/>
      <c r="D169" s="1260"/>
      <c r="E169" s="1260"/>
      <c r="F169" s="1260"/>
      <c r="G169" s="840" t="str">
        <f>+C171</f>
        <v>1 CP Peak</v>
      </c>
      <c r="H169" s="1281" t="s">
        <v>221</v>
      </c>
      <c r="I169" s="1282"/>
      <c r="J169" s="1282"/>
      <c r="K169" s="1282"/>
      <c r="L169" s="1282"/>
      <c r="M169" s="1282"/>
      <c r="N169" s="1282"/>
      <c r="O169" s="1282"/>
      <c r="P169" s="1282"/>
      <c r="Q169" s="1283"/>
      <c r="R169" s="575"/>
    </row>
    <row r="170" spans="1:18">
      <c r="A170" s="587"/>
      <c r="B170" s="606" t="s">
        <v>148</v>
      </c>
      <c r="C170" s="272"/>
      <c r="D170" s="272"/>
      <c r="E170" s="485"/>
      <c r="F170" s="571"/>
      <c r="G170" s="549"/>
      <c r="H170" s="1252"/>
      <c r="I170" s="1252"/>
      <c r="J170" s="1252"/>
      <c r="K170" s="1252"/>
      <c r="L170" s="1252"/>
      <c r="M170" s="1252"/>
      <c r="N170" s="1252"/>
      <c r="O170" s="1252"/>
      <c r="P170" s="1252"/>
      <c r="Q170" s="1253"/>
      <c r="R170" s="575"/>
    </row>
    <row r="171" spans="1:18" ht="13.5" thickBot="1">
      <c r="A171" s="628">
        <f>+'Appendix A'!A281</f>
        <v>173</v>
      </c>
      <c r="B171" s="644"/>
      <c r="C171" s="630" t="str">
        <f>+'Appendix A'!C281</f>
        <v>1 CP Peak</v>
      </c>
      <c r="D171" s="639"/>
      <c r="E171" s="629" t="str">
        <f>+'Appendix A'!E281</f>
        <v>(Note L)</v>
      </c>
      <c r="F171" s="559" t="str">
        <f>+'Appendix A'!F281</f>
        <v>PJM Data</v>
      </c>
      <c r="G171" s="1183">
        <f>'Appendix A'!H281</f>
        <v>22269</v>
      </c>
      <c r="H171" s="1273"/>
      <c r="I171" s="1274"/>
      <c r="J171" s="1274"/>
      <c r="K171" s="1274"/>
      <c r="L171" s="1274"/>
      <c r="M171" s="1274"/>
      <c r="N171" s="1274"/>
      <c r="O171" s="1274"/>
      <c r="P171" s="1274"/>
      <c r="Q171" s="1275"/>
      <c r="R171" s="575"/>
    </row>
    <row r="172" spans="1:18">
      <c r="A172" s="575"/>
      <c r="B172" s="575"/>
      <c r="C172" s="575"/>
      <c r="D172" s="575"/>
      <c r="E172" s="575"/>
      <c r="F172" s="575"/>
      <c r="G172" s="575"/>
      <c r="H172" s="575"/>
      <c r="I172" s="575"/>
      <c r="J172" s="666"/>
      <c r="K172" s="666"/>
      <c r="L172" s="666"/>
      <c r="M172" s="666"/>
      <c r="N172" s="666"/>
      <c r="O172" s="666"/>
      <c r="P172" s="666"/>
      <c r="Q172" s="666"/>
      <c r="R172" s="575"/>
    </row>
    <row r="173" spans="1:18">
      <c r="A173" s="575"/>
      <c r="B173" s="575"/>
      <c r="C173" s="575"/>
      <c r="D173" s="575"/>
      <c r="E173" s="575"/>
      <c r="F173" s="575"/>
      <c r="G173" s="575"/>
      <c r="H173" s="575"/>
      <c r="I173" s="575"/>
      <c r="J173" s="666"/>
      <c r="K173" s="666"/>
      <c r="L173" s="666"/>
      <c r="M173" s="666"/>
      <c r="N173" s="666"/>
      <c r="O173" s="666"/>
      <c r="P173" s="666"/>
      <c r="Q173" s="666"/>
      <c r="R173" s="575"/>
    </row>
    <row r="174" spans="1:18" s="303" customFormat="1" ht="18.75" thickBot="1">
      <c r="A174" s="832" t="s">
        <v>225</v>
      </c>
      <c r="B174" s="834"/>
      <c r="C174" s="834"/>
      <c r="D174" s="834"/>
      <c r="E174" s="834"/>
      <c r="F174" s="834"/>
      <c r="G174" s="834"/>
      <c r="H174" s="834"/>
      <c r="I174" s="834"/>
      <c r="J174" s="843"/>
      <c r="K174" s="843"/>
      <c r="L174" s="843"/>
      <c r="M174" s="843"/>
      <c r="N174" s="843"/>
      <c r="O174" s="843"/>
      <c r="P174" s="843"/>
      <c r="Q174" s="843"/>
      <c r="R174" s="576"/>
    </row>
    <row r="175" spans="1:18">
      <c r="A175" s="905"/>
      <c r="B175" s="839"/>
      <c r="C175" s="839" t="s">
        <v>226</v>
      </c>
      <c r="D175" s="839" t="s">
        <v>227</v>
      </c>
      <c r="E175" s="839" t="s">
        <v>228</v>
      </c>
      <c r="F175" s="839" t="s">
        <v>229</v>
      </c>
      <c r="G175" s="1259" t="s">
        <v>230</v>
      </c>
      <c r="H175" s="1272"/>
      <c r="I175" s="1260" t="s">
        <v>231</v>
      </c>
      <c r="J175" s="1272"/>
      <c r="K175" s="1315" t="s">
        <v>232</v>
      </c>
      <c r="L175" s="1316"/>
      <c r="M175" s="845"/>
      <c r="N175" s="845"/>
      <c r="O175" s="845"/>
      <c r="P175" s="845"/>
      <c r="Q175" s="846"/>
      <c r="R175" s="575"/>
    </row>
    <row r="176" spans="1:18">
      <c r="A176" s="587"/>
      <c r="B176" s="594"/>
      <c r="C176" s="595"/>
      <c r="D176" s="595"/>
      <c r="E176" s="572"/>
      <c r="F176" s="572"/>
      <c r="G176" s="1312">
        <f>+E176*D176</f>
        <v>0</v>
      </c>
      <c r="H176" s="1313"/>
      <c r="I176" s="1314">
        <f>+F176*D176</f>
        <v>0</v>
      </c>
      <c r="J176" s="1313"/>
      <c r="K176" s="1276">
        <f>+I176-G176</f>
        <v>0</v>
      </c>
      <c r="L176" s="1277"/>
      <c r="M176" s="565"/>
      <c r="N176" s="565"/>
      <c r="O176" s="565"/>
      <c r="P176" s="565"/>
      <c r="Q176" s="566"/>
      <c r="R176" s="575"/>
    </row>
    <row r="177" spans="1:18" ht="25.5" customHeight="1">
      <c r="A177" s="587"/>
      <c r="B177" s="595"/>
      <c r="C177" s="1270" t="s">
        <v>116</v>
      </c>
      <c r="D177" s="1270"/>
      <c r="E177" s="1270"/>
      <c r="F177" s="1271"/>
      <c r="G177" s="1317"/>
      <c r="H177" s="1318"/>
      <c r="I177" s="1319"/>
      <c r="J177" s="1318"/>
      <c r="K177" s="1320"/>
      <c r="L177" s="1321"/>
      <c r="M177" s="558"/>
      <c r="N177" s="558"/>
      <c r="O177" s="558"/>
      <c r="P177" s="558"/>
      <c r="Q177" s="567"/>
      <c r="R177" s="575"/>
    </row>
    <row r="178" spans="1:18">
      <c r="A178" s="587"/>
      <c r="B178" s="595"/>
      <c r="C178" s="595"/>
      <c r="D178" s="595"/>
      <c r="E178" s="572"/>
      <c r="F178" s="572"/>
      <c r="G178" s="665"/>
      <c r="H178" s="572"/>
      <c r="I178" s="384"/>
      <c r="J178" s="558"/>
      <c r="K178" s="673"/>
      <c r="L178" s="558"/>
      <c r="M178" s="558"/>
      <c r="N178" s="558"/>
      <c r="O178" s="558"/>
      <c r="P178" s="558"/>
      <c r="Q178" s="567"/>
      <c r="R178" s="575"/>
    </row>
    <row r="179" spans="1:18" ht="13.5" thickBot="1">
      <c r="A179" s="628"/>
      <c r="B179" s="629"/>
      <c r="C179" s="629" t="s">
        <v>576</v>
      </c>
      <c r="D179" s="629"/>
      <c r="E179" s="617"/>
      <c r="F179" s="663"/>
      <c r="G179" s="1307">
        <f>SUM(G176:H178)</f>
        <v>0</v>
      </c>
      <c r="H179" s="1308"/>
      <c r="I179" s="1309">
        <f>SUM(I176:J178)</f>
        <v>0</v>
      </c>
      <c r="J179" s="1308"/>
      <c r="K179" s="1310">
        <f>SUM(K176:L178)</f>
        <v>0</v>
      </c>
      <c r="L179" s="1311"/>
      <c r="M179" s="668"/>
      <c r="N179" s="668"/>
      <c r="O179" s="668"/>
      <c r="P179" s="668"/>
      <c r="Q179" s="669"/>
      <c r="R179" s="575"/>
    </row>
    <row r="180" spans="1:18">
      <c r="A180" s="575"/>
      <c r="B180" s="575"/>
      <c r="C180" s="575"/>
      <c r="D180" s="575"/>
      <c r="E180" s="575"/>
      <c r="F180" s="575"/>
      <c r="G180" s="575"/>
      <c r="H180" s="575"/>
      <c r="I180" s="575"/>
      <c r="J180" s="666"/>
      <c r="K180" s="666"/>
      <c r="L180" s="666"/>
      <c r="M180" s="666"/>
      <c r="N180" s="666"/>
      <c r="O180" s="666"/>
      <c r="P180" s="666"/>
      <c r="Q180" s="666"/>
      <c r="R180" s="575"/>
    </row>
    <row r="181" spans="1:18">
      <c r="A181" s="575"/>
      <c r="B181" s="575"/>
      <c r="C181" s="575"/>
      <c r="D181" s="575"/>
      <c r="E181" s="575"/>
      <c r="F181" s="575"/>
      <c r="G181" s="575"/>
      <c r="H181" s="575"/>
      <c r="I181" s="575"/>
      <c r="J181" s="666"/>
      <c r="K181" s="666"/>
      <c r="L181" s="666"/>
      <c r="M181" s="666"/>
      <c r="N181" s="666"/>
      <c r="O181" s="666"/>
      <c r="P181" s="666"/>
      <c r="Q181" s="666"/>
      <c r="R181" s="575"/>
    </row>
  </sheetData>
  <customSheetViews>
    <customSheetView guid="{DC91DEF3-837B-4BB9-A81E-3B78C5914E6C}" scale="75" showPageBreaks="1" hiddenRows="1" showRuler="0" topLeftCell="A70">
      <selection activeCell="C85" sqref="C85:C86"/>
      <rowBreaks count="3" manualBreakCount="3">
        <brk id="50" max="16383" man="1"/>
        <brk id="96" max="16383" man="1"/>
        <brk id="139" max="16383" man="1"/>
      </rowBreaks>
      <pageMargins left="0.25" right="0.25" top="0.75" bottom="0.75" header="0.5" footer="0.5"/>
      <printOptions horizontalCentered="1"/>
      <pageSetup scale="50" fitToHeight="4" orientation="landscape" r:id="rId1"/>
      <headerFooter alignWithMargins="0">
        <oddHeader>&amp;R&amp;12Page &amp;P of&amp;N</oddHeader>
        <oddFooter>Page &amp;P of &amp;N</oddFooter>
      </headerFooter>
    </customSheetView>
    <customSheetView guid="{28948E05-8F34-4F1E-96FB-A80A6A844600}" scale="75" showPageBreaks="1" hiddenRows="1" showRuler="0" topLeftCell="A100">
      <selection activeCell="C115" sqref="C115"/>
      <rowBreaks count="3" manualBreakCount="3">
        <brk id="50" max="16383" man="1"/>
        <brk id="95" max="16383" man="1"/>
        <brk id="138" max="16383" man="1"/>
      </rowBreaks>
      <pageMargins left="0.25" right="0.25" top="0.75" bottom="0.75" header="0.5" footer="0.5"/>
      <printOptions horizontalCentered="1"/>
      <pageSetup scale="50" fitToHeight="4" orientation="landscape" r:id="rId2"/>
      <headerFooter alignWithMargins="0">
        <oddHeader>&amp;R&amp;12Page &amp;P of&amp;N</oddHeader>
        <oddFooter>Page &amp;P of &amp;N</oddFooter>
      </headerFooter>
    </customSheetView>
    <customSheetView guid="{71B42B22-A376-44B5-B0C1-23FC1AA3DBA2}" scale="75" showPageBreaks="1" hiddenRows="1" showRuler="0" topLeftCell="A100">
      <selection activeCell="C115" sqref="C115"/>
      <rowBreaks count="4" manualBreakCount="4">
        <brk id="50" max="16383" man="1"/>
        <brk id="95" max="16383" man="1"/>
        <brk id="138" max="16383" man="1"/>
        <brk id="199" max="16383" man="1"/>
      </rowBreaks>
      <pageMargins left="0.25" right="0.25" top="0.75" bottom="0.75" header="0.5" footer="0.5"/>
      <printOptions horizontalCentered="1"/>
      <pageSetup scale="50" fitToHeight="4" orientation="landscape" r:id="rId3"/>
      <headerFooter alignWithMargins="0">
        <oddHeader>&amp;R&amp;14Page &amp;P of&amp;N</oddHeader>
        <oddFooter>Page &amp;P of &amp;N</oddFooter>
      </headerFooter>
    </customSheetView>
    <customSheetView guid="{FAAD9AAC-1337-43AB-BF1F-CCF9DFCF5B78}" scale="75" showPageBreaks="1" hiddenRows="1" showRuler="0" topLeftCell="E144">
      <selection activeCell="E175" sqref="E175"/>
      <rowBreaks count="4" manualBreakCount="4">
        <brk id="50" max="16383" man="1"/>
        <brk id="96" max="16383" man="1"/>
        <brk id="139" max="16383" man="1"/>
        <brk id="200" max="16383" man="1"/>
      </rowBreaks>
      <pageMargins left="0.25" right="0.25" top="0.75" bottom="0.75" header="0.5" footer="0.5"/>
      <printOptions horizontalCentered="1"/>
      <pageSetup scale="50" fitToHeight="4" orientation="landscape" r:id="rId4"/>
      <headerFooter alignWithMargins="0">
        <oddHeader>&amp;R&amp;12Page &amp;P of&amp;N</oddHeader>
        <oddFooter>Page &amp;P of &amp;N</oddFooter>
      </headerFooter>
    </customSheetView>
    <customSheetView guid="{4C7C2344-134C-465A-ADEB-A5E96AAE2308}"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5"/>
      <headerFooter alignWithMargins="0">
        <oddHeader>&amp;R&amp;12Page &amp;P of&amp;N</oddHeader>
        <oddFooter>Page &amp;P of &amp;N</oddFooter>
      </headerFooter>
    </customSheetView>
    <customSheetView guid="{DA967730-B71F-4038-B1B7-9D4790729C5D}"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6"/>
      <headerFooter alignWithMargins="0">
        <oddHeader>&amp;R&amp;12Page &amp;P of&amp;N</oddHeader>
        <oddFooter>Page &amp;P of &amp;N</oddFooter>
      </headerFooter>
    </customSheetView>
    <customSheetView guid="{F96D6087-3330-4A81-95EC-26BA83722A49}" scale="75" showPageBreaks="1" hiddenRows="1" showRuler="0" topLeftCell="A97">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7"/>
      <headerFooter alignWithMargins="0">
        <oddHeader>&amp;R&amp;12Page &amp;P of&amp;N</oddHeader>
        <oddFooter>Page &amp;P of &amp;N</oddFooter>
      </headerFooter>
    </customSheetView>
    <customSheetView guid="{3A38DF7A-C35E-4DD3-9893-26310A3EF836}" scale="75" showPageBreaks="1" hiddenRows="1" showRuler="0" topLeftCell="A46">
      <selection activeCell="F112" sqref="F112"/>
      <rowBreaks count="3" manualBreakCount="3">
        <brk id="50" max="16383" man="1"/>
        <brk id="96" max="16383" man="1"/>
        <brk id="139" max="16383" man="1"/>
      </rowBreaks>
      <pageMargins left="0.25" right="0.25" top="0.75" bottom="0.75" header="0.5" footer="0.5"/>
      <printOptions horizontalCentered="1"/>
      <pageSetup scale="50" fitToHeight="4" orientation="landscape" r:id="rId8"/>
      <headerFooter alignWithMargins="0">
        <oddHeader>&amp;R&amp;12Page &amp;P of&amp;N</oddHeader>
        <oddFooter>Page &amp;P of &amp;N</oddFooter>
      </headerFooter>
    </customSheetView>
  </customSheetViews>
  <mergeCells count="139">
    <mergeCell ref="H163:Q163"/>
    <mergeCell ref="J35:Q35"/>
    <mergeCell ref="L87:Q87"/>
    <mergeCell ref="J138:Q138"/>
    <mergeCell ref="J140:Q140"/>
    <mergeCell ref="J135:Q135"/>
    <mergeCell ref="J137:Q137"/>
    <mergeCell ref="J93:Q93"/>
    <mergeCell ref="J68:Q68"/>
    <mergeCell ref="J73:Q73"/>
    <mergeCell ref="J46:Q46"/>
    <mergeCell ref="J55:Q55"/>
    <mergeCell ref="J47:Q47"/>
    <mergeCell ref="J49:Q49"/>
    <mergeCell ref="J79:Q79"/>
    <mergeCell ref="J60:Q60"/>
    <mergeCell ref="J74:Q74"/>
    <mergeCell ref="J78:Q78"/>
    <mergeCell ref="J80:Q80"/>
    <mergeCell ref="L86:Q86"/>
    <mergeCell ref="J92:Q92"/>
    <mergeCell ref="L85:Q85"/>
    <mergeCell ref="H108:Q108"/>
    <mergeCell ref="H109:Q109"/>
    <mergeCell ref="G179:H179"/>
    <mergeCell ref="I179:J179"/>
    <mergeCell ref="K179:L179"/>
    <mergeCell ref="G176:H176"/>
    <mergeCell ref="I176:J176"/>
    <mergeCell ref="K175:L175"/>
    <mergeCell ref="G177:H177"/>
    <mergeCell ref="I177:J177"/>
    <mergeCell ref="K177:L177"/>
    <mergeCell ref="A91:F91"/>
    <mergeCell ref="A125:F125"/>
    <mergeCell ref="J134:Q134"/>
    <mergeCell ref="G114:Q114"/>
    <mergeCell ref="G115:Q115"/>
    <mergeCell ref="H125:Q125"/>
    <mergeCell ref="H106:Q106"/>
    <mergeCell ref="H107:Q107"/>
    <mergeCell ref="A114:F114"/>
    <mergeCell ref="J91:Q91"/>
    <mergeCell ref="G119:Q119"/>
    <mergeCell ref="G120:Q120"/>
    <mergeCell ref="H97:Q97"/>
    <mergeCell ref="H99:Q99"/>
    <mergeCell ref="G117:Q117"/>
    <mergeCell ref="G118:Q118"/>
    <mergeCell ref="H104:Q104"/>
    <mergeCell ref="H105:Q105"/>
    <mergeCell ref="A163:F163"/>
    <mergeCell ref="A97:F97"/>
    <mergeCell ref="J148:Q148"/>
    <mergeCell ref="J149:Q149"/>
    <mergeCell ref="H156:Q156"/>
    <mergeCell ref="J146:Q146"/>
    <mergeCell ref="J145:Q145"/>
    <mergeCell ref="A153:F153"/>
    <mergeCell ref="H154:Q154"/>
    <mergeCell ref="J144:Q144"/>
    <mergeCell ref="H158:Q158"/>
    <mergeCell ref="A134:F134"/>
    <mergeCell ref="J147:Q147"/>
    <mergeCell ref="A144:F144"/>
    <mergeCell ref="J136:Q136"/>
    <mergeCell ref="J139:Q139"/>
    <mergeCell ref="H153:Q153"/>
    <mergeCell ref="H155:Q155"/>
    <mergeCell ref="H101:Q101"/>
    <mergeCell ref="H102:Q102"/>
    <mergeCell ref="G116:Q116"/>
    <mergeCell ref="G121:Q121"/>
    <mergeCell ref="H127:Q127"/>
    <mergeCell ref="H129:Q129"/>
    <mergeCell ref="H164:Q164"/>
    <mergeCell ref="C177:F177"/>
    <mergeCell ref="H170:Q170"/>
    <mergeCell ref="G175:H175"/>
    <mergeCell ref="I175:J175"/>
    <mergeCell ref="H171:Q171"/>
    <mergeCell ref="K176:L176"/>
    <mergeCell ref="A169:F169"/>
    <mergeCell ref="H165:Q165"/>
    <mergeCell ref="H169:Q169"/>
    <mergeCell ref="A72:F72"/>
    <mergeCell ref="A78:F78"/>
    <mergeCell ref="A84:F84"/>
    <mergeCell ref="J54:Q54"/>
    <mergeCell ref="J66:Q66"/>
    <mergeCell ref="L84:Q84"/>
    <mergeCell ref="J65:Q65"/>
    <mergeCell ref="J67:Q67"/>
    <mergeCell ref="J72:Q72"/>
    <mergeCell ref="J61:Q61"/>
    <mergeCell ref="J64:Q64"/>
    <mergeCell ref="J62:Q63"/>
    <mergeCell ref="A42:F42"/>
    <mergeCell ref="A59:F59"/>
    <mergeCell ref="A53:F53"/>
    <mergeCell ref="J44:Q44"/>
    <mergeCell ref="J48:P48"/>
    <mergeCell ref="J53:Q53"/>
    <mergeCell ref="J59:Q59"/>
    <mergeCell ref="J5:Q5"/>
    <mergeCell ref="J6:Q6"/>
    <mergeCell ref="J22:Q22"/>
    <mergeCell ref="J17:Q17"/>
    <mergeCell ref="J9:Q9"/>
    <mergeCell ref="J14:Q14"/>
    <mergeCell ref="J7:Q7"/>
    <mergeCell ref="J18:Q18"/>
    <mergeCell ref="J11:Q11"/>
    <mergeCell ref="A5:F5"/>
    <mergeCell ref="A31:F31"/>
    <mergeCell ref="J24:Q24"/>
    <mergeCell ref="J10:Q10"/>
    <mergeCell ref="J8:Q8"/>
    <mergeCell ref="J12:Q12"/>
    <mergeCell ref="J13:Q13"/>
    <mergeCell ref="J16:Q16"/>
    <mergeCell ref="J15:Q15"/>
    <mergeCell ref="J21:Q21"/>
    <mergeCell ref="J19:Q19"/>
    <mergeCell ref="J20:Q20"/>
    <mergeCell ref="J45:Q45"/>
    <mergeCell ref="J32:Q32"/>
    <mergeCell ref="J42:Q42"/>
    <mergeCell ref="J34:Q34"/>
    <mergeCell ref="J23:Q23"/>
    <mergeCell ref="J43:Q43"/>
    <mergeCell ref="J33:Q33"/>
    <mergeCell ref="J37:Q37"/>
    <mergeCell ref="J38:Q38"/>
    <mergeCell ref="J25:Q25"/>
    <mergeCell ref="J31:Q31"/>
    <mergeCell ref="J26:Q26"/>
    <mergeCell ref="J27:Q27"/>
    <mergeCell ref="J36:Q36"/>
  </mergeCells>
  <phoneticPr fontId="0" type="noConversion"/>
  <printOptions horizontalCentered="1"/>
  <pageMargins left="0.25" right="0.25" top="0.75" bottom="0.75" header="0.5" footer="0.5"/>
  <pageSetup scale="50" fitToHeight="0" orientation="landscape" r:id="rId9"/>
  <headerFooter alignWithMargins="0">
    <oddHeader>&amp;R&amp;14ATTACHMENT H-13A
Page &amp;P of &amp;N</oddHeader>
    <oddFooter xml:space="preserve">&amp;C
</oddFooter>
  </headerFooter>
  <rowBreaks count="3" manualBreakCount="3">
    <brk id="51" max="17" man="1"/>
    <brk id="95" max="17" man="1"/>
    <brk id="123" max="17"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A1:U360"/>
  <sheetViews>
    <sheetView topLeftCell="A88" zoomScale="85" zoomScaleNormal="75" zoomScaleSheetLayoutView="75" workbookViewId="0">
      <selection activeCell="D116" sqref="D116"/>
    </sheetView>
  </sheetViews>
  <sheetFormatPr defaultRowHeight="12.75"/>
  <cols>
    <col min="1" max="1" width="4.140625" style="484" customWidth="1"/>
    <col min="2" max="2" width="6.140625" style="484" customWidth="1"/>
    <col min="3" max="3" width="14.85546875" style="484" customWidth="1"/>
    <col min="4" max="4" width="14.7109375" style="246" customWidth="1"/>
    <col min="5" max="5" width="16.85546875" style="246" customWidth="1"/>
    <col min="6" max="6" width="22.140625" style="246" customWidth="1"/>
    <col min="7" max="7" width="14.85546875" style="246" customWidth="1"/>
    <col min="8" max="8" width="15.28515625" style="246" customWidth="1"/>
    <col min="9" max="10" width="17.85546875" style="246" customWidth="1"/>
    <col min="11" max="11" width="16.5703125" style="246" customWidth="1"/>
    <col min="12" max="12" width="17.85546875" style="246" customWidth="1"/>
    <col min="13" max="13" width="12.5703125" style="246" customWidth="1"/>
    <col min="14" max="14" width="17" style="246" bestFit="1" customWidth="1"/>
    <col min="15" max="15" width="16.5703125" style="246" bestFit="1" customWidth="1"/>
    <col min="16" max="16" width="1.7109375" style="246" customWidth="1"/>
    <col min="17" max="17" width="8.85546875" style="246" bestFit="1" customWidth="1"/>
    <col min="18" max="18" width="16.5703125" style="246" bestFit="1" customWidth="1"/>
    <col min="19" max="19" width="18.42578125" style="246" customWidth="1"/>
    <col min="20" max="20" width="17.7109375" style="246" customWidth="1"/>
    <col min="21" max="16384" width="9.140625" style="246"/>
  </cols>
  <sheetData>
    <row r="1" spans="1:15" ht="18">
      <c r="A1" s="1199" t="s">
        <v>720</v>
      </c>
      <c r="B1" s="1199"/>
      <c r="C1" s="1199"/>
      <c r="D1" s="1199"/>
      <c r="E1" s="1199"/>
      <c r="F1" s="1199"/>
      <c r="G1" s="1199"/>
      <c r="H1" s="1199"/>
      <c r="I1" s="1199"/>
      <c r="J1" s="1199"/>
      <c r="K1" s="1199"/>
      <c r="L1" s="1199"/>
      <c r="M1" s="1199"/>
    </row>
    <row r="2" spans="1:15" ht="18">
      <c r="A2" s="1199" t="s">
        <v>588</v>
      </c>
      <c r="B2" s="1199"/>
      <c r="C2" s="1199"/>
      <c r="D2" s="1199"/>
      <c r="E2" s="1199"/>
      <c r="F2" s="1199"/>
      <c r="G2" s="1199"/>
      <c r="H2" s="1199"/>
      <c r="I2" s="1199"/>
      <c r="J2" s="1199"/>
      <c r="K2" s="1199"/>
      <c r="L2" s="1199"/>
      <c r="M2" s="1199"/>
    </row>
    <row r="4" spans="1:15">
      <c r="O4" s="156"/>
    </row>
    <row r="5" spans="1:15">
      <c r="A5" s="484" t="s">
        <v>274</v>
      </c>
      <c r="B5" s="484" t="s">
        <v>275</v>
      </c>
      <c r="C5" s="484" t="s">
        <v>276</v>
      </c>
      <c r="D5" s="484" t="s">
        <v>277</v>
      </c>
      <c r="E5" s="484"/>
    </row>
    <row r="7" spans="1:15">
      <c r="A7" s="180" t="s">
        <v>278</v>
      </c>
    </row>
    <row r="8" spans="1:15">
      <c r="A8" s="484">
        <v>1</v>
      </c>
      <c r="B8" s="484" t="s">
        <v>279</v>
      </c>
      <c r="C8" s="302" t="s">
        <v>268</v>
      </c>
      <c r="D8" s="372" t="s">
        <v>240</v>
      </c>
      <c r="E8" s="372"/>
    </row>
    <row r="9" spans="1:15">
      <c r="A9" s="484">
        <v>2</v>
      </c>
      <c r="B9" s="484" t="str">
        <f>+B8</f>
        <v>April</v>
      </c>
      <c r="C9" s="302" t="str">
        <f>+C8</f>
        <v>Year 2</v>
      </c>
      <c r="D9" s="372" t="s">
        <v>241</v>
      </c>
      <c r="E9" s="372"/>
    </row>
    <row r="10" spans="1:15">
      <c r="A10" s="484">
        <v>3</v>
      </c>
      <c r="B10" s="484" t="s">
        <v>279</v>
      </c>
      <c r="C10" s="302" t="str">
        <f>+C9</f>
        <v>Year 2</v>
      </c>
      <c r="D10" s="372" t="s">
        <v>375</v>
      </c>
      <c r="E10" s="372"/>
      <c r="G10" s="159"/>
      <c r="H10" s="159"/>
      <c r="I10" s="159"/>
      <c r="J10" s="159"/>
      <c r="K10" s="159"/>
    </row>
    <row r="11" spans="1:15">
      <c r="A11" s="484">
        <v>4</v>
      </c>
      <c r="B11" s="484" t="s">
        <v>280</v>
      </c>
      <c r="C11" s="302" t="str">
        <f>+C10</f>
        <v>Year 2</v>
      </c>
      <c r="D11" s="372" t="s">
        <v>412</v>
      </c>
      <c r="E11" s="372"/>
      <c r="G11" s="159"/>
      <c r="H11" s="159"/>
      <c r="I11" s="159"/>
      <c r="J11" s="159"/>
      <c r="K11" s="159"/>
    </row>
    <row r="12" spans="1:15">
      <c r="A12" s="484">
        <v>5</v>
      </c>
      <c r="B12" s="772" t="s">
        <v>281</v>
      </c>
      <c r="C12" s="302" t="str">
        <f>+C11</f>
        <v>Year 2</v>
      </c>
      <c r="D12" s="372" t="s">
        <v>413</v>
      </c>
      <c r="E12" s="372"/>
    </row>
    <row r="13" spans="1:15">
      <c r="C13" s="302"/>
      <c r="D13" s="372"/>
      <c r="E13" s="372"/>
    </row>
    <row r="14" spans="1:15">
      <c r="A14" s="484">
        <v>6</v>
      </c>
      <c r="B14" s="484" t="str">
        <f>+B8</f>
        <v>April</v>
      </c>
      <c r="C14" s="302" t="s">
        <v>271</v>
      </c>
      <c r="D14" s="372" t="s">
        <v>242</v>
      </c>
      <c r="E14" s="372"/>
    </row>
    <row r="15" spans="1:15">
      <c r="A15" s="484">
        <v>7</v>
      </c>
      <c r="B15" s="484" t="str">
        <f t="shared" ref="B15:C17" si="0">+B14</f>
        <v>April</v>
      </c>
      <c r="C15" s="302" t="str">
        <f t="shared" si="0"/>
        <v>Year 3</v>
      </c>
      <c r="D15" s="355" t="s">
        <v>650</v>
      </c>
      <c r="E15" s="355"/>
    </row>
    <row r="16" spans="1:15" ht="26.25" customHeight="1">
      <c r="A16" s="773">
        <v>8</v>
      </c>
      <c r="B16" s="773" t="str">
        <f t="shared" si="0"/>
        <v>April</v>
      </c>
      <c r="C16" s="306" t="str">
        <f t="shared" si="0"/>
        <v>Year 3</v>
      </c>
      <c r="D16" s="1333" t="s">
        <v>548</v>
      </c>
      <c r="E16" s="1333"/>
      <c r="F16" s="1334"/>
      <c r="G16" s="1334"/>
      <c r="H16" s="1334"/>
      <c r="I16" s="1334"/>
      <c r="J16" s="1334"/>
      <c r="K16" s="1334"/>
      <c r="L16" s="1334"/>
      <c r="M16" s="1334"/>
      <c r="N16" s="774"/>
      <c r="O16" s="774"/>
    </row>
    <row r="17" spans="1:13" ht="24.75" customHeight="1">
      <c r="A17" s="773">
        <v>9</v>
      </c>
      <c r="B17" s="773" t="str">
        <f t="shared" si="0"/>
        <v>April</v>
      </c>
      <c r="C17" s="306" t="str">
        <f t="shared" si="0"/>
        <v>Year 3</v>
      </c>
      <c r="D17" s="1333" t="s">
        <v>592</v>
      </c>
      <c r="E17" s="1333"/>
      <c r="F17" s="1334"/>
      <c r="G17" s="1334"/>
      <c r="H17" s="1334"/>
      <c r="I17" s="1334"/>
      <c r="J17" s="1334"/>
      <c r="K17" s="1334"/>
      <c r="L17" s="1334"/>
      <c r="M17" s="1334"/>
    </row>
    <row r="18" spans="1:13">
      <c r="A18" s="484">
        <v>10</v>
      </c>
      <c r="B18" s="484" t="str">
        <f>+B11</f>
        <v>May</v>
      </c>
      <c r="C18" s="302" t="str">
        <f>+C17</f>
        <v>Year 3</v>
      </c>
      <c r="D18" s="372" t="s">
        <v>369</v>
      </c>
      <c r="E18" s="372"/>
    </row>
    <row r="19" spans="1:13">
      <c r="A19" s="484">
        <v>11</v>
      </c>
      <c r="B19" s="772" t="str">
        <f>+B12</f>
        <v>June</v>
      </c>
      <c r="C19" s="302" t="str">
        <f>+C18</f>
        <v>Year 3</v>
      </c>
      <c r="D19" s="372" t="s">
        <v>411</v>
      </c>
      <c r="E19" s="372"/>
    </row>
    <row r="20" spans="1:13">
      <c r="B20" s="772"/>
      <c r="D20" s="372"/>
      <c r="E20" s="372"/>
    </row>
    <row r="21" spans="1:13">
      <c r="A21" s="297" t="s">
        <v>715</v>
      </c>
      <c r="B21" s="254"/>
      <c r="C21" s="254"/>
      <c r="D21" s="271"/>
      <c r="E21" s="271"/>
      <c r="F21" s="159"/>
      <c r="G21" s="1338"/>
      <c r="H21" s="1338"/>
      <c r="I21" s="1338"/>
      <c r="J21" s="506"/>
    </row>
    <row r="22" spans="1:13">
      <c r="A22" s="297"/>
      <c r="B22" s="302"/>
      <c r="D22" s="775"/>
      <c r="E22" s="775"/>
    </row>
    <row r="23" spans="1:13">
      <c r="A23" s="484">
        <f>+A8</f>
        <v>1</v>
      </c>
      <c r="B23" s="484" t="str">
        <f>+B8</f>
        <v>April</v>
      </c>
      <c r="C23" s="484" t="str">
        <f>+C8</f>
        <v>Year 2</v>
      </c>
      <c r="D23" s="246" t="str">
        <f>+D8</f>
        <v>TO populates the formula with Year 1 data</v>
      </c>
    </row>
    <row r="24" spans="1:13">
      <c r="D24" s="776"/>
      <c r="E24" s="776"/>
      <c r="F24" s="246" t="s">
        <v>238</v>
      </c>
      <c r="H24" s="780" t="s">
        <v>376</v>
      </c>
      <c r="I24" s="771"/>
      <c r="J24" s="771"/>
      <c r="K24" s="771"/>
      <c r="L24" s="771"/>
    </row>
    <row r="26" spans="1:13">
      <c r="A26" s="484">
        <v>2</v>
      </c>
      <c r="B26" s="484" t="str">
        <f>+B23</f>
        <v>April</v>
      </c>
      <c r="C26" s="484" t="str">
        <f>+C23</f>
        <v>Year 2</v>
      </c>
      <c r="D26" s="372" t="str">
        <f>+D9</f>
        <v>TO estimates all transmission Cap Adds for Year 2 weighted based on Months expected to be in service in Year 2</v>
      </c>
      <c r="E26" s="372"/>
    </row>
    <row r="27" spans="1:13" ht="13.5" thickBot="1">
      <c r="D27" s="272"/>
      <c r="E27" s="272"/>
      <c r="F27" s="272"/>
      <c r="G27" s="272"/>
      <c r="H27" s="272"/>
      <c r="I27" s="1337"/>
      <c r="J27" s="1337"/>
      <c r="K27" s="1337"/>
      <c r="L27" s="1337"/>
    </row>
    <row r="28" spans="1:13">
      <c r="G28" s="1335" t="s">
        <v>419</v>
      </c>
      <c r="H28" s="1336"/>
      <c r="I28" s="503"/>
      <c r="J28" s="383"/>
      <c r="K28" s="383"/>
      <c r="L28" s="503"/>
    </row>
    <row r="29" spans="1:13" ht="13.5" thickBot="1">
      <c r="C29" s="246"/>
      <c r="D29" s="484" t="s">
        <v>420</v>
      </c>
      <c r="E29" s="484" t="s">
        <v>421</v>
      </c>
      <c r="F29" s="484" t="s">
        <v>422</v>
      </c>
      <c r="G29" s="931" t="s">
        <v>305</v>
      </c>
      <c r="H29" s="932" t="s">
        <v>306</v>
      </c>
      <c r="I29" s="383"/>
      <c r="J29" s="383"/>
      <c r="K29" s="383"/>
      <c r="L29" s="383"/>
      <c r="M29" s="791"/>
    </row>
    <row r="30" spans="1:13" ht="51">
      <c r="C30" s="790"/>
      <c r="D30" s="791" t="s">
        <v>153</v>
      </c>
      <c r="E30" s="789" t="s">
        <v>748</v>
      </c>
      <c r="F30" s="484" t="s">
        <v>282</v>
      </c>
      <c r="G30" s="791" t="s">
        <v>153</v>
      </c>
      <c r="H30" s="933" t="str">
        <f>+E30</f>
        <v>Phase II West Loop CWIP EOY Balance and Increments</v>
      </c>
      <c r="I30" s="383"/>
      <c r="J30" s="793"/>
      <c r="K30" s="793"/>
      <c r="L30" s="793"/>
      <c r="M30" s="791"/>
    </row>
    <row r="31" spans="1:13">
      <c r="C31" s="372" t="s">
        <v>382</v>
      </c>
      <c r="D31" s="1185"/>
      <c r="E31" s="939">
        <v>0</v>
      </c>
      <c r="F31" s="302">
        <v>12</v>
      </c>
      <c r="G31" s="930"/>
      <c r="H31" s="934">
        <f>F31*E31/12</f>
        <v>0</v>
      </c>
      <c r="I31" s="784"/>
      <c r="J31" s="935"/>
      <c r="K31" s="784"/>
      <c r="L31" s="784"/>
    </row>
    <row r="32" spans="1:13">
      <c r="C32" s="246" t="s">
        <v>283</v>
      </c>
      <c r="D32" s="1072">
        <v>24759541.98</v>
      </c>
      <c r="E32" s="1072"/>
      <c r="F32" s="484">
        <v>11.5</v>
      </c>
      <c r="G32" s="797">
        <f t="shared" ref="G32:G43" si="1">$F32*D32/12</f>
        <v>23727894.397499997</v>
      </c>
      <c r="H32" s="934">
        <f t="shared" ref="H32:H43" si="2">F32*E32/12</f>
        <v>0</v>
      </c>
      <c r="I32" s="784"/>
      <c r="J32" s="935"/>
      <c r="K32" s="952"/>
      <c r="L32" s="961"/>
    </row>
    <row r="33" spans="3:12">
      <c r="C33" s="246" t="s">
        <v>284</v>
      </c>
      <c r="D33" s="1072">
        <v>4295315.16</v>
      </c>
      <c r="E33" s="1072"/>
      <c r="F33" s="484">
        <f t="shared" ref="F33:F43" si="3">+F32-1</f>
        <v>10.5</v>
      </c>
      <c r="G33" s="797">
        <f t="shared" si="1"/>
        <v>3758400.7650000001</v>
      </c>
      <c r="H33" s="934">
        <f t="shared" si="2"/>
        <v>0</v>
      </c>
      <c r="I33" s="784"/>
      <c r="K33" s="963"/>
      <c r="L33" s="784"/>
    </row>
    <row r="34" spans="3:12">
      <c r="C34" s="246" t="s">
        <v>285</v>
      </c>
      <c r="D34" s="1072">
        <v>-24150908.030000001</v>
      </c>
      <c r="E34" s="1072"/>
      <c r="F34" s="484">
        <f t="shared" si="3"/>
        <v>9.5</v>
      </c>
      <c r="G34" s="797">
        <f t="shared" si="1"/>
        <v>-19119468.857083336</v>
      </c>
      <c r="H34" s="934">
        <f t="shared" si="2"/>
        <v>0</v>
      </c>
      <c r="I34" s="784"/>
      <c r="K34" s="962"/>
      <c r="L34" s="784"/>
    </row>
    <row r="35" spans="3:12">
      <c r="C35" s="246" t="s">
        <v>286</v>
      </c>
      <c r="D35" s="1072">
        <v>-5597833.6799999997</v>
      </c>
      <c r="E35" s="1072"/>
      <c r="F35" s="484">
        <f t="shared" si="3"/>
        <v>8.5</v>
      </c>
      <c r="G35" s="797">
        <f t="shared" si="1"/>
        <v>-3965132.19</v>
      </c>
      <c r="H35" s="934">
        <f>F35*E35/12</f>
        <v>0</v>
      </c>
      <c r="I35" s="784"/>
      <c r="K35" s="962"/>
      <c r="L35" s="784"/>
    </row>
    <row r="36" spans="3:12">
      <c r="C36" s="246" t="s">
        <v>280</v>
      </c>
      <c r="D36" s="1072">
        <v>20665127.989999998</v>
      </c>
      <c r="E36" s="1072"/>
      <c r="F36" s="484">
        <f t="shared" si="3"/>
        <v>7.5</v>
      </c>
      <c r="G36" s="797">
        <f t="shared" si="1"/>
        <v>12915704.993749999</v>
      </c>
      <c r="H36" s="934">
        <f t="shared" si="2"/>
        <v>0</v>
      </c>
      <c r="I36" s="784"/>
      <c r="K36" s="962"/>
      <c r="L36" s="784"/>
    </row>
    <row r="37" spans="3:12">
      <c r="C37" s="246" t="s">
        <v>287</v>
      </c>
      <c r="D37" s="1072">
        <v>60987121.920000002</v>
      </c>
      <c r="E37" s="1072"/>
      <c r="F37" s="484">
        <f t="shared" si="3"/>
        <v>6.5</v>
      </c>
      <c r="G37" s="797">
        <f t="shared" si="1"/>
        <v>33034691.040000003</v>
      </c>
      <c r="H37" s="934">
        <f t="shared" si="2"/>
        <v>0</v>
      </c>
      <c r="I37" s="784"/>
      <c r="K37" s="952"/>
      <c r="L37" s="784"/>
    </row>
    <row r="38" spans="3:12">
      <c r="C38" s="246" t="s">
        <v>288</v>
      </c>
      <c r="D38" s="1072">
        <v>10685341.66</v>
      </c>
      <c r="E38" s="1072"/>
      <c r="F38" s="484">
        <f t="shared" si="3"/>
        <v>5.5</v>
      </c>
      <c r="G38" s="797">
        <f t="shared" si="1"/>
        <v>4897448.2608333332</v>
      </c>
      <c r="H38" s="934">
        <f t="shared" si="2"/>
        <v>0</v>
      </c>
      <c r="I38" s="784"/>
      <c r="K38" s="952"/>
      <c r="L38" s="784"/>
    </row>
    <row r="39" spans="3:12">
      <c r="C39" s="246" t="s">
        <v>289</v>
      </c>
      <c r="D39" s="1072">
        <v>3607819.03</v>
      </c>
      <c r="E39" s="1072"/>
      <c r="F39" s="484">
        <f t="shared" si="3"/>
        <v>4.5</v>
      </c>
      <c r="G39" s="797">
        <f t="shared" si="1"/>
        <v>1352932.13625</v>
      </c>
      <c r="H39" s="934">
        <f t="shared" si="2"/>
        <v>0</v>
      </c>
      <c r="I39" s="784"/>
      <c r="K39" s="952"/>
      <c r="L39" s="784"/>
    </row>
    <row r="40" spans="3:12">
      <c r="C40" s="246" t="s">
        <v>290</v>
      </c>
      <c r="D40" s="1072">
        <v>13324883</v>
      </c>
      <c r="E40" s="1072"/>
      <c r="F40" s="484">
        <f t="shared" si="3"/>
        <v>3.5</v>
      </c>
      <c r="G40" s="797">
        <f t="shared" si="1"/>
        <v>3886424.2083333335</v>
      </c>
      <c r="H40" s="934">
        <f t="shared" si="2"/>
        <v>0</v>
      </c>
      <c r="I40" s="784"/>
      <c r="K40" s="952"/>
      <c r="L40" s="784"/>
    </row>
    <row r="41" spans="3:12">
      <c r="C41" s="246" t="s">
        <v>291</v>
      </c>
      <c r="D41" s="1072">
        <v>5925540.6600000001</v>
      </c>
      <c r="E41" s="1072"/>
      <c r="F41" s="484">
        <f t="shared" si="3"/>
        <v>2.5</v>
      </c>
      <c r="G41" s="797">
        <f t="shared" si="1"/>
        <v>1234487.6375</v>
      </c>
      <c r="H41" s="934">
        <f t="shared" si="2"/>
        <v>0</v>
      </c>
      <c r="I41" s="784"/>
      <c r="K41" s="952"/>
      <c r="L41" s="784"/>
    </row>
    <row r="42" spans="3:12">
      <c r="C42" s="246" t="s">
        <v>292</v>
      </c>
      <c r="D42" s="1073">
        <v>6418999.1500000004</v>
      </c>
      <c r="E42" s="1072"/>
      <c r="F42" s="484">
        <f t="shared" si="3"/>
        <v>1.5</v>
      </c>
      <c r="G42" s="797">
        <f t="shared" si="1"/>
        <v>802374.89375000016</v>
      </c>
      <c r="H42" s="934">
        <f t="shared" si="2"/>
        <v>0</v>
      </c>
      <c r="I42" s="784"/>
      <c r="K42" s="952"/>
      <c r="L42" s="784"/>
    </row>
    <row r="43" spans="3:12">
      <c r="C43" s="246" t="s">
        <v>293</v>
      </c>
      <c r="D43" s="1072">
        <v>83923562.609999999</v>
      </c>
      <c r="E43" s="1073"/>
      <c r="F43" s="484">
        <f t="shared" si="3"/>
        <v>0.5</v>
      </c>
      <c r="G43" s="798">
        <f t="shared" si="1"/>
        <v>3496815.1087500001</v>
      </c>
      <c r="H43" s="798">
        <f t="shared" si="2"/>
        <v>0</v>
      </c>
      <c r="I43" s="784"/>
      <c r="K43" s="952"/>
      <c r="L43" s="784"/>
    </row>
    <row r="44" spans="3:12">
      <c r="C44" s="246" t="s">
        <v>576</v>
      </c>
      <c r="D44" s="797">
        <f>SUM(D32:D43)</f>
        <v>204844511.44999999</v>
      </c>
      <c r="E44" s="797">
        <f>SUM(E32:E43)</f>
        <v>0</v>
      </c>
      <c r="F44" s="797"/>
      <c r="G44" s="797">
        <f>SUM(G32:G43)</f>
        <v>66022572.394583322</v>
      </c>
      <c r="H44" s="797">
        <f>SUM(H31:H43)</f>
        <v>0</v>
      </c>
      <c r="I44" s="355" t="s">
        <v>576</v>
      </c>
      <c r="K44" s="952"/>
      <c r="L44" s="799"/>
    </row>
    <row r="45" spans="3:12">
      <c r="C45" s="795"/>
      <c r="D45" s="771"/>
      <c r="E45" s="771"/>
      <c r="F45" s="771"/>
      <c r="G45" s="800">
        <f>+G44/D44*12</f>
        <v>3.8676694978395036</v>
      </c>
      <c r="H45" s="801"/>
      <c r="I45" s="771" t="s">
        <v>307</v>
      </c>
      <c r="J45" s="777"/>
      <c r="K45" s="778"/>
      <c r="L45" s="779"/>
    </row>
    <row r="46" spans="3:12">
      <c r="C46" s="771" t="s">
        <v>265</v>
      </c>
      <c r="D46" s="771"/>
      <c r="E46" s="771"/>
      <c r="F46" s="936"/>
      <c r="G46" s="936">
        <f>+G44</f>
        <v>66022572.394583322</v>
      </c>
      <c r="H46" s="936"/>
      <c r="I46" s="771" t="s">
        <v>746</v>
      </c>
      <c r="J46" s="1091" t="s">
        <v>373</v>
      </c>
      <c r="K46" s="936"/>
    </row>
    <row r="47" spans="3:12">
      <c r="C47" s="771" t="s">
        <v>745</v>
      </c>
      <c r="D47" s="771"/>
      <c r="E47" s="771"/>
      <c r="F47" s="936"/>
      <c r="G47" s="937"/>
      <c r="H47" s="936">
        <f>+H44</f>
        <v>0</v>
      </c>
      <c r="I47" s="771" t="s">
        <v>747</v>
      </c>
      <c r="J47" s="1091" t="s">
        <v>374</v>
      </c>
      <c r="K47" s="936"/>
    </row>
    <row r="48" spans="3:12">
      <c r="C48" s="246"/>
      <c r="F48" s="797"/>
      <c r="G48" s="938"/>
      <c r="H48" s="797"/>
      <c r="J48" s="797"/>
      <c r="K48" s="797"/>
    </row>
    <row r="49" spans="1:15">
      <c r="A49" s="484">
        <v>3</v>
      </c>
      <c r="B49" s="484" t="str">
        <f>+B26</f>
        <v>April</v>
      </c>
      <c r="C49" s="484" t="str">
        <f>+C26</f>
        <v>Year 2</v>
      </c>
      <c r="I49" s="355"/>
    </row>
    <row r="50" spans="1:15">
      <c r="K50" s="797"/>
      <c r="L50" s="484"/>
      <c r="M50" s="797"/>
    </row>
    <row r="51" spans="1:15">
      <c r="D51" s="783"/>
      <c r="E51" s="783"/>
      <c r="F51" s="484"/>
      <c r="G51" s="484"/>
      <c r="H51" s="484"/>
      <c r="I51" s="484"/>
      <c r="J51" s="484"/>
      <c r="K51" s="797"/>
      <c r="L51" s="484"/>
      <c r="M51" s="797"/>
    </row>
    <row r="52" spans="1:15">
      <c r="A52" s="484">
        <v>4</v>
      </c>
      <c r="B52" s="484" t="str">
        <f>+B11</f>
        <v>May</v>
      </c>
      <c r="C52" s="484" t="str">
        <f>+C49</f>
        <v>Year 2</v>
      </c>
      <c r="D52" s="246" t="str">
        <f>+D11</f>
        <v>Post results of Step 3 on PJM web site</v>
      </c>
    </row>
    <row r="53" spans="1:15">
      <c r="D53" s="1074">
        <f>484980271+2819415</f>
        <v>487799686</v>
      </c>
      <c r="E53" s="1074"/>
      <c r="G53" s="780" t="s">
        <v>377</v>
      </c>
      <c r="H53" s="771"/>
      <c r="I53" s="771"/>
      <c r="J53" s="771"/>
      <c r="K53" s="781"/>
      <c r="L53" s="771"/>
      <c r="M53" s="159"/>
    </row>
    <row r="54" spans="1:15">
      <c r="D54" s="782"/>
      <c r="E54" s="782"/>
      <c r="K54" s="159"/>
      <c r="L54" s="159"/>
      <c r="M54" s="159"/>
    </row>
    <row r="55" spans="1:15">
      <c r="A55" s="484">
        <f>+A12</f>
        <v>5</v>
      </c>
      <c r="B55" s="484" t="str">
        <f>+B12</f>
        <v>June</v>
      </c>
      <c r="C55" s="484" t="str">
        <f>+C12</f>
        <v>Year 2</v>
      </c>
      <c r="D55" s="372" t="str">
        <f>+D12</f>
        <v>Results of Step 3 go into effect</v>
      </c>
      <c r="E55" s="372"/>
      <c r="K55" s="159"/>
      <c r="L55" s="159"/>
      <c r="M55" s="159"/>
    </row>
    <row r="56" spans="1:15">
      <c r="D56" s="783"/>
      <c r="E56" s="783"/>
      <c r="K56" s="159"/>
      <c r="L56" s="159"/>
      <c r="M56" s="159"/>
    </row>
    <row r="57" spans="1:15">
      <c r="A57" s="485"/>
      <c r="B57" s="485"/>
      <c r="C57" s="485"/>
      <c r="D57" s="548"/>
      <c r="E57" s="548"/>
      <c r="F57" s="548"/>
      <c r="G57" s="548"/>
      <c r="H57" s="548"/>
      <c r="I57" s="548"/>
      <c r="J57" s="548"/>
      <c r="K57" s="784"/>
      <c r="L57" s="272"/>
      <c r="M57" s="272"/>
      <c r="N57" s="548"/>
      <c r="O57" s="548"/>
    </row>
    <row r="58" spans="1:15">
      <c r="A58" s="485"/>
      <c r="B58" s="485"/>
      <c r="C58" s="485"/>
      <c r="D58" s="548"/>
      <c r="E58" s="548"/>
      <c r="F58" s="548"/>
      <c r="G58" s="548"/>
      <c r="H58" s="548"/>
      <c r="I58" s="548"/>
      <c r="J58" s="548"/>
      <c r="K58" s="272"/>
      <c r="L58" s="272"/>
      <c r="M58" s="272"/>
      <c r="N58" s="548"/>
      <c r="O58" s="256"/>
    </row>
    <row r="59" spans="1:15">
      <c r="A59" s="485"/>
      <c r="B59" s="485"/>
      <c r="C59" s="485"/>
      <c r="D59" s="548"/>
      <c r="E59" s="548"/>
      <c r="F59" s="548"/>
      <c r="G59" s="548"/>
      <c r="H59" s="548"/>
      <c r="I59" s="548"/>
      <c r="J59" s="548"/>
      <c r="K59" s="272"/>
      <c r="L59" s="272"/>
      <c r="M59" s="272"/>
      <c r="N59" s="548"/>
      <c r="O59" s="256"/>
    </row>
    <row r="60" spans="1:15">
      <c r="A60" s="484">
        <f>+A14</f>
        <v>6</v>
      </c>
      <c r="B60" s="484" t="str">
        <f>+B14</f>
        <v>April</v>
      </c>
      <c r="C60" s="484" t="str">
        <f>+C14</f>
        <v>Year 3</v>
      </c>
      <c r="D60" s="372" t="str">
        <f>+D14</f>
        <v>TO populates the formula with Year 2 data</v>
      </c>
      <c r="E60" s="372"/>
      <c r="K60" s="159"/>
      <c r="L60" s="159"/>
      <c r="M60" s="159"/>
    </row>
    <row r="61" spans="1:15">
      <c r="E61" s="1074">
        <f>D53</f>
        <v>487799686</v>
      </c>
      <c r="F61" s="246" t="s">
        <v>351</v>
      </c>
      <c r="H61" s="780" t="str">
        <f>+H24</f>
        <v>Must run Appendix A to get this number (without any cap adds in Appendix A, line 17)</v>
      </c>
      <c r="I61" s="771"/>
      <c r="J61" s="771"/>
      <c r="K61" s="771"/>
      <c r="L61" s="771"/>
      <c r="M61" s="159"/>
    </row>
    <row r="62" spans="1:15">
      <c r="D62" s="785"/>
      <c r="E62" s="785"/>
      <c r="K62" s="159"/>
      <c r="L62" s="159"/>
      <c r="M62" s="159"/>
    </row>
    <row r="63" spans="1:15">
      <c r="D63" s="786"/>
      <c r="E63" s="786"/>
    </row>
    <row r="64" spans="1:15">
      <c r="A64" s="484">
        <f>+A15</f>
        <v>7</v>
      </c>
      <c r="B64" s="484" t="str">
        <f>+B15</f>
        <v>April</v>
      </c>
      <c r="C64" s="484" t="str">
        <f>+C15</f>
        <v>Year 3</v>
      </c>
      <c r="D64" s="372" t="str">
        <f>+D15</f>
        <v>TO estimates all transmission Cap Adds during Year 3 weighted based on Months expected to be in service in Year 3</v>
      </c>
      <c r="E64" s="372"/>
    </row>
    <row r="65" spans="3:13" ht="13.5" thickBot="1">
      <c r="D65" s="272"/>
      <c r="E65" s="272"/>
      <c r="F65" s="272"/>
      <c r="G65" s="272"/>
      <c r="H65" s="272"/>
      <c r="I65" s="503"/>
      <c r="J65" s="503"/>
      <c r="K65" s="503"/>
      <c r="L65" s="503"/>
    </row>
    <row r="66" spans="3:13">
      <c r="G66" s="1335" t="s">
        <v>419</v>
      </c>
      <c r="H66" s="1336"/>
      <c r="I66" s="503"/>
      <c r="J66" s="383"/>
      <c r="K66" s="383"/>
      <c r="L66" s="503"/>
    </row>
    <row r="67" spans="3:13" ht="13.5" thickBot="1">
      <c r="C67" s="246"/>
      <c r="D67" s="484" t="s">
        <v>420</v>
      </c>
      <c r="E67" s="484" t="s">
        <v>421</v>
      </c>
      <c r="F67" s="484" t="s">
        <v>422</v>
      </c>
      <c r="G67" s="787" t="s">
        <v>305</v>
      </c>
      <c r="H67" s="788" t="s">
        <v>306</v>
      </c>
      <c r="I67" s="383"/>
      <c r="J67" s="383"/>
      <c r="K67" s="383"/>
      <c r="L67" s="383"/>
      <c r="M67" s="930"/>
    </row>
    <row r="68" spans="3:13" ht="51">
      <c r="C68" s="790"/>
      <c r="D68" s="791" t="s">
        <v>153</v>
      </c>
      <c r="E68" s="789" t="s">
        <v>748</v>
      </c>
      <c r="F68" s="484" t="s">
        <v>282</v>
      </c>
      <c r="G68" s="791" t="s">
        <v>153</v>
      </c>
      <c r="H68" s="792" t="str">
        <f>+E68</f>
        <v>Phase II West Loop CWIP EOY Balance and Increments</v>
      </c>
      <c r="I68" s="383"/>
      <c r="J68" s="793"/>
      <c r="K68" s="793"/>
      <c r="L68" s="793"/>
      <c r="M68" s="791"/>
    </row>
    <row r="69" spans="3:13">
      <c r="C69" s="794" t="s">
        <v>382</v>
      </c>
      <c r="E69" s="939"/>
      <c r="F69" s="795">
        <v>12</v>
      </c>
      <c r="G69" s="789"/>
      <c r="H69" s="796">
        <f>F69*E69/12</f>
        <v>0</v>
      </c>
      <c r="I69" s="784"/>
      <c r="J69" s="383"/>
      <c r="K69" s="383"/>
      <c r="L69" s="383"/>
    </row>
    <row r="70" spans="3:13">
      <c r="C70" s="246" t="s">
        <v>283</v>
      </c>
      <c r="D70" s="1072">
        <v>3728000</v>
      </c>
      <c r="E70" s="1072"/>
      <c r="F70" s="484">
        <v>11.5</v>
      </c>
      <c r="G70" s="797">
        <f t="shared" ref="G70:H81" si="4">$F70*D70/12</f>
        <v>3572666.6666666665</v>
      </c>
      <c r="H70" s="797">
        <f t="shared" si="4"/>
        <v>0</v>
      </c>
      <c r="I70" s="784"/>
      <c r="J70" s="811"/>
      <c r="K70" s="784"/>
      <c r="L70" s="784"/>
    </row>
    <row r="71" spans="3:13">
      <c r="C71" s="246" t="s">
        <v>284</v>
      </c>
      <c r="D71" s="1072">
        <v>3758300</v>
      </c>
      <c r="E71" s="1072"/>
      <c r="F71" s="484">
        <f t="shared" ref="F71:F81" si="5">+F70-1</f>
        <v>10.5</v>
      </c>
      <c r="G71" s="797">
        <f t="shared" si="4"/>
        <v>3288512.5</v>
      </c>
      <c r="H71" s="797">
        <f t="shared" si="4"/>
        <v>0</v>
      </c>
      <c r="I71" s="784"/>
      <c r="J71" s="811"/>
      <c r="K71" s="784"/>
      <c r="L71" s="784"/>
    </row>
    <row r="72" spans="3:13">
      <c r="C72" s="246" t="s">
        <v>285</v>
      </c>
      <c r="D72" s="1072">
        <v>23468800</v>
      </c>
      <c r="E72" s="1072"/>
      <c r="F72" s="484">
        <f t="shared" si="5"/>
        <v>9.5</v>
      </c>
      <c r="G72" s="797">
        <f t="shared" si="4"/>
        <v>18579466.666666668</v>
      </c>
      <c r="H72" s="797">
        <f t="shared" si="4"/>
        <v>0</v>
      </c>
      <c r="I72" s="784"/>
      <c r="J72" s="811"/>
      <c r="K72" s="784"/>
      <c r="L72" s="784"/>
    </row>
    <row r="73" spans="3:13">
      <c r="C73" s="246" t="s">
        <v>286</v>
      </c>
      <c r="D73" s="1072">
        <v>8225800</v>
      </c>
      <c r="E73" s="1072"/>
      <c r="F73" s="484">
        <f t="shared" si="5"/>
        <v>8.5</v>
      </c>
      <c r="G73" s="797">
        <f t="shared" si="4"/>
        <v>5826608.333333333</v>
      </c>
      <c r="H73" s="797">
        <f t="shared" si="4"/>
        <v>0</v>
      </c>
      <c r="I73" s="784"/>
      <c r="J73" s="811"/>
      <c r="K73" s="784"/>
      <c r="L73" s="784"/>
    </row>
    <row r="74" spans="3:13">
      <c r="C74" s="246" t="s">
        <v>280</v>
      </c>
      <c r="D74" s="1072">
        <v>14821400</v>
      </c>
      <c r="E74" s="1072"/>
      <c r="F74" s="484">
        <f t="shared" si="5"/>
        <v>7.5</v>
      </c>
      <c r="G74" s="797">
        <f t="shared" si="4"/>
        <v>9263375</v>
      </c>
      <c r="H74" s="797">
        <f t="shared" si="4"/>
        <v>0</v>
      </c>
      <c r="I74" s="784"/>
      <c r="J74" s="811"/>
      <c r="K74" s="784"/>
      <c r="L74" s="784"/>
    </row>
    <row r="75" spans="3:13">
      <c r="C75" s="246" t="s">
        <v>287</v>
      </c>
      <c r="D75" s="1072">
        <v>66610100</v>
      </c>
      <c r="E75" s="1072"/>
      <c r="F75" s="484">
        <f t="shared" si="5"/>
        <v>6.5</v>
      </c>
      <c r="G75" s="797">
        <f t="shared" si="4"/>
        <v>36080470.833333336</v>
      </c>
      <c r="H75" s="797">
        <f t="shared" si="4"/>
        <v>0</v>
      </c>
      <c r="I75" s="784"/>
      <c r="J75" s="811"/>
      <c r="K75" s="784"/>
      <c r="L75" s="784"/>
    </row>
    <row r="76" spans="3:13">
      <c r="C76" s="246" t="s">
        <v>288</v>
      </c>
      <c r="D76" s="1072">
        <v>-1213400</v>
      </c>
      <c r="E76" s="1072"/>
      <c r="F76" s="484">
        <f t="shared" si="5"/>
        <v>5.5</v>
      </c>
      <c r="G76" s="797">
        <f t="shared" si="4"/>
        <v>-556141.66666666663</v>
      </c>
      <c r="H76" s="797">
        <f t="shared" si="4"/>
        <v>0</v>
      </c>
      <c r="I76" s="784"/>
      <c r="J76" s="811"/>
      <c r="K76" s="784"/>
      <c r="L76" s="784"/>
    </row>
    <row r="77" spans="3:13">
      <c r="C77" s="246" t="s">
        <v>289</v>
      </c>
      <c r="D77" s="1072">
        <v>6118100</v>
      </c>
      <c r="E77" s="1072"/>
      <c r="F77" s="484">
        <f t="shared" si="5"/>
        <v>4.5</v>
      </c>
      <c r="G77" s="797">
        <f t="shared" si="4"/>
        <v>2294287.5</v>
      </c>
      <c r="H77" s="797">
        <f t="shared" si="4"/>
        <v>0</v>
      </c>
      <c r="I77" s="784"/>
      <c r="J77" s="811"/>
      <c r="K77" s="784"/>
      <c r="L77" s="784"/>
    </row>
    <row r="78" spans="3:13">
      <c r="C78" s="246" t="s">
        <v>290</v>
      </c>
      <c r="D78" s="1072">
        <v>12049000</v>
      </c>
      <c r="E78" s="1072"/>
      <c r="F78" s="484">
        <f t="shared" si="5"/>
        <v>3.5</v>
      </c>
      <c r="G78" s="797">
        <f t="shared" si="4"/>
        <v>3514291.6666666665</v>
      </c>
      <c r="H78" s="797">
        <f t="shared" si="4"/>
        <v>0</v>
      </c>
      <c r="I78" s="784"/>
      <c r="J78" s="811"/>
      <c r="K78" s="784"/>
      <c r="L78" s="784"/>
    </row>
    <row r="79" spans="3:13">
      <c r="C79" s="246" t="s">
        <v>291</v>
      </c>
      <c r="D79" s="1072">
        <v>132183400</v>
      </c>
      <c r="E79" s="1072"/>
      <c r="F79" s="484">
        <f t="shared" si="5"/>
        <v>2.5</v>
      </c>
      <c r="G79" s="797">
        <f t="shared" si="4"/>
        <v>27538208.333333332</v>
      </c>
      <c r="H79" s="797">
        <f t="shared" si="4"/>
        <v>0</v>
      </c>
      <c r="I79" s="784"/>
      <c r="J79" s="811"/>
      <c r="K79" s="784"/>
      <c r="L79" s="784"/>
    </row>
    <row r="80" spans="3:13">
      <c r="C80" s="246" t="s">
        <v>292</v>
      </c>
      <c r="D80" s="1072">
        <v>11624800</v>
      </c>
      <c r="E80" s="1072"/>
      <c r="F80" s="484">
        <f t="shared" si="5"/>
        <v>1.5</v>
      </c>
      <c r="G80" s="797">
        <f t="shared" si="4"/>
        <v>1453100</v>
      </c>
      <c r="H80" s="797">
        <f t="shared" si="4"/>
        <v>0</v>
      </c>
      <c r="I80" s="784"/>
      <c r="J80" s="811"/>
      <c r="K80" s="784"/>
      <c r="L80" s="784"/>
    </row>
    <row r="81" spans="1:20">
      <c r="C81" s="246" t="s">
        <v>293</v>
      </c>
      <c r="D81" s="1073">
        <v>304419700</v>
      </c>
      <c r="E81" s="1073"/>
      <c r="F81" s="484">
        <f t="shared" si="5"/>
        <v>0.5</v>
      </c>
      <c r="G81" s="798">
        <f t="shared" si="4"/>
        <v>12684154.166666666</v>
      </c>
      <c r="H81" s="798">
        <f t="shared" si="4"/>
        <v>0</v>
      </c>
      <c r="I81" s="784"/>
      <c r="J81" s="940"/>
      <c r="K81" s="784"/>
      <c r="L81" s="784"/>
    </row>
    <row r="82" spans="1:20">
      <c r="C82" s="246" t="s">
        <v>576</v>
      </c>
      <c r="D82" s="797">
        <f>SUM(D70:D81)</f>
        <v>585794000</v>
      </c>
      <c r="E82" s="797">
        <f>SUM(E70:E81)</f>
        <v>0</v>
      </c>
      <c r="F82" s="797"/>
      <c r="G82" s="797">
        <f>SUM(G70:G81)</f>
        <v>123539000</v>
      </c>
      <c r="H82" s="797">
        <f>SUM(H69:H81)</f>
        <v>0</v>
      </c>
      <c r="I82" s="355" t="s">
        <v>576</v>
      </c>
      <c r="J82" s="799"/>
      <c r="K82" s="799"/>
      <c r="L82" s="784"/>
    </row>
    <row r="83" spans="1:20">
      <c r="C83" s="795"/>
      <c r="D83" s="771"/>
      <c r="E83" s="771"/>
      <c r="F83" s="771"/>
      <c r="G83" s="800">
        <f>+G82/D82*12</f>
        <v>2.5306985049351822</v>
      </c>
      <c r="H83" s="801"/>
      <c r="I83" s="771" t="s">
        <v>307</v>
      </c>
      <c r="J83" s="777"/>
      <c r="K83" s="778"/>
      <c r="L83" s="799"/>
    </row>
    <row r="84" spans="1:20">
      <c r="C84" s="771" t="s">
        <v>265</v>
      </c>
      <c r="D84" s="771"/>
      <c r="E84" s="771"/>
      <c r="F84" s="936"/>
      <c r="G84" s="936">
        <f>+G82</f>
        <v>123539000</v>
      </c>
      <c r="H84" s="936"/>
      <c r="I84" s="771" t="s">
        <v>746</v>
      </c>
      <c r="J84" s="936" t="s">
        <v>373</v>
      </c>
      <c r="K84" s="936"/>
      <c r="L84" s="799"/>
    </row>
    <row r="85" spans="1:20">
      <c r="C85" s="771" t="s">
        <v>745</v>
      </c>
      <c r="D85" s="771"/>
      <c r="E85" s="771"/>
      <c r="F85" s="936"/>
      <c r="G85" s="937"/>
      <c r="H85" s="936">
        <f>+H82</f>
        <v>0</v>
      </c>
      <c r="I85" s="771" t="s">
        <v>747</v>
      </c>
      <c r="J85" s="936" t="s">
        <v>374</v>
      </c>
      <c r="K85" s="936"/>
      <c r="L85" s="799"/>
    </row>
    <row r="86" spans="1:20">
      <c r="G86" s="941"/>
      <c r="J86" s="799"/>
      <c r="K86" s="799"/>
      <c r="L86" s="799"/>
    </row>
    <row r="87" spans="1:20">
      <c r="C87" s="246" t="s">
        <v>265</v>
      </c>
      <c r="F87" s="797"/>
      <c r="G87" s="938"/>
      <c r="H87" s="797"/>
      <c r="J87" s="802"/>
      <c r="K87" s="803"/>
      <c r="L87" s="804"/>
    </row>
    <row r="88" spans="1:20">
      <c r="I88" s="355"/>
      <c r="J88" s="784"/>
      <c r="K88" s="784"/>
    </row>
    <row r="89" spans="1:20" ht="26.25" customHeight="1">
      <c r="A89" s="773">
        <f>+A16</f>
        <v>8</v>
      </c>
      <c r="B89" s="773" t="str">
        <f>+B16</f>
        <v>April</v>
      </c>
      <c r="C89" s="306" t="str">
        <f>+C16</f>
        <v>Year 3</v>
      </c>
      <c r="D89" s="1333" t="str">
        <f>+D16</f>
        <v>Reconciliation - TO calculates Reconciliation by removing from Year 2 data - the total Cap Adds placed in service in Year 2 and adding weighted average in Year 2 Cap Adds in Reconciliation (adjusted to include any Reconciliation amount from prior year).</v>
      </c>
      <c r="E89" s="1333"/>
      <c r="F89" s="1334"/>
      <c r="G89" s="1334"/>
      <c r="H89" s="1334"/>
      <c r="I89" s="1334"/>
      <c r="J89" s="1334"/>
      <c r="K89" s="1334"/>
      <c r="L89" s="1334"/>
      <c r="M89" s="1334"/>
      <c r="N89" s="774"/>
      <c r="O89" s="774"/>
    </row>
    <row r="90" spans="1:20">
      <c r="D90" s="790"/>
      <c r="E90" s="790"/>
      <c r="F90" s="790"/>
      <c r="G90" s="790"/>
      <c r="H90" s="790"/>
      <c r="I90" s="790"/>
      <c r="J90" s="790"/>
      <c r="K90" s="790"/>
      <c r="L90" s="790"/>
      <c r="M90" s="790"/>
      <c r="N90" s="790"/>
      <c r="O90" s="790"/>
    </row>
    <row r="91" spans="1:20">
      <c r="D91" s="785" t="s">
        <v>266</v>
      </c>
      <c r="E91" s="785"/>
      <c r="M91" s="159"/>
    </row>
    <row r="92" spans="1:20">
      <c r="D92" s="246" t="s">
        <v>234</v>
      </c>
      <c r="F92" s="159"/>
      <c r="G92" s="159"/>
      <c r="H92" s="159"/>
      <c r="I92" s="159"/>
      <c r="J92" s="159"/>
      <c r="L92" s="942">
        <f>+D111</f>
        <v>218054783</v>
      </c>
      <c r="M92" s="771" t="s">
        <v>370</v>
      </c>
      <c r="N92" s="771"/>
    </row>
    <row r="93" spans="1:20">
      <c r="D93" s="785"/>
      <c r="E93" s="785"/>
    </row>
    <row r="94" spans="1:20" ht="13.5" thickBot="1">
      <c r="D94" s="943" t="s">
        <v>235</v>
      </c>
      <c r="E94" s="943"/>
    </row>
    <row r="95" spans="1:20">
      <c r="G95" s="1335" t="s">
        <v>419</v>
      </c>
      <c r="H95" s="1336"/>
      <c r="J95" s="485"/>
      <c r="K95" s="485"/>
    </row>
    <row r="96" spans="1:20" ht="13.5" thickBot="1">
      <c r="D96" s="484" t="s">
        <v>420</v>
      </c>
      <c r="E96" s="484" t="s">
        <v>421</v>
      </c>
      <c r="F96" s="484" t="s">
        <v>422</v>
      </c>
      <c r="G96" s="787" t="s">
        <v>305</v>
      </c>
      <c r="H96" s="788" t="s">
        <v>306</v>
      </c>
      <c r="J96" s="383"/>
      <c r="K96" s="383"/>
      <c r="L96" s="272"/>
      <c r="M96" s="272"/>
      <c r="N96" s="272"/>
      <c r="O96" s="272"/>
      <c r="P96" s="272"/>
      <c r="Q96" s="272"/>
      <c r="R96" s="272"/>
      <c r="S96" s="272"/>
      <c r="T96" s="272"/>
    </row>
    <row r="97" spans="3:20" ht="51">
      <c r="C97" s="246"/>
      <c r="D97" s="791" t="s">
        <v>153</v>
      </c>
      <c r="E97" s="789" t="s">
        <v>748</v>
      </c>
      <c r="F97" s="484" t="s">
        <v>282</v>
      </c>
      <c r="G97" s="791" t="s">
        <v>153</v>
      </c>
      <c r="H97" s="792" t="str">
        <f>+E97</f>
        <v>Phase II West Loop CWIP EOY Balance and Increments</v>
      </c>
      <c r="J97" s="383"/>
      <c r="L97" s="272"/>
      <c r="M97" s="984"/>
      <c r="N97" s="984"/>
      <c r="O97" s="984"/>
      <c r="P97" s="984"/>
      <c r="Q97" s="987"/>
      <c r="R97" s="984"/>
      <c r="S97" s="984"/>
      <c r="T97" s="984"/>
    </row>
    <row r="98" spans="3:20">
      <c r="C98" s="794" t="s">
        <v>382</v>
      </c>
      <c r="D98" s="771"/>
      <c r="E98" s="975">
        <v>0</v>
      </c>
      <c r="F98" s="795">
        <v>12</v>
      </c>
      <c r="G98" s="789"/>
      <c r="H98" s="796">
        <f>F98*E98/12</f>
        <v>0</v>
      </c>
      <c r="J98" s="819"/>
      <c r="L98" s="272"/>
      <c r="M98" s="988"/>
      <c r="N98" s="989"/>
      <c r="O98" s="990"/>
      <c r="P98" s="991"/>
      <c r="Q98" s="987"/>
      <c r="R98" s="989"/>
      <c r="S98" s="989"/>
      <c r="T98" s="985"/>
    </row>
    <row r="99" spans="3:20">
      <c r="C99" s="246" t="s">
        <v>283</v>
      </c>
      <c r="D99" s="1077">
        <v>24759807</v>
      </c>
      <c r="E99" s="1077"/>
      <c r="F99" s="484">
        <v>11.5</v>
      </c>
      <c r="G99" s="797">
        <f>$F99*D99/12</f>
        <v>23728148.375</v>
      </c>
      <c r="H99" s="797">
        <f>$F99*E99/12</f>
        <v>0</v>
      </c>
      <c r="I99" s="809"/>
      <c r="J99" s="820"/>
      <c r="L99" s="272"/>
      <c r="M99" s="991"/>
      <c r="N99" s="989"/>
      <c r="O99" s="992"/>
      <c r="P99" s="991"/>
      <c r="Q99" s="987"/>
      <c r="R99" s="989"/>
      <c r="S99" s="989"/>
      <c r="T99" s="985"/>
    </row>
    <row r="100" spans="3:20">
      <c r="C100" s="246" t="s">
        <v>284</v>
      </c>
      <c r="D100" s="1077">
        <v>4295315</v>
      </c>
      <c r="E100" s="1077"/>
      <c r="F100" s="484">
        <f t="shared" ref="F100:F110" si="6">+F99-1</f>
        <v>10.5</v>
      </c>
      <c r="G100" s="797">
        <f t="shared" ref="G100:H110" si="7">$F100*D100/12</f>
        <v>3758400.625</v>
      </c>
      <c r="H100" s="797">
        <f t="shared" si="7"/>
        <v>0</v>
      </c>
      <c r="I100" s="810"/>
      <c r="J100" s="821"/>
      <c r="L100" s="272"/>
      <c r="M100" s="991"/>
      <c r="N100" s="989"/>
      <c r="O100" s="992"/>
      <c r="P100" s="991"/>
      <c r="Q100" s="987"/>
      <c r="R100" s="989"/>
      <c r="S100" s="989"/>
      <c r="T100" s="985"/>
    </row>
    <row r="101" spans="3:20">
      <c r="C101" s="246" t="s">
        <v>285</v>
      </c>
      <c r="D101" s="1077">
        <v>25000879</v>
      </c>
      <c r="E101" s="1077"/>
      <c r="F101" s="484">
        <f t="shared" si="6"/>
        <v>9.5</v>
      </c>
      <c r="G101" s="797">
        <f t="shared" si="7"/>
        <v>19792362.541666668</v>
      </c>
      <c r="H101" s="797">
        <f>$F101*E101/12</f>
        <v>0</v>
      </c>
      <c r="I101" s="810"/>
      <c r="J101" s="821"/>
      <c r="L101" s="272"/>
      <c r="M101" s="991"/>
      <c r="N101" s="989"/>
      <c r="O101" s="992"/>
      <c r="P101" s="991"/>
      <c r="Q101" s="987"/>
      <c r="R101" s="989"/>
      <c r="S101" s="989"/>
      <c r="T101" s="985"/>
    </row>
    <row r="102" spans="3:20">
      <c r="C102" s="246" t="s">
        <v>286</v>
      </c>
      <c r="D102" s="1077">
        <v>22036515</v>
      </c>
      <c r="E102" s="1077"/>
      <c r="F102" s="484">
        <f t="shared" si="6"/>
        <v>8.5</v>
      </c>
      <c r="G102" s="797">
        <f t="shared" si="7"/>
        <v>15609198.125</v>
      </c>
      <c r="H102" s="797">
        <f t="shared" si="7"/>
        <v>0</v>
      </c>
      <c r="I102" s="810"/>
      <c r="J102" s="963"/>
      <c r="L102" s="272"/>
      <c r="M102" s="991"/>
      <c r="N102" s="989"/>
      <c r="O102" s="992"/>
      <c r="P102" s="989"/>
      <c r="Q102" s="987"/>
      <c r="R102" s="989"/>
      <c r="S102" s="989"/>
      <c r="T102" s="985"/>
    </row>
    <row r="103" spans="3:20">
      <c r="C103" s="246" t="s">
        <v>280</v>
      </c>
      <c r="D103" s="1077">
        <v>8317485</v>
      </c>
      <c r="E103" s="1078"/>
      <c r="F103" s="484">
        <f t="shared" si="6"/>
        <v>7.5</v>
      </c>
      <c r="G103" s="797">
        <f t="shared" si="7"/>
        <v>5198428.125</v>
      </c>
      <c r="H103" s="797">
        <f t="shared" si="7"/>
        <v>0</v>
      </c>
      <c r="I103" s="810"/>
      <c r="J103" s="962"/>
      <c r="L103" s="272"/>
      <c r="M103" s="991"/>
      <c r="N103" s="989"/>
      <c r="O103" s="992"/>
      <c r="P103" s="991"/>
      <c r="Q103" s="987"/>
      <c r="R103" s="989"/>
      <c r="S103" s="989"/>
      <c r="T103" s="985"/>
    </row>
    <row r="104" spans="3:20">
      <c r="C104" s="246" t="s">
        <v>287</v>
      </c>
      <c r="D104" s="1077">
        <v>8233322</v>
      </c>
      <c r="E104" s="1078"/>
      <c r="F104" s="484">
        <f t="shared" si="6"/>
        <v>6.5</v>
      </c>
      <c r="G104" s="797">
        <f t="shared" si="7"/>
        <v>4459716.083333333</v>
      </c>
      <c r="H104" s="797">
        <f t="shared" si="7"/>
        <v>0</v>
      </c>
      <c r="I104" s="810"/>
      <c r="J104" s="962"/>
      <c r="L104" s="272"/>
      <c r="M104" s="991"/>
      <c r="N104" s="989"/>
      <c r="O104" s="992"/>
      <c r="P104" s="991"/>
      <c r="Q104" s="987"/>
      <c r="R104" s="989"/>
      <c r="S104" s="989"/>
      <c r="T104" s="985"/>
    </row>
    <row r="105" spans="3:20">
      <c r="C105" s="246" t="s">
        <v>288</v>
      </c>
      <c r="D105" s="1077">
        <v>1020885</v>
      </c>
      <c r="E105" s="1078"/>
      <c r="F105" s="484">
        <f t="shared" si="6"/>
        <v>5.5</v>
      </c>
      <c r="G105" s="797">
        <f t="shared" si="7"/>
        <v>467905.625</v>
      </c>
      <c r="H105" s="797">
        <f t="shared" si="7"/>
        <v>0</v>
      </c>
      <c r="I105" s="810"/>
      <c r="J105" s="821"/>
      <c r="L105" s="272"/>
      <c r="M105" s="991"/>
      <c r="N105" s="989"/>
      <c r="O105" s="992"/>
      <c r="P105" s="989"/>
      <c r="Q105" s="987"/>
      <c r="R105" s="989"/>
      <c r="S105" s="989"/>
      <c r="T105" s="985"/>
    </row>
    <row r="106" spans="3:20">
      <c r="C106" s="246" t="s">
        <v>289</v>
      </c>
      <c r="D106" s="1077">
        <v>5949206</v>
      </c>
      <c r="E106" s="1078"/>
      <c r="F106" s="484">
        <f t="shared" si="6"/>
        <v>4.5</v>
      </c>
      <c r="G106" s="797">
        <f t="shared" si="7"/>
        <v>2230952.25</v>
      </c>
      <c r="H106" s="797">
        <f t="shared" si="7"/>
        <v>0</v>
      </c>
      <c r="I106" s="810"/>
      <c r="J106" s="821"/>
      <c r="L106" s="272"/>
      <c r="M106" s="991"/>
      <c r="N106" s="989"/>
      <c r="O106" s="992"/>
      <c r="P106" s="991"/>
      <c r="Q106" s="987"/>
      <c r="R106" s="989"/>
      <c r="S106" s="989"/>
      <c r="T106" s="985"/>
    </row>
    <row r="107" spans="3:20">
      <c r="C107" s="246" t="s">
        <v>290</v>
      </c>
      <c r="D107" s="1077">
        <v>566274</v>
      </c>
      <c r="E107" s="1078"/>
      <c r="F107" s="484">
        <f t="shared" si="6"/>
        <v>3.5</v>
      </c>
      <c r="G107" s="797">
        <f t="shared" si="7"/>
        <v>165163.25</v>
      </c>
      <c r="H107" s="797">
        <f t="shared" si="7"/>
        <v>0</v>
      </c>
      <c r="I107" s="810"/>
      <c r="J107" s="821"/>
      <c r="L107" s="272"/>
      <c r="M107" s="991"/>
      <c r="N107" s="989"/>
      <c r="O107" s="992"/>
      <c r="P107" s="991"/>
      <c r="Q107" s="987"/>
      <c r="R107" s="989"/>
      <c r="S107" s="989"/>
      <c r="T107" s="985"/>
    </row>
    <row r="108" spans="3:20">
      <c r="C108" s="246" t="s">
        <v>291</v>
      </c>
      <c r="D108" s="1077">
        <v>7210084</v>
      </c>
      <c r="E108" s="1078"/>
      <c r="F108" s="484">
        <f t="shared" si="6"/>
        <v>2.5</v>
      </c>
      <c r="G108" s="797">
        <f t="shared" si="7"/>
        <v>1502100.8333333333</v>
      </c>
      <c r="H108" s="797">
        <f t="shared" si="7"/>
        <v>0</v>
      </c>
      <c r="I108" s="810"/>
      <c r="J108" s="821"/>
      <c r="L108" s="272"/>
      <c r="M108" s="991"/>
      <c r="N108" s="989"/>
      <c r="O108" s="992"/>
      <c r="P108" s="991"/>
      <c r="Q108" s="987"/>
      <c r="R108" s="989"/>
      <c r="S108" s="989"/>
      <c r="T108" s="985"/>
    </row>
    <row r="109" spans="3:20">
      <c r="C109" s="246" t="s">
        <v>292</v>
      </c>
      <c r="D109" s="1077">
        <v>38860836</v>
      </c>
      <c r="E109" s="1078"/>
      <c r="F109" s="484">
        <f t="shared" si="6"/>
        <v>1.5</v>
      </c>
      <c r="G109" s="797">
        <f t="shared" si="7"/>
        <v>4857604.5</v>
      </c>
      <c r="H109" s="797">
        <f t="shared" si="7"/>
        <v>0</v>
      </c>
      <c r="I109" s="811"/>
      <c r="J109" s="821"/>
      <c r="L109" s="272"/>
      <c r="M109" s="991"/>
      <c r="N109" s="989"/>
      <c r="O109" s="992"/>
      <c r="P109" s="991"/>
      <c r="Q109" s="987"/>
      <c r="R109" s="989"/>
      <c r="S109" s="989"/>
      <c r="T109" s="985"/>
    </row>
    <row r="110" spans="3:20">
      <c r="C110" s="246" t="s">
        <v>293</v>
      </c>
      <c r="D110" s="1077">
        <v>71804175</v>
      </c>
      <c r="E110" s="1079"/>
      <c r="F110" s="484">
        <f t="shared" si="6"/>
        <v>0.5</v>
      </c>
      <c r="G110" s="798">
        <f t="shared" si="7"/>
        <v>2991840.625</v>
      </c>
      <c r="H110" s="798">
        <f t="shared" si="7"/>
        <v>0</v>
      </c>
      <c r="I110" s="812"/>
      <c r="J110" s="821"/>
      <c r="L110" s="272"/>
      <c r="M110" s="991"/>
      <c r="N110" s="989"/>
      <c r="O110" s="992"/>
      <c r="P110" s="991"/>
      <c r="Q110" s="987"/>
      <c r="R110" s="989"/>
      <c r="S110" s="989"/>
      <c r="T110" s="985"/>
    </row>
    <row r="111" spans="3:20">
      <c r="C111" s="246" t="s">
        <v>576</v>
      </c>
      <c r="D111" s="797">
        <f>SUM(D99:D110)</f>
        <v>218054783</v>
      </c>
      <c r="E111" s="797">
        <f>SUM(E99:E110)</f>
        <v>0</v>
      </c>
      <c r="F111" s="797"/>
      <c r="G111" s="797">
        <f>SUM(G99:G110)</f>
        <v>84761820.958333328</v>
      </c>
      <c r="H111" s="797">
        <f>SUM(H98:H110)</f>
        <v>0</v>
      </c>
      <c r="I111" s="355" t="s">
        <v>576</v>
      </c>
      <c r="J111" s="799"/>
      <c r="L111" s="272"/>
      <c r="M111" s="986"/>
      <c r="N111" s="989"/>
      <c r="O111" s="989"/>
      <c r="P111" s="991"/>
      <c r="Q111" s="993"/>
      <c r="R111" s="989"/>
      <c r="S111" s="989"/>
      <c r="T111" s="989"/>
    </row>
    <row r="112" spans="3:20">
      <c r="C112" s="795"/>
      <c r="D112" s="771"/>
      <c r="E112" s="771"/>
      <c r="F112" s="771"/>
      <c r="G112" s="800"/>
      <c r="H112" s="801"/>
      <c r="I112" s="771" t="s">
        <v>307</v>
      </c>
      <c r="J112" s="777"/>
      <c r="K112" s="966"/>
      <c r="L112" s="272"/>
      <c r="M112" s="994"/>
      <c r="N112" s="986"/>
      <c r="O112" s="991"/>
      <c r="P112" s="991"/>
      <c r="Q112" s="991"/>
      <c r="R112" s="991"/>
      <c r="S112" s="991"/>
      <c r="T112" s="991"/>
    </row>
    <row r="113" spans="1:21">
      <c r="C113" s="771" t="s">
        <v>265</v>
      </c>
      <c r="D113" s="771"/>
      <c r="E113" s="771"/>
      <c r="F113" s="936"/>
      <c r="G113" s="936">
        <f>+G111</f>
        <v>84761820.958333328</v>
      </c>
      <c r="H113" s="936"/>
      <c r="I113" s="771" t="s">
        <v>746</v>
      </c>
      <c r="J113" s="936" t="s">
        <v>378</v>
      </c>
      <c r="K113" s="967"/>
      <c r="L113" s="272"/>
      <c r="M113" s="994"/>
      <c r="N113" s="986"/>
      <c r="O113" s="991"/>
      <c r="P113" s="991"/>
      <c r="Q113" s="991"/>
      <c r="R113" s="991"/>
      <c r="S113" s="991"/>
      <c r="T113" s="991"/>
    </row>
    <row r="114" spans="1:21">
      <c r="C114" s="771" t="s">
        <v>745</v>
      </c>
      <c r="D114" s="771"/>
      <c r="E114" s="771"/>
      <c r="F114" s="936"/>
      <c r="G114" s="937"/>
      <c r="H114" s="936">
        <f>+H111</f>
        <v>0</v>
      </c>
      <c r="I114" s="771" t="s">
        <v>747</v>
      </c>
      <c r="J114" s="936" t="s">
        <v>378</v>
      </c>
      <c r="K114" s="936"/>
    </row>
    <row r="115" spans="1:21">
      <c r="D115" s="785"/>
      <c r="E115" s="785"/>
      <c r="M115" s="797"/>
    </row>
    <row r="116" spans="1:21">
      <c r="D116" s="1184">
        <v>498158956.55552083</v>
      </c>
      <c r="E116" s="1076"/>
      <c r="F116" s="785" t="s">
        <v>593</v>
      </c>
      <c r="G116" s="785"/>
      <c r="H116" s="780" t="s">
        <v>371</v>
      </c>
      <c r="I116" s="805"/>
      <c r="J116" s="805"/>
      <c r="K116" s="771"/>
      <c r="L116" s="159"/>
      <c r="M116" s="944"/>
      <c r="N116" s="242"/>
      <c r="O116" s="242"/>
    </row>
    <row r="117" spans="1:21">
      <c r="F117" s="246" t="s">
        <v>267</v>
      </c>
      <c r="L117" s="159"/>
      <c r="M117" s="299"/>
      <c r="N117" s="159"/>
    </row>
    <row r="118" spans="1:21">
      <c r="D118" s="785"/>
      <c r="E118" s="785"/>
      <c r="L118" s="159"/>
      <c r="M118" s="299"/>
      <c r="N118" s="159"/>
    </row>
    <row r="119" spans="1:21">
      <c r="D119" s="785"/>
      <c r="E119" s="785"/>
      <c r="L119" s="159"/>
      <c r="M119" s="299"/>
      <c r="N119" s="159"/>
      <c r="O119" s="156"/>
    </row>
    <row r="120" spans="1:21">
      <c r="D120" s="785"/>
      <c r="E120" s="785"/>
      <c r="M120" s="797"/>
      <c r="O120" s="156"/>
    </row>
    <row r="121" spans="1:21" ht="28.5" customHeight="1">
      <c r="A121" s="773">
        <f>+A17</f>
        <v>9</v>
      </c>
      <c r="B121" s="773" t="str">
        <f>+B17</f>
        <v>April</v>
      </c>
      <c r="C121" s="306" t="str">
        <f>+C17</f>
        <v>Year 3</v>
      </c>
      <c r="D121" s="1333" t="str">
        <f>+D17</f>
        <v>Reconciliation - TO adds the difference between the Reconciliation in Step 8 and the forecast in Line 5 with interest to the result of Step 7 (this difference is also added to Step 8 in the subsequent year)</v>
      </c>
      <c r="E121" s="1333"/>
      <c r="F121" s="1334"/>
      <c r="G121" s="1334"/>
      <c r="H121" s="1334"/>
      <c r="I121" s="1334"/>
      <c r="J121" s="1334"/>
      <c r="K121" s="1334"/>
      <c r="L121" s="1334"/>
      <c r="M121" s="1334"/>
    </row>
    <row r="122" spans="1:21">
      <c r="D122" s="372"/>
      <c r="E122" s="372"/>
    </row>
    <row r="123" spans="1:21">
      <c r="D123" s="372" t="s">
        <v>594</v>
      </c>
      <c r="E123" s="372"/>
      <c r="H123" s="246" t="s">
        <v>352</v>
      </c>
      <c r="K123" s="1094" t="s">
        <v>847</v>
      </c>
      <c r="L123" s="945"/>
      <c r="M123" s="159"/>
    </row>
    <row r="124" spans="1:21">
      <c r="D124" s="1074">
        <f>D116</f>
        <v>498158956.55552083</v>
      </c>
      <c r="E124" s="299"/>
      <c r="F124" s="484" t="str">
        <f>"-"</f>
        <v>-</v>
      </c>
      <c r="G124" s="484"/>
      <c r="H124" s="1074">
        <f>E61</f>
        <v>487799686</v>
      </c>
      <c r="I124" s="484" t="str">
        <f>"="</f>
        <v>=</v>
      </c>
      <c r="J124" s="484"/>
      <c r="K124" s="782">
        <f>D124-H124</f>
        <v>10359270.555520833</v>
      </c>
      <c r="L124" s="159"/>
      <c r="M124" s="159"/>
    </row>
    <row r="125" spans="1:21">
      <c r="D125" s="299"/>
      <c r="E125" s="299"/>
      <c r="F125" s="484"/>
      <c r="G125" s="484"/>
      <c r="H125" s="299"/>
      <c r="I125" s="484"/>
      <c r="J125" s="484"/>
      <c r="K125" s="797"/>
      <c r="L125" s="159"/>
      <c r="M125" s="159"/>
    </row>
    <row r="126" spans="1:21">
      <c r="D126" s="299"/>
      <c r="E126" s="299"/>
      <c r="F126" s="484"/>
      <c r="G126" s="484"/>
      <c r="H126" s="299"/>
      <c r="I126" s="484"/>
      <c r="J126" s="484"/>
      <c r="K126" s="797"/>
      <c r="L126" s="159"/>
      <c r="M126" s="159"/>
    </row>
    <row r="127" spans="1:21">
      <c r="D127" s="946"/>
      <c r="E127" s="946"/>
      <c r="F127" s="484"/>
      <c r="G127" s="484"/>
      <c r="H127" s="797"/>
      <c r="I127" s="808"/>
      <c r="J127" s="484"/>
      <c r="K127" s="797"/>
      <c r="L127" s="159"/>
      <c r="M127" s="159"/>
    </row>
    <row r="128" spans="1:21">
      <c r="D128" s="807" t="s">
        <v>294</v>
      </c>
      <c r="E128" s="807"/>
      <c r="F128" s="484"/>
      <c r="G128" s="484"/>
      <c r="H128" s="797"/>
      <c r="I128" s="484"/>
      <c r="J128" s="484"/>
      <c r="K128" s="797"/>
      <c r="L128" s="159"/>
      <c r="M128" s="159"/>
      <c r="N128" s="159"/>
      <c r="O128" s="159"/>
      <c r="P128" s="159"/>
      <c r="Q128" s="159"/>
      <c r="R128" s="159"/>
      <c r="S128" s="159"/>
      <c r="T128" s="159"/>
      <c r="U128" s="159"/>
    </row>
    <row r="129" spans="4:13">
      <c r="D129" s="807" t="s">
        <v>350</v>
      </c>
      <c r="E129" s="807"/>
      <c r="F129" s="484"/>
      <c r="G129" s="484"/>
      <c r="H129" s="1075">
        <v>2.8E-3</v>
      </c>
      <c r="I129" s="484"/>
      <c r="J129" s="484"/>
      <c r="K129" s="797"/>
    </row>
    <row r="130" spans="4:13">
      <c r="D130" s="947" t="s">
        <v>275</v>
      </c>
      <c r="E130" s="947"/>
      <c r="F130" s="484" t="s">
        <v>295</v>
      </c>
      <c r="G130" s="484"/>
      <c r="H130" s="484" t="s">
        <v>296</v>
      </c>
      <c r="I130" s="947" t="s">
        <v>297</v>
      </c>
      <c r="J130" s="947"/>
      <c r="K130" s="484"/>
      <c r="L130" s="947" t="s">
        <v>298</v>
      </c>
      <c r="M130" s="355" t="s">
        <v>233</v>
      </c>
    </row>
    <row r="131" spans="4:13">
      <c r="D131" s="484"/>
      <c r="E131" s="484"/>
      <c r="F131" s="484"/>
      <c r="G131" s="484"/>
      <c r="H131" s="484"/>
      <c r="I131" s="484" t="s">
        <v>299</v>
      </c>
      <c r="J131" s="484"/>
      <c r="K131" s="484" t="s">
        <v>300</v>
      </c>
      <c r="L131" s="484"/>
      <c r="M131" s="484"/>
    </row>
    <row r="132" spans="4:13">
      <c r="D132" s="246" t="s">
        <v>287</v>
      </c>
      <c r="F132" s="246" t="s">
        <v>239</v>
      </c>
      <c r="H132" s="775">
        <f>+K124/12</f>
        <v>863272.54629340267</v>
      </c>
      <c r="I132" s="948">
        <f>+H129</f>
        <v>2.8E-3</v>
      </c>
      <c r="J132" s="948"/>
      <c r="K132" s="246">
        <v>11.5</v>
      </c>
      <c r="L132" s="775">
        <f t="shared" ref="L132:L143" si="8">+K132*I132*H132</f>
        <v>27797.375990647564</v>
      </c>
      <c r="M132" s="775">
        <f t="shared" ref="M132:M143" si="9">+H132+L132</f>
        <v>891069.92228405026</v>
      </c>
    </row>
    <row r="133" spans="4:13">
      <c r="D133" s="246" t="s">
        <v>288</v>
      </c>
      <c r="F133" s="246" t="str">
        <f t="shared" ref="F133:F138" si="10">+F132</f>
        <v>Year 1</v>
      </c>
      <c r="H133" s="797">
        <f t="shared" ref="H133:I143" si="11">+H132</f>
        <v>863272.54629340267</v>
      </c>
      <c r="I133" s="949">
        <f t="shared" si="11"/>
        <v>2.8E-3</v>
      </c>
      <c r="J133" s="949"/>
      <c r="K133" s="246">
        <f t="shared" ref="K133:K143" si="12">+K132-1</f>
        <v>10.5</v>
      </c>
      <c r="L133" s="775">
        <f t="shared" si="8"/>
        <v>25380.212861026037</v>
      </c>
      <c r="M133" s="775">
        <f t="shared" si="9"/>
        <v>888652.75915442873</v>
      </c>
    </row>
    <row r="134" spans="4:13">
      <c r="D134" s="246" t="s">
        <v>289</v>
      </c>
      <c r="F134" s="246" t="str">
        <f t="shared" si="10"/>
        <v>Year 1</v>
      </c>
      <c r="H134" s="797">
        <f t="shared" si="11"/>
        <v>863272.54629340267</v>
      </c>
      <c r="I134" s="949">
        <f t="shared" si="11"/>
        <v>2.8E-3</v>
      </c>
      <c r="J134" s="949"/>
      <c r="K134" s="246">
        <f t="shared" si="12"/>
        <v>9.5</v>
      </c>
      <c r="L134" s="775">
        <f t="shared" si="8"/>
        <v>22963.04973140451</v>
      </c>
      <c r="M134" s="775">
        <f t="shared" si="9"/>
        <v>886235.59602480719</v>
      </c>
    </row>
    <row r="135" spans="4:13">
      <c r="D135" s="246" t="s">
        <v>290</v>
      </c>
      <c r="F135" s="246" t="str">
        <f t="shared" si="10"/>
        <v>Year 1</v>
      </c>
      <c r="H135" s="797">
        <f t="shared" si="11"/>
        <v>863272.54629340267</v>
      </c>
      <c r="I135" s="949">
        <f t="shared" si="11"/>
        <v>2.8E-3</v>
      </c>
      <c r="J135" s="949"/>
      <c r="K135" s="246">
        <f t="shared" si="12"/>
        <v>8.5</v>
      </c>
      <c r="L135" s="775">
        <f t="shared" si="8"/>
        <v>20545.886601782982</v>
      </c>
      <c r="M135" s="775">
        <f t="shared" si="9"/>
        <v>883818.43289518566</v>
      </c>
    </row>
    <row r="136" spans="4:13">
      <c r="D136" s="246" t="s">
        <v>291</v>
      </c>
      <c r="F136" s="246" t="str">
        <f t="shared" si="10"/>
        <v>Year 1</v>
      </c>
      <c r="H136" s="797">
        <f t="shared" si="11"/>
        <v>863272.54629340267</v>
      </c>
      <c r="I136" s="949">
        <f t="shared" si="11"/>
        <v>2.8E-3</v>
      </c>
      <c r="J136" s="949"/>
      <c r="K136" s="246">
        <f t="shared" si="12"/>
        <v>7.5</v>
      </c>
      <c r="L136" s="775">
        <f t="shared" si="8"/>
        <v>18128.723472161459</v>
      </c>
      <c r="M136" s="775">
        <f t="shared" si="9"/>
        <v>881401.26976556412</v>
      </c>
    </row>
    <row r="137" spans="4:13">
      <c r="D137" s="246" t="s">
        <v>292</v>
      </c>
      <c r="F137" s="246" t="str">
        <f t="shared" si="10"/>
        <v>Year 1</v>
      </c>
      <c r="H137" s="797">
        <f t="shared" si="11"/>
        <v>863272.54629340267</v>
      </c>
      <c r="I137" s="949">
        <f t="shared" si="11"/>
        <v>2.8E-3</v>
      </c>
      <c r="J137" s="949"/>
      <c r="K137" s="246">
        <f t="shared" si="12"/>
        <v>6.5</v>
      </c>
      <c r="L137" s="775">
        <f t="shared" si="8"/>
        <v>15711.560342539929</v>
      </c>
      <c r="M137" s="775">
        <f t="shared" si="9"/>
        <v>878984.10663594259</v>
      </c>
    </row>
    <row r="138" spans="4:13">
      <c r="D138" s="246" t="s">
        <v>293</v>
      </c>
      <c r="F138" s="246" t="str">
        <f t="shared" si="10"/>
        <v>Year 1</v>
      </c>
      <c r="H138" s="797">
        <f t="shared" si="11"/>
        <v>863272.54629340267</v>
      </c>
      <c r="I138" s="949">
        <f t="shared" si="11"/>
        <v>2.8E-3</v>
      </c>
      <c r="J138" s="949"/>
      <c r="K138" s="246">
        <f t="shared" si="12"/>
        <v>5.5</v>
      </c>
      <c r="L138" s="775">
        <f t="shared" si="8"/>
        <v>13294.397212918402</v>
      </c>
      <c r="M138" s="775">
        <f t="shared" si="9"/>
        <v>876566.94350632105</v>
      </c>
    </row>
    <row r="139" spans="4:13">
      <c r="D139" s="246" t="s">
        <v>283</v>
      </c>
      <c r="F139" s="246" t="s">
        <v>268</v>
      </c>
      <c r="H139" s="797">
        <f t="shared" si="11"/>
        <v>863272.54629340267</v>
      </c>
      <c r="I139" s="949">
        <f t="shared" si="11"/>
        <v>2.8E-3</v>
      </c>
      <c r="J139" s="949"/>
      <c r="K139" s="246">
        <f t="shared" si="12"/>
        <v>4.5</v>
      </c>
      <c r="L139" s="775">
        <f t="shared" si="8"/>
        <v>10877.234083296873</v>
      </c>
      <c r="M139" s="775">
        <f t="shared" si="9"/>
        <v>874149.78037669952</v>
      </c>
    </row>
    <row r="140" spans="4:13">
      <c r="D140" s="246" t="s">
        <v>284</v>
      </c>
      <c r="F140" s="246" t="str">
        <f>+F139</f>
        <v>Year 2</v>
      </c>
      <c r="H140" s="797">
        <f t="shared" si="11"/>
        <v>863272.54629340267</v>
      </c>
      <c r="I140" s="949">
        <f t="shared" si="11"/>
        <v>2.8E-3</v>
      </c>
      <c r="J140" s="949"/>
      <c r="K140" s="246">
        <f t="shared" si="12"/>
        <v>3.5</v>
      </c>
      <c r="L140" s="775">
        <f t="shared" si="8"/>
        <v>8460.0709536753457</v>
      </c>
      <c r="M140" s="775">
        <f t="shared" si="9"/>
        <v>871732.61724707799</v>
      </c>
    </row>
    <row r="141" spans="4:13">
      <c r="D141" s="246" t="s">
        <v>285</v>
      </c>
      <c r="F141" s="246" t="str">
        <f>+F140</f>
        <v>Year 2</v>
      </c>
      <c r="H141" s="797">
        <f t="shared" si="11"/>
        <v>863272.54629340267</v>
      </c>
      <c r="I141" s="949">
        <f t="shared" si="11"/>
        <v>2.8E-3</v>
      </c>
      <c r="J141" s="949"/>
      <c r="K141" s="246">
        <f t="shared" si="12"/>
        <v>2.5</v>
      </c>
      <c r="L141" s="775">
        <f t="shared" si="8"/>
        <v>6042.9078240538192</v>
      </c>
      <c r="M141" s="775">
        <f t="shared" si="9"/>
        <v>869315.45411745645</v>
      </c>
    </row>
    <row r="142" spans="4:13">
      <c r="D142" s="246" t="s">
        <v>286</v>
      </c>
      <c r="F142" s="246" t="str">
        <f>+F141</f>
        <v>Year 2</v>
      </c>
      <c r="H142" s="797">
        <f t="shared" si="11"/>
        <v>863272.54629340267</v>
      </c>
      <c r="I142" s="949">
        <f t="shared" si="11"/>
        <v>2.8E-3</v>
      </c>
      <c r="J142" s="949"/>
      <c r="K142" s="246">
        <f t="shared" si="12"/>
        <v>1.5</v>
      </c>
      <c r="L142" s="775">
        <f t="shared" si="8"/>
        <v>3625.744694432291</v>
      </c>
      <c r="M142" s="775">
        <f t="shared" si="9"/>
        <v>866898.29098783492</v>
      </c>
    </row>
    <row r="143" spans="4:13">
      <c r="D143" s="246" t="s">
        <v>280</v>
      </c>
      <c r="F143" s="246" t="str">
        <f>+F142</f>
        <v>Year 2</v>
      </c>
      <c r="H143" s="797">
        <f t="shared" si="11"/>
        <v>863272.54629340267</v>
      </c>
      <c r="I143" s="949">
        <f t="shared" si="11"/>
        <v>2.8E-3</v>
      </c>
      <c r="J143" s="949"/>
      <c r="K143" s="246">
        <f t="shared" si="12"/>
        <v>0.5</v>
      </c>
      <c r="L143" s="775">
        <f t="shared" si="8"/>
        <v>1208.5815648107637</v>
      </c>
      <c r="M143" s="775">
        <f t="shared" si="9"/>
        <v>864481.12785821338</v>
      </c>
    </row>
    <row r="144" spans="4:13">
      <c r="D144" s="246" t="s">
        <v>576</v>
      </c>
      <c r="H144" s="797">
        <f>SUM(H132:H143)</f>
        <v>10359270.555520833</v>
      </c>
      <c r="M144" s="775">
        <f>SUM(M132:M143)</f>
        <v>10533306.300853582</v>
      </c>
    </row>
    <row r="145" spans="4:14">
      <c r="H145" s="797"/>
      <c r="M145" s="775"/>
    </row>
    <row r="146" spans="4:14">
      <c r="H146" s="947" t="s">
        <v>301</v>
      </c>
      <c r="I146" s="484" t="s">
        <v>298</v>
      </c>
      <c r="J146" s="484"/>
      <c r="K146" s="302" t="s">
        <v>749</v>
      </c>
      <c r="L146" s="484" t="s">
        <v>301</v>
      </c>
    </row>
    <row r="147" spans="4:14">
      <c r="D147" s="246" t="str">
        <f t="shared" ref="D147:D158" si="13">+D132</f>
        <v>Jun</v>
      </c>
      <c r="F147" s="246" t="str">
        <f>+F143</f>
        <v>Year 2</v>
      </c>
      <c r="H147" s="797">
        <f>+M144</f>
        <v>10533306.300853582</v>
      </c>
      <c r="I147" s="949">
        <f>+I143</f>
        <v>2.8E-3</v>
      </c>
      <c r="J147" s="949"/>
      <c r="K147" s="775">
        <f>-PMT(I147,12,M144)</f>
        <v>893832.93112476368</v>
      </c>
      <c r="L147" s="775">
        <f t="shared" ref="L147:L158" si="14">+H147+H147*I147-K147</f>
        <v>9668966.6273712087</v>
      </c>
    </row>
    <row r="148" spans="4:14">
      <c r="D148" s="246" t="str">
        <f t="shared" si="13"/>
        <v>Jul</v>
      </c>
      <c r="F148" s="246" t="str">
        <f t="shared" ref="F148:F153" si="15">+F147</f>
        <v>Year 2</v>
      </c>
      <c r="H148" s="797">
        <f t="shared" ref="H148:H158" si="16">+L147</f>
        <v>9668966.6273712087</v>
      </c>
      <c r="I148" s="949">
        <f t="shared" ref="I148:I158" si="17">+I147</f>
        <v>2.8E-3</v>
      </c>
      <c r="J148" s="949"/>
      <c r="K148" s="797">
        <f t="shared" ref="K148:K158" si="18">+K147</f>
        <v>893832.93112476368</v>
      </c>
      <c r="L148" s="775">
        <f t="shared" si="14"/>
        <v>8802206.8028030843</v>
      </c>
    </row>
    <row r="149" spans="4:14">
      <c r="D149" s="246" t="str">
        <f t="shared" si="13"/>
        <v>Aug</v>
      </c>
      <c r="F149" s="246" t="str">
        <f t="shared" si="15"/>
        <v>Year 2</v>
      </c>
      <c r="H149" s="797">
        <f t="shared" si="16"/>
        <v>8802206.8028030843</v>
      </c>
      <c r="I149" s="949">
        <f t="shared" si="17"/>
        <v>2.8E-3</v>
      </c>
      <c r="J149" s="949"/>
      <c r="K149" s="797">
        <f t="shared" si="18"/>
        <v>893832.93112476368</v>
      </c>
      <c r="L149" s="775">
        <f t="shared" si="14"/>
        <v>7933020.0507261697</v>
      </c>
    </row>
    <row r="150" spans="4:14">
      <c r="D150" s="246" t="str">
        <f t="shared" si="13"/>
        <v>Sep</v>
      </c>
      <c r="F150" s="246" t="str">
        <f t="shared" si="15"/>
        <v>Year 2</v>
      </c>
      <c r="H150" s="797">
        <f t="shared" si="16"/>
        <v>7933020.0507261697</v>
      </c>
      <c r="I150" s="949">
        <f t="shared" si="17"/>
        <v>2.8E-3</v>
      </c>
      <c r="J150" s="949"/>
      <c r="K150" s="797">
        <f t="shared" si="18"/>
        <v>893832.93112476368</v>
      </c>
      <c r="L150" s="775">
        <f t="shared" si="14"/>
        <v>7061399.5757434396</v>
      </c>
      <c r="N150" s="950"/>
    </row>
    <row r="151" spans="4:14">
      <c r="D151" s="246" t="str">
        <f t="shared" si="13"/>
        <v>Oct</v>
      </c>
      <c r="F151" s="246" t="str">
        <f t="shared" si="15"/>
        <v>Year 2</v>
      </c>
      <c r="H151" s="797">
        <f t="shared" si="16"/>
        <v>7061399.5757434396</v>
      </c>
      <c r="I151" s="949">
        <f t="shared" si="17"/>
        <v>2.8E-3</v>
      </c>
      <c r="J151" s="949"/>
      <c r="K151" s="797">
        <f t="shared" si="18"/>
        <v>893832.93112476368</v>
      </c>
      <c r="L151" s="775">
        <f t="shared" si="14"/>
        <v>6187338.5634307573</v>
      </c>
      <c r="N151" s="949"/>
    </row>
    <row r="152" spans="4:14">
      <c r="D152" s="246" t="str">
        <f t="shared" si="13"/>
        <v>Nov</v>
      </c>
      <c r="F152" s="246" t="str">
        <f t="shared" si="15"/>
        <v>Year 2</v>
      </c>
      <c r="H152" s="797">
        <f t="shared" si="16"/>
        <v>6187338.5634307573</v>
      </c>
      <c r="I152" s="949">
        <f t="shared" si="17"/>
        <v>2.8E-3</v>
      </c>
      <c r="J152" s="949"/>
      <c r="K152" s="797">
        <f t="shared" si="18"/>
        <v>893832.93112476368</v>
      </c>
      <c r="L152" s="775">
        <f t="shared" si="14"/>
        <v>5310830.1802835995</v>
      </c>
    </row>
    <row r="153" spans="4:14">
      <c r="D153" s="246" t="str">
        <f t="shared" si="13"/>
        <v>Dec</v>
      </c>
      <c r="F153" s="246" t="str">
        <f t="shared" si="15"/>
        <v>Year 2</v>
      </c>
      <c r="H153" s="797">
        <f t="shared" si="16"/>
        <v>5310830.1802835995</v>
      </c>
      <c r="I153" s="949">
        <f t="shared" si="17"/>
        <v>2.8E-3</v>
      </c>
      <c r="J153" s="949"/>
      <c r="K153" s="797">
        <f t="shared" si="18"/>
        <v>893832.93112476368</v>
      </c>
      <c r="L153" s="775">
        <f t="shared" si="14"/>
        <v>4431867.5736636296</v>
      </c>
    </row>
    <row r="154" spans="4:14">
      <c r="D154" s="246" t="str">
        <f t="shared" si="13"/>
        <v>Jan</v>
      </c>
      <c r="F154" s="246" t="s">
        <v>271</v>
      </c>
      <c r="H154" s="797">
        <f t="shared" si="16"/>
        <v>4431867.5736636296</v>
      </c>
      <c r="I154" s="949">
        <f t="shared" si="17"/>
        <v>2.8E-3</v>
      </c>
      <c r="J154" s="949"/>
      <c r="K154" s="797">
        <f t="shared" si="18"/>
        <v>893832.93112476368</v>
      </c>
      <c r="L154" s="775">
        <f t="shared" si="14"/>
        <v>3550443.8717451245</v>
      </c>
    </row>
    <row r="155" spans="4:14">
      <c r="D155" s="246" t="str">
        <f t="shared" si="13"/>
        <v>Feb</v>
      </c>
      <c r="F155" s="246" t="str">
        <f>+F154</f>
        <v>Year 3</v>
      </c>
      <c r="H155" s="797">
        <f t="shared" si="16"/>
        <v>3550443.8717451245</v>
      </c>
      <c r="I155" s="949">
        <f t="shared" si="17"/>
        <v>2.8E-3</v>
      </c>
      <c r="J155" s="949"/>
      <c r="K155" s="797">
        <f t="shared" si="18"/>
        <v>893832.93112476368</v>
      </c>
      <c r="L155" s="775">
        <f t="shared" si="14"/>
        <v>2666552.183461247</v>
      </c>
    </row>
    <row r="156" spans="4:14">
      <c r="D156" s="246" t="str">
        <f t="shared" si="13"/>
        <v>Mar</v>
      </c>
      <c r="F156" s="246" t="str">
        <f>+F155</f>
        <v>Year 3</v>
      </c>
      <c r="H156" s="797">
        <f t="shared" si="16"/>
        <v>2666552.183461247</v>
      </c>
      <c r="I156" s="949">
        <f t="shared" si="17"/>
        <v>2.8E-3</v>
      </c>
      <c r="J156" s="949"/>
      <c r="K156" s="797">
        <f t="shared" si="18"/>
        <v>893832.93112476368</v>
      </c>
      <c r="L156" s="775">
        <f t="shared" si="14"/>
        <v>1780185.598450175</v>
      </c>
    </row>
    <row r="157" spans="4:14">
      <c r="D157" s="246" t="str">
        <f t="shared" si="13"/>
        <v>Apr</v>
      </c>
      <c r="F157" s="246" t="str">
        <f>+F156</f>
        <v>Year 3</v>
      </c>
      <c r="H157" s="797">
        <f t="shared" si="16"/>
        <v>1780185.598450175</v>
      </c>
      <c r="I157" s="949">
        <f t="shared" si="17"/>
        <v>2.8E-3</v>
      </c>
      <c r="J157" s="949"/>
      <c r="K157" s="797">
        <f t="shared" si="18"/>
        <v>893832.93112476368</v>
      </c>
      <c r="L157" s="775">
        <f t="shared" si="14"/>
        <v>891337.18700107175</v>
      </c>
    </row>
    <row r="158" spans="4:14">
      <c r="D158" s="246" t="str">
        <f t="shared" si="13"/>
        <v>May</v>
      </c>
      <c r="F158" s="246" t="str">
        <f>+F157</f>
        <v>Year 3</v>
      </c>
      <c r="H158" s="797">
        <f t="shared" si="16"/>
        <v>891337.18700107175</v>
      </c>
      <c r="I158" s="949">
        <f t="shared" si="17"/>
        <v>2.8E-3</v>
      </c>
      <c r="J158" s="949"/>
      <c r="K158" s="797">
        <f t="shared" si="18"/>
        <v>893832.93112476368</v>
      </c>
      <c r="L158" s="775">
        <f t="shared" si="14"/>
        <v>-8.8941305875778198E-8</v>
      </c>
    </row>
    <row r="159" spans="4:14">
      <c r="D159" s="246" t="s">
        <v>353</v>
      </c>
      <c r="K159" s="797">
        <f>SUM(K147:K158)</f>
        <v>10725995.173497165</v>
      </c>
    </row>
    <row r="161" spans="1:15">
      <c r="D161" s="807" t="s">
        <v>595</v>
      </c>
      <c r="E161" s="807"/>
      <c r="F161" s="484"/>
      <c r="G161" s="484"/>
      <c r="H161" s="484"/>
      <c r="I161" s="484"/>
      <c r="J161" s="484"/>
      <c r="K161" s="797">
        <f>+K159-89234</f>
        <v>10636761.173497165</v>
      </c>
      <c r="L161" s="484"/>
      <c r="N161" s="484"/>
      <c r="O161" s="797"/>
    </row>
    <row r="162" spans="1:15">
      <c r="D162" s="1095" t="s">
        <v>269</v>
      </c>
      <c r="E162" s="807"/>
      <c r="F162" s="484"/>
      <c r="G162" s="484"/>
      <c r="H162" s="484"/>
      <c r="I162" s="484"/>
      <c r="J162" s="484"/>
      <c r="K162" s="951">
        <f>'Appendix A'!H274+'Appendix A'!H276</f>
        <v>524375018.15989196</v>
      </c>
      <c r="L162" s="484"/>
      <c r="N162" s="806"/>
      <c r="O162" s="299"/>
    </row>
    <row r="163" spans="1:15">
      <c r="D163" s="807" t="s">
        <v>270</v>
      </c>
      <c r="E163" s="807"/>
      <c r="F163" s="484"/>
      <c r="G163" s="484"/>
      <c r="H163" s="484"/>
      <c r="I163" s="484"/>
      <c r="J163" s="484"/>
      <c r="K163" s="797">
        <f>+K161+K162</f>
        <v>535011779.3333891</v>
      </c>
      <c r="L163" s="484"/>
      <c r="N163" s="355"/>
      <c r="O163" s="299"/>
    </row>
    <row r="164" spans="1:15">
      <c r="D164" s="783"/>
      <c r="E164" s="783"/>
      <c r="F164" s="484"/>
      <c r="G164" s="484"/>
      <c r="H164" s="484"/>
      <c r="I164" s="484"/>
      <c r="J164" s="484"/>
      <c r="K164" s="797"/>
      <c r="L164" s="484"/>
      <c r="N164" s="355"/>
      <c r="O164" s="299"/>
    </row>
    <row r="165" spans="1:15">
      <c r="D165" s="783"/>
      <c r="E165" s="783"/>
      <c r="F165" s="484"/>
      <c r="G165" s="484"/>
      <c r="H165" s="484"/>
      <c r="I165" s="484"/>
      <c r="J165" s="484"/>
      <c r="K165" s="797"/>
      <c r="L165" s="484"/>
      <c r="M165" s="797"/>
      <c r="N165" s="355"/>
      <c r="O165" s="299"/>
    </row>
    <row r="166" spans="1:15">
      <c r="A166" s="484">
        <f>+A18</f>
        <v>10</v>
      </c>
      <c r="B166" s="484" t="str">
        <f>+B18</f>
        <v>May</v>
      </c>
      <c r="C166" s="484" t="str">
        <f>+C18</f>
        <v>Year 3</v>
      </c>
      <c r="D166" s="372" t="str">
        <f>+D18</f>
        <v>Post results of Step 9 on PJM web site</v>
      </c>
      <c r="E166" s="372"/>
      <c r="N166" s="355"/>
      <c r="O166" s="159"/>
    </row>
    <row r="167" spans="1:15">
      <c r="D167" s="782"/>
      <c r="E167" s="782"/>
      <c r="F167" s="246" t="str">
        <f>+D52</f>
        <v>Post results of Step 3 on PJM web site</v>
      </c>
      <c r="N167" s="159"/>
      <c r="O167" s="159"/>
    </row>
    <row r="168" spans="1:15">
      <c r="D168" s="786"/>
      <c r="E168" s="786"/>
      <c r="F168" s="783"/>
      <c r="G168" s="783"/>
      <c r="H168" s="783"/>
      <c r="I168" s="783"/>
      <c r="J168" s="783"/>
      <c r="N168" s="159"/>
      <c r="O168" s="159"/>
    </row>
    <row r="169" spans="1:15">
      <c r="D169" s="782"/>
      <c r="E169" s="782"/>
      <c r="N169" s="159"/>
      <c r="O169" s="159"/>
    </row>
    <row r="170" spans="1:15">
      <c r="A170" s="484">
        <f>+A19</f>
        <v>11</v>
      </c>
      <c r="B170" s="484" t="str">
        <f>+B19</f>
        <v>June</v>
      </c>
      <c r="C170" s="484" t="str">
        <f>+C19</f>
        <v>Year 3</v>
      </c>
      <c r="D170" s="372" t="str">
        <f>+D19</f>
        <v>Results of Step 9 go into effect</v>
      </c>
      <c r="E170" s="372"/>
    </row>
    <row r="171" spans="1:15">
      <c r="D171" s="808">
        <f>+D167</f>
        <v>0</v>
      </c>
      <c r="E171" s="808"/>
    </row>
    <row r="173" spans="1:15">
      <c r="B173" s="246"/>
    </row>
    <row r="350" spans="1:11">
      <c r="A350" s="503"/>
    </row>
    <row r="351" spans="1:11">
      <c r="A351" s="503"/>
    </row>
    <row r="352" spans="1:11">
      <c r="A352" s="503"/>
      <c r="B352" s="503"/>
      <c r="C352" s="503"/>
      <c r="D352" s="272"/>
      <c r="E352" s="272"/>
      <c r="F352" s="272"/>
      <c r="G352" s="272"/>
      <c r="H352" s="272"/>
      <c r="I352" s="272"/>
      <c r="J352" s="272"/>
      <c r="K352" s="272"/>
    </row>
    <row r="353" spans="1:11">
      <c r="A353" s="503"/>
      <c r="B353" s="503"/>
      <c r="C353" s="503"/>
      <c r="D353" s="272"/>
      <c r="E353" s="272"/>
      <c r="F353" s="272"/>
      <c r="G353" s="272"/>
      <c r="H353" s="272"/>
      <c r="I353" s="272"/>
      <c r="J353" s="272"/>
      <c r="K353" s="272"/>
    </row>
    <row r="354" spans="1:11">
      <c r="A354" s="503"/>
      <c r="B354" s="503"/>
      <c r="C354" s="503"/>
      <c r="D354" s="272"/>
      <c r="E354" s="272"/>
      <c r="F354" s="272"/>
      <c r="G354" s="272"/>
      <c r="H354" s="272"/>
      <c r="I354" s="272"/>
      <c r="J354" s="272"/>
      <c r="K354" s="272"/>
    </row>
    <row r="355" spans="1:11">
      <c r="A355" s="503"/>
      <c r="B355" s="503"/>
      <c r="C355" s="503"/>
      <c r="D355" s="272"/>
      <c r="E355" s="272"/>
      <c r="F355" s="272"/>
      <c r="G355" s="272"/>
      <c r="H355" s="272"/>
      <c r="I355" s="272"/>
      <c r="J355" s="272"/>
      <c r="K355" s="272"/>
    </row>
    <row r="356" spans="1:11">
      <c r="A356" s="503"/>
      <c r="B356" s="503"/>
      <c r="C356" s="503"/>
      <c r="D356" s="272"/>
      <c r="E356" s="272"/>
      <c r="F356" s="272"/>
      <c r="G356" s="272"/>
      <c r="H356" s="272"/>
      <c r="I356" s="272"/>
      <c r="J356" s="272"/>
      <c r="K356" s="272"/>
    </row>
    <row r="357" spans="1:11">
      <c r="A357" s="503"/>
      <c r="B357" s="503"/>
      <c r="C357" s="503"/>
      <c r="D357" s="272"/>
      <c r="E357" s="272"/>
      <c r="F357" s="272"/>
      <c r="G357" s="272"/>
      <c r="H357" s="272"/>
      <c r="I357" s="272"/>
      <c r="J357" s="272"/>
      <c r="K357" s="272"/>
    </row>
    <row r="358" spans="1:11">
      <c r="A358" s="503"/>
      <c r="B358" s="503"/>
      <c r="C358" s="503"/>
      <c r="D358" s="272"/>
      <c r="E358" s="272"/>
      <c r="F358" s="272"/>
      <c r="G358" s="272"/>
      <c r="H358" s="272"/>
      <c r="I358" s="272"/>
      <c r="J358" s="272"/>
      <c r="K358" s="272"/>
    </row>
    <row r="359" spans="1:11">
      <c r="B359" s="503"/>
      <c r="C359" s="503"/>
      <c r="D359" s="272"/>
      <c r="E359" s="272"/>
      <c r="F359" s="272"/>
      <c r="G359" s="272"/>
      <c r="H359" s="272"/>
      <c r="I359" s="272"/>
      <c r="J359" s="272"/>
      <c r="K359" s="272"/>
    </row>
    <row r="360" spans="1:11">
      <c r="B360" s="503"/>
      <c r="C360" s="503"/>
      <c r="D360" s="272"/>
      <c r="E360" s="272"/>
      <c r="F360" s="272"/>
      <c r="G360" s="272"/>
      <c r="H360" s="272"/>
      <c r="I360" s="272"/>
      <c r="J360" s="272"/>
      <c r="K360" s="272"/>
    </row>
  </sheetData>
  <mergeCells count="11">
    <mergeCell ref="A1:M1"/>
    <mergeCell ref="A2:M2"/>
    <mergeCell ref="D89:M89"/>
    <mergeCell ref="G28:H28"/>
    <mergeCell ref="D121:M121"/>
    <mergeCell ref="D16:M16"/>
    <mergeCell ref="D17:M17"/>
    <mergeCell ref="I27:L27"/>
    <mergeCell ref="G21:I21"/>
    <mergeCell ref="G95:H95"/>
    <mergeCell ref="G66:H66"/>
  </mergeCells>
  <phoneticPr fontId="0" type="noConversion"/>
  <printOptions horizontalCentered="1"/>
  <pageMargins left="0.45" right="0.28000000000000003" top="1" bottom="0.5" header="0.5" footer="0.5"/>
  <pageSetup scale="53" fitToHeight="0" orientation="portrait" r:id="rId1"/>
  <headerFooter alignWithMargins="0">
    <oddHeader xml:space="preserve">&amp;L&amp;"Arial,Bold"&amp;11
&amp;R&amp;14ATTACHMENT H-13A
Page &amp;P of &amp;N
</oddHeader>
  </headerFooter>
  <rowBreaks count="2" manualBreakCount="2">
    <brk id="63" max="12" man="1"/>
    <brk id="127" max="12" man="1"/>
  </rowBreaks>
</worksheet>
</file>

<file path=xl/worksheets/sheet8.xml><?xml version="1.0" encoding="utf-8"?>
<worksheet xmlns="http://schemas.openxmlformats.org/spreadsheetml/2006/main" xmlns:r="http://schemas.openxmlformats.org/officeDocument/2006/relationships">
  <sheetPr codeName="Sheet9">
    <pageSetUpPr fitToPage="1"/>
  </sheetPr>
  <dimension ref="A2:BD314"/>
  <sheetViews>
    <sheetView topLeftCell="A13" zoomScale="85" zoomScaleNormal="100" workbookViewId="0">
      <selection activeCell="I44" sqref="I44:AQ45"/>
    </sheetView>
  </sheetViews>
  <sheetFormatPr defaultRowHeight="12.75"/>
  <cols>
    <col min="1" max="1" width="9.140625" style="157"/>
    <col min="2" max="2" width="47.7109375" style="244" customWidth="1"/>
    <col min="3" max="3" width="17" customWidth="1"/>
    <col min="4" max="5" width="13" style="157" customWidth="1"/>
    <col min="6" max="6" width="12.140625" customWidth="1"/>
    <col min="7" max="7" width="10.7109375" bestFit="1" customWidth="1"/>
    <col min="8" max="8" width="9.85546875" bestFit="1" customWidth="1"/>
    <col min="9" max="9" width="12" customWidth="1"/>
    <col min="10" max="10" width="11.7109375" customWidth="1"/>
    <col min="11" max="11" width="11.28515625" customWidth="1"/>
    <col min="12" max="12" width="10.85546875" style="248" customWidth="1"/>
    <col min="13" max="13" width="9.28515625" bestFit="1" customWidth="1"/>
    <col min="14" max="14" width="11.28515625" customWidth="1"/>
    <col min="15" max="15" width="6.7109375" bestFit="1" customWidth="1"/>
    <col min="16" max="16" width="7.7109375" bestFit="1" customWidth="1"/>
    <col min="17" max="17" width="10.42578125" bestFit="1" customWidth="1"/>
    <col min="18" max="18" width="10.85546875" bestFit="1" customWidth="1"/>
    <col min="19" max="19" width="6.7109375" bestFit="1" customWidth="1"/>
    <col min="20" max="20" width="7.7109375" bestFit="1" customWidth="1"/>
    <col min="21" max="21" width="12" hidden="1" customWidth="1"/>
    <col min="22" max="22" width="12.5703125" hidden="1" customWidth="1"/>
    <col min="23" max="23" width="11.28515625" hidden="1" customWidth="1"/>
    <col min="24" max="24" width="10.28515625" hidden="1" customWidth="1"/>
    <col min="25" max="25" width="12" hidden="1" customWidth="1"/>
    <col min="26" max="26" width="12.5703125" hidden="1" customWidth="1"/>
    <col min="27" max="27" width="11.28515625" hidden="1" customWidth="1"/>
    <col min="28" max="28" width="10.28515625" hidden="1" customWidth="1"/>
    <col min="29" max="29" width="12" hidden="1" customWidth="1"/>
    <col min="30" max="30" width="12.5703125" hidden="1" customWidth="1"/>
    <col min="31" max="31" width="11.28515625" hidden="1" customWidth="1"/>
    <col min="32" max="32" width="10.28515625" hidden="1" customWidth="1"/>
    <col min="33" max="33" width="12" hidden="1" customWidth="1"/>
    <col min="34" max="34" width="12.5703125" hidden="1" customWidth="1"/>
    <col min="35" max="35" width="11.28515625" hidden="1" customWidth="1"/>
    <col min="36" max="36" width="10.28515625" hidden="1" customWidth="1"/>
    <col min="37" max="37" width="12" hidden="1" customWidth="1"/>
    <col min="38" max="38" width="12.5703125" hidden="1" customWidth="1"/>
    <col min="39" max="39" width="11.28515625" hidden="1" customWidth="1"/>
    <col min="40" max="40" width="10.28515625" hidden="1" customWidth="1"/>
    <col min="41" max="41" width="13.7109375" bestFit="1" customWidth="1"/>
    <col min="42" max="42" width="14.140625" customWidth="1"/>
    <col min="43" max="43" width="13.5703125" customWidth="1"/>
    <col min="44" max="44" width="9.7109375" bestFit="1" customWidth="1"/>
  </cols>
  <sheetData>
    <row r="2" spans="1:43" ht="18">
      <c r="C2" s="1199" t="s">
        <v>360</v>
      </c>
      <c r="D2" s="1199"/>
      <c r="E2" s="1199"/>
      <c r="F2" s="1199"/>
      <c r="G2" s="1199"/>
      <c r="H2" s="1199"/>
      <c r="I2" s="1199"/>
      <c r="J2" s="1199"/>
      <c r="K2" s="1199"/>
      <c r="L2" s="1199"/>
      <c r="M2" s="1199"/>
      <c r="N2" s="1199"/>
      <c r="O2" s="1199"/>
      <c r="P2" s="1199"/>
      <c r="Q2" s="1199"/>
      <c r="R2" s="1199"/>
      <c r="S2" s="1199"/>
      <c r="T2" s="1199"/>
      <c r="U2" s="1199"/>
      <c r="V2" s="1199"/>
      <c r="W2" s="1199"/>
      <c r="X2" s="1199"/>
      <c r="Y2" s="1199"/>
      <c r="Z2" s="1199"/>
      <c r="AA2" s="1199"/>
      <c r="AB2" s="1199"/>
      <c r="AC2" s="1199"/>
      <c r="AD2" s="1199"/>
      <c r="AE2" s="1199"/>
      <c r="AF2" s="1199"/>
      <c r="AG2" s="1199"/>
      <c r="AH2" s="1199"/>
      <c r="AI2" s="1199"/>
      <c r="AJ2" s="1199"/>
      <c r="AK2" s="1199"/>
      <c r="AL2" s="1199"/>
      <c r="AM2" s="1199"/>
      <c r="AN2" s="1199"/>
      <c r="AO2" s="1199"/>
      <c r="AP2" s="1199"/>
      <c r="AQ2" s="1199"/>
    </row>
    <row r="5" spans="1:43">
      <c r="A5" s="157">
        <v>1</v>
      </c>
      <c r="C5" t="s">
        <v>137</v>
      </c>
    </row>
    <row r="7" spans="1:43">
      <c r="A7" s="157">
        <v>2</v>
      </c>
      <c r="C7" s="180" t="s">
        <v>368</v>
      </c>
    </row>
    <row r="8" spans="1:43">
      <c r="C8" s="180"/>
      <c r="D8" s="157" t="s">
        <v>136</v>
      </c>
    </row>
    <row r="9" spans="1:43">
      <c r="A9" s="157">
        <v>3</v>
      </c>
      <c r="C9" s="157" t="s">
        <v>466</v>
      </c>
      <c r="D9" s="157">
        <f>+'Appendix A'!A263</f>
        <v>160</v>
      </c>
      <c r="F9" s="244" t="str">
        <f>'Appendix A'!C263</f>
        <v>Net Plant Carrying Charge without Depreciation</v>
      </c>
      <c r="N9" s="249">
        <f>+'Appendix A'!H263</f>
        <v>0.19071998613263258</v>
      </c>
    </row>
    <row r="10" spans="1:43">
      <c r="A10" s="157">
        <v>4</v>
      </c>
      <c r="C10" s="157" t="s">
        <v>577</v>
      </c>
      <c r="D10" s="157">
        <f>+'Appendix A'!A272</f>
        <v>167</v>
      </c>
      <c r="F10" s="244" t="str">
        <f>+'Appendix A'!C272</f>
        <v>Net Plant Carrying Charge per 100 Basis Point in ROE without Depreciation</v>
      </c>
      <c r="N10" s="249">
        <f>+'Appendix A'!H272</f>
        <v>0.19922772318202364</v>
      </c>
    </row>
    <row r="11" spans="1:43">
      <c r="A11" s="157">
        <v>5</v>
      </c>
      <c r="B11" s="157"/>
      <c r="C11" s="157" t="s">
        <v>450</v>
      </c>
      <c r="F11" t="s">
        <v>86</v>
      </c>
      <c r="N11" s="249">
        <f>+N10-N9</f>
        <v>8.507737049391062E-3</v>
      </c>
    </row>
    <row r="12" spans="1:43">
      <c r="A12"/>
      <c r="B12" s="157"/>
      <c r="N12" s="249"/>
    </row>
    <row r="13" spans="1:43">
      <c r="A13" s="157">
        <v>6</v>
      </c>
      <c r="B13" s="157"/>
      <c r="C13" s="180" t="s">
        <v>84</v>
      </c>
      <c r="N13" s="249"/>
    </row>
    <row r="14" spans="1:43">
      <c r="A14" s="180"/>
      <c r="B14" s="157"/>
      <c r="C14" s="180"/>
      <c r="N14" s="249"/>
    </row>
    <row r="15" spans="1:43">
      <c r="A15" s="157">
        <v>7</v>
      </c>
      <c r="C15" s="157" t="s">
        <v>467</v>
      </c>
      <c r="D15" s="157">
        <f>+'Appendix A'!A264</f>
        <v>161</v>
      </c>
      <c r="F15" s="244" t="str">
        <f>+'Appendix A'!C264</f>
        <v>Net Plant Carrying Charge without Depreciation, Return, nor Income Taxes</v>
      </c>
      <c r="N15" s="249">
        <f>+'Appendix A'!H264</f>
        <v>7.2336654807765369E-2</v>
      </c>
    </row>
    <row r="16" spans="1:43">
      <c r="C16" s="157"/>
      <c r="F16" s="244"/>
      <c r="N16" s="249"/>
    </row>
    <row r="17" spans="1:56" ht="15.75">
      <c r="C17" s="268"/>
    </row>
    <row r="18" spans="1:56">
      <c r="A18" s="157">
        <v>8</v>
      </c>
      <c r="C18" s="168" t="s">
        <v>416</v>
      </c>
    </row>
    <row r="19" spans="1:56">
      <c r="A19" s="157">
        <v>9</v>
      </c>
      <c r="C19" s="168" t="s">
        <v>342</v>
      </c>
    </row>
    <row r="20" spans="1:56" ht="25.5" customHeight="1" thickBot="1">
      <c r="C20" s="269"/>
      <c r="D20" s="257"/>
      <c r="E20" s="257"/>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
      <c r="AS20" s="2"/>
      <c r="AT20" s="2"/>
      <c r="AU20" s="2"/>
      <c r="AV20" s="2"/>
      <c r="AW20" s="2"/>
      <c r="AX20" s="2"/>
      <c r="AY20" s="2"/>
      <c r="AZ20" s="2"/>
      <c r="BA20" s="2"/>
      <c r="BB20" s="2"/>
      <c r="BC20" s="2"/>
      <c r="BD20" s="2"/>
    </row>
    <row r="21" spans="1:56" ht="13.5" thickBot="1">
      <c r="A21" s="157">
        <v>10</v>
      </c>
      <c r="C21" s="270" t="s">
        <v>77</v>
      </c>
      <c r="D21" s="200"/>
      <c r="E21" s="1339" t="s">
        <v>648</v>
      </c>
      <c r="F21" s="1340"/>
      <c r="G21" s="1340"/>
      <c r="H21" s="1340"/>
      <c r="I21" s="1339" t="s">
        <v>647</v>
      </c>
      <c r="J21" s="1340"/>
      <c r="K21" s="1340"/>
      <c r="L21" s="1340"/>
      <c r="M21" s="1339"/>
      <c r="N21" s="1341"/>
      <c r="O21" s="1341"/>
      <c r="P21" s="1342"/>
      <c r="Q21" s="1343"/>
      <c r="R21" s="1344"/>
      <c r="S21" s="1344"/>
      <c r="T21" s="1345"/>
      <c r="U21" s="201" t="s">
        <v>127</v>
      </c>
      <c r="V21" s="202" t="str">
        <f>+U21</f>
        <v>Project E</v>
      </c>
      <c r="W21" s="202" t="str">
        <f>+V21</f>
        <v>Project E</v>
      </c>
      <c r="X21" s="203" t="str">
        <f>+W21</f>
        <v>Project E</v>
      </c>
      <c r="Y21" s="201" t="s">
        <v>128</v>
      </c>
      <c r="Z21" s="202" t="str">
        <f>+Y21</f>
        <v>Project F</v>
      </c>
      <c r="AA21" s="202" t="str">
        <f>+Z21</f>
        <v>Project F</v>
      </c>
      <c r="AB21" s="203" t="str">
        <f>+AA21</f>
        <v>Project F</v>
      </c>
      <c r="AC21" s="201" t="s">
        <v>129</v>
      </c>
      <c r="AD21" s="202" t="str">
        <f>+AC21</f>
        <v>Project G</v>
      </c>
      <c r="AE21" s="202" t="str">
        <f>+AD21</f>
        <v>Project G</v>
      </c>
      <c r="AF21" s="203" t="str">
        <f>+AE21</f>
        <v>Project G</v>
      </c>
      <c r="AG21" s="201" t="s">
        <v>130</v>
      </c>
      <c r="AH21" s="202" t="str">
        <f>+AG21</f>
        <v>Project H</v>
      </c>
      <c r="AI21" s="202" t="str">
        <f>+AH21</f>
        <v>Project H</v>
      </c>
      <c r="AJ21" s="203" t="str">
        <f>+AI21</f>
        <v>Project H</v>
      </c>
      <c r="AK21" s="201" t="s">
        <v>131</v>
      </c>
      <c r="AL21" s="202" t="str">
        <f>+AK21</f>
        <v>Project I</v>
      </c>
      <c r="AM21" s="202" t="str">
        <f>+AL21</f>
        <v>Project I</v>
      </c>
      <c r="AN21" s="203" t="str">
        <f>+AM21</f>
        <v>Project I</v>
      </c>
      <c r="AO21" s="255"/>
      <c r="AP21" s="199"/>
      <c r="AQ21" s="232"/>
    </row>
    <row r="22" spans="1:56" ht="25.5">
      <c r="A22" s="157">
        <f t="shared" ref="A22:A52" si="0">+A21+1</f>
        <v>11</v>
      </c>
      <c r="B22" s="158" t="s">
        <v>313</v>
      </c>
      <c r="C22" s="226" t="s">
        <v>237</v>
      </c>
      <c r="D22" s="204" t="s">
        <v>461</v>
      </c>
      <c r="E22" s="899" t="s">
        <v>750</v>
      </c>
      <c r="F22" s="318"/>
      <c r="G22" s="317"/>
      <c r="H22" s="319"/>
      <c r="I22" s="251"/>
      <c r="J22" s="260"/>
      <c r="K22" s="260"/>
      <c r="L22" s="261"/>
      <c r="M22" s="251"/>
      <c r="N22" s="260"/>
      <c r="O22" s="260"/>
      <c r="P22" s="261"/>
      <c r="Q22" s="251"/>
      <c r="R22" s="260"/>
      <c r="S22" s="260"/>
      <c r="T22" s="261"/>
      <c r="U22" s="251"/>
      <c r="V22" s="260"/>
      <c r="W22" s="260"/>
      <c r="X22" s="261"/>
      <c r="Y22" s="251"/>
      <c r="Z22" s="260"/>
      <c r="AA22" s="260"/>
      <c r="AB22" s="261"/>
      <c r="AC22" s="251"/>
      <c r="AD22" s="260"/>
      <c r="AE22" s="260"/>
      <c r="AF22" s="261"/>
      <c r="AG22" s="251"/>
      <c r="AH22" s="260"/>
      <c r="AI22" s="260"/>
      <c r="AJ22" s="261"/>
      <c r="AK22" s="251"/>
      <c r="AL22" s="260"/>
      <c r="AM22" s="260"/>
      <c r="AN22" s="261"/>
      <c r="AO22" s="163"/>
      <c r="AP22" s="188"/>
      <c r="AQ22" s="187"/>
    </row>
    <row r="23" spans="1:56">
      <c r="A23" s="157">
        <f t="shared" si="0"/>
        <v>12</v>
      </c>
      <c r="B23" s="158" t="s">
        <v>314</v>
      </c>
      <c r="C23" s="226" t="s">
        <v>75</v>
      </c>
      <c r="D23" s="204"/>
      <c r="E23" s="817"/>
      <c r="F23" s="281"/>
      <c r="G23" s="204"/>
      <c r="H23" s="206"/>
      <c r="I23" s="1080">
        <f>100/'9 - Depr Rates'!D9</f>
        <v>45.871559633027516</v>
      </c>
      <c r="J23" s="281"/>
      <c r="K23" s="204"/>
      <c r="L23" s="205"/>
      <c r="M23" s="324"/>
      <c r="N23" s="209"/>
      <c r="O23" s="204"/>
      <c r="P23" s="206"/>
      <c r="Q23" s="324"/>
      <c r="R23" s="209"/>
      <c r="S23" s="204"/>
      <c r="T23" s="206"/>
      <c r="U23" s="324"/>
      <c r="V23" s="209"/>
      <c r="W23" s="204"/>
      <c r="X23" s="206"/>
      <c r="Y23" s="324"/>
      <c r="Z23" s="209"/>
      <c r="AA23" s="204"/>
      <c r="AB23" s="206"/>
      <c r="AC23" s="324"/>
      <c r="AD23" s="209"/>
      <c r="AE23" s="204"/>
      <c r="AF23" s="206"/>
      <c r="AG23" s="324"/>
      <c r="AH23" s="209"/>
      <c r="AI23" s="204"/>
      <c r="AJ23" s="206"/>
      <c r="AK23" s="324"/>
      <c r="AL23" s="209"/>
      <c r="AM23" s="204"/>
      <c r="AN23" s="206"/>
      <c r="AO23" s="163"/>
      <c r="AP23" s="188"/>
      <c r="AQ23" s="187"/>
    </row>
    <row r="24" spans="1:56" ht="38.25">
      <c r="A24" s="157">
        <f t="shared" si="0"/>
        <v>13</v>
      </c>
      <c r="B24" s="158" t="s">
        <v>315</v>
      </c>
      <c r="C24" s="226" t="s">
        <v>76</v>
      </c>
      <c r="D24" s="204" t="s">
        <v>461</v>
      </c>
      <c r="E24" s="900" t="s">
        <v>750</v>
      </c>
      <c r="F24" s="179"/>
      <c r="G24" s="204"/>
      <c r="H24" s="206"/>
      <c r="I24" s="251"/>
      <c r="J24" s="204"/>
      <c r="K24" s="204"/>
      <c r="L24" s="205"/>
      <c r="M24" s="251"/>
      <c r="N24" s="204"/>
      <c r="O24" s="204"/>
      <c r="P24" s="206"/>
      <c r="Q24" s="251"/>
      <c r="R24" s="204"/>
      <c r="S24" s="204"/>
      <c r="T24" s="206"/>
      <c r="U24" s="251"/>
      <c r="V24" s="204"/>
      <c r="W24" s="204"/>
      <c r="X24" s="206"/>
      <c r="Y24" s="251"/>
      <c r="Z24" s="204"/>
      <c r="AA24" s="204"/>
      <c r="AB24" s="206"/>
      <c r="AC24" s="251"/>
      <c r="AD24" s="204"/>
      <c r="AE24" s="204"/>
      <c r="AF24" s="206"/>
      <c r="AG24" s="251"/>
      <c r="AH24" s="204"/>
      <c r="AI24" s="204"/>
      <c r="AJ24" s="206"/>
      <c r="AK24" s="251"/>
      <c r="AL24" s="204"/>
      <c r="AM24" s="204"/>
      <c r="AN24" s="206"/>
      <c r="AO24" s="163"/>
      <c r="AP24" s="188"/>
      <c r="AQ24" s="187"/>
    </row>
    <row r="25" spans="1:56" ht="13.5">
      <c r="A25" s="157">
        <f t="shared" si="0"/>
        <v>14</v>
      </c>
      <c r="B25" s="158" t="s">
        <v>316</v>
      </c>
      <c r="C25" s="226" t="s">
        <v>262</v>
      </c>
      <c r="D25" s="204"/>
      <c r="E25" s="900">
        <v>150</v>
      </c>
      <c r="F25" s="369"/>
      <c r="G25" s="189"/>
      <c r="H25" s="190"/>
      <c r="I25" s="1081">
        <v>150</v>
      </c>
      <c r="J25" s="370"/>
      <c r="K25" s="189"/>
      <c r="L25" s="371"/>
      <c r="M25" s="251"/>
      <c r="N25" s="287"/>
      <c r="O25" s="288"/>
      <c r="P25" s="289"/>
      <c r="Q25" s="251"/>
      <c r="R25" s="287"/>
      <c r="S25" s="288"/>
      <c r="T25" s="289"/>
      <c r="U25" s="251"/>
      <c r="V25" s="287"/>
      <c r="W25" s="288"/>
      <c r="X25" s="289"/>
      <c r="Y25" s="251"/>
      <c r="Z25" s="287"/>
      <c r="AA25" s="288"/>
      <c r="AB25" s="289"/>
      <c r="AC25" s="251"/>
      <c r="AD25" s="287"/>
      <c r="AE25" s="288"/>
      <c r="AF25" s="289"/>
      <c r="AG25" s="251"/>
      <c r="AH25" s="287"/>
      <c r="AI25" s="288"/>
      <c r="AJ25" s="289"/>
      <c r="AK25" s="251"/>
      <c r="AL25" s="287"/>
      <c r="AM25" s="288"/>
      <c r="AN25" s="289"/>
      <c r="AO25" s="163"/>
      <c r="AP25" s="188"/>
      <c r="AQ25" s="187"/>
    </row>
    <row r="26" spans="1:56" ht="25.5">
      <c r="A26" s="157">
        <f t="shared" si="0"/>
        <v>15</v>
      </c>
      <c r="B26" s="158" t="s">
        <v>317</v>
      </c>
      <c r="C26" s="226" t="str">
        <f>'Appendix A'!H201*100&amp;"% ROE"</f>
        <v>11.5% ROE</v>
      </c>
      <c r="D26" s="189"/>
      <c r="E26" s="376">
        <f>$N$9</f>
        <v>0.19071998613263258</v>
      </c>
      <c r="F26" s="179"/>
      <c r="G26" s="163"/>
      <c r="H26" s="187"/>
      <c r="I26" s="376">
        <f>$N$9</f>
        <v>0.19071998613263258</v>
      </c>
      <c r="J26" s="163"/>
      <c r="K26" s="163"/>
      <c r="L26" s="207"/>
      <c r="M26" s="376">
        <f>$N$9</f>
        <v>0.19071998613263258</v>
      </c>
      <c r="N26" s="204"/>
      <c r="O26" s="204"/>
      <c r="P26" s="206"/>
      <c r="Q26" s="188">
        <f>+$N9</f>
        <v>0.19071998613263258</v>
      </c>
      <c r="R26" s="204"/>
      <c r="S26" s="204"/>
      <c r="T26" s="206"/>
      <c r="U26" s="188">
        <f>+$N9</f>
        <v>0.19071998613263258</v>
      </c>
      <c r="V26" s="204"/>
      <c r="W26" s="204"/>
      <c r="X26" s="206"/>
      <c r="Y26" s="188">
        <f>+$N9</f>
        <v>0.19071998613263258</v>
      </c>
      <c r="Z26" s="204"/>
      <c r="AA26" s="204"/>
      <c r="AB26" s="206"/>
      <c r="AC26" s="188">
        <f>$N15</f>
        <v>7.2336654807765369E-2</v>
      </c>
      <c r="AD26" s="204"/>
      <c r="AE26" s="204"/>
      <c r="AF26" s="206"/>
      <c r="AG26" s="188">
        <f>$N15</f>
        <v>7.2336654807765369E-2</v>
      </c>
      <c r="AH26" s="204"/>
      <c r="AI26" s="204"/>
      <c r="AJ26" s="206"/>
      <c r="AK26" s="188">
        <f>+$N9</f>
        <v>0.19071998613263258</v>
      </c>
      <c r="AL26" s="204"/>
      <c r="AM26" s="204"/>
      <c r="AN26" s="206"/>
      <c r="AO26" s="163"/>
      <c r="AP26" s="188"/>
      <c r="AQ26" s="187"/>
    </row>
    <row r="27" spans="1:56">
      <c r="A27" s="157">
        <f t="shared" si="0"/>
        <v>16</v>
      </c>
      <c r="B27" s="158" t="str">
        <f>"Line "&amp;A26&amp;" + (Line"&amp;A25&amp;"xLine"&amp;A11&amp;")/100"</f>
        <v>Line 15 + (Line14xLine5)/100</v>
      </c>
      <c r="C27" s="292" t="s">
        <v>85</v>
      </c>
      <c r="D27" s="189"/>
      <c r="E27" s="376">
        <f>(E$25/100*$N$11)+E$26</f>
        <v>0.20348159170671917</v>
      </c>
      <c r="F27" s="179"/>
      <c r="G27" s="163"/>
      <c r="H27" s="187"/>
      <c r="I27" s="376">
        <f>(I$25/100*$N$11)+I$26</f>
        <v>0.20348159170671917</v>
      </c>
      <c r="J27" s="163"/>
      <c r="K27" s="163"/>
      <c r="L27" s="207"/>
      <c r="M27" s="376">
        <f>(M$25/100*$N$11)+M$26</f>
        <v>0.19071998613263258</v>
      </c>
      <c r="N27" s="163"/>
      <c r="O27" s="163"/>
      <c r="P27" s="187"/>
      <c r="Q27" s="188">
        <f>($N9+$N11/100*Q25)</f>
        <v>0.19071998613263258</v>
      </c>
      <c r="R27" s="163"/>
      <c r="S27" s="163"/>
      <c r="T27" s="187"/>
      <c r="U27" s="188">
        <f>($N9+$N11/100*U25)</f>
        <v>0.19071998613263258</v>
      </c>
      <c r="V27" s="163"/>
      <c r="W27" s="163"/>
      <c r="X27" s="187"/>
      <c r="Y27" s="188">
        <f>($N9+$N11/100*Y25)</f>
        <v>0.19071998613263258</v>
      </c>
      <c r="Z27" s="163"/>
      <c r="AA27" s="163"/>
      <c r="AB27" s="187"/>
      <c r="AC27" s="188">
        <f>+N15</f>
        <v>7.2336654807765369E-2</v>
      </c>
      <c r="AD27" s="163"/>
      <c r="AE27" s="163"/>
      <c r="AF27" s="187"/>
      <c r="AG27" s="188">
        <f>+N15</f>
        <v>7.2336654807765369E-2</v>
      </c>
      <c r="AH27" s="163"/>
      <c r="AI27" s="163"/>
      <c r="AJ27" s="187"/>
      <c r="AK27" s="188">
        <f>($N9+$N11/100*AK25)</f>
        <v>0.19071998613263258</v>
      </c>
      <c r="AL27" s="163"/>
      <c r="AM27" s="163"/>
      <c r="AN27" s="187"/>
      <c r="AO27" s="163"/>
      <c r="AP27" s="188"/>
      <c r="AQ27" s="187"/>
    </row>
    <row r="28" spans="1:56" ht="40.5" customHeight="1">
      <c r="A28" s="157">
        <f t="shared" si="0"/>
        <v>17</v>
      </c>
      <c r="B28" s="316" t="s">
        <v>308</v>
      </c>
      <c r="C28" s="226" t="s">
        <v>318</v>
      </c>
      <c r="D28" s="204"/>
      <c r="E28" s="847">
        <f>+'6 - Est &amp; Reconcile WS'!H114</f>
        <v>0</v>
      </c>
      <c r="F28" s="209"/>
      <c r="G28" s="179"/>
      <c r="H28" s="207"/>
      <c r="I28" s="1186">
        <v>257105641.16999999</v>
      </c>
      <c r="J28" s="209"/>
      <c r="K28" s="209"/>
      <c r="L28" s="207"/>
      <c r="M28" s="252"/>
      <c r="N28" s="209"/>
      <c r="O28" s="209"/>
      <c r="P28" s="207"/>
      <c r="Q28" s="252"/>
      <c r="R28" s="209"/>
      <c r="S28" s="209"/>
      <c r="T28" s="207"/>
      <c r="U28" s="252"/>
      <c r="V28" s="209"/>
      <c r="W28" s="209"/>
      <c r="X28" s="207"/>
      <c r="Y28" s="252"/>
      <c r="Z28" s="209"/>
      <c r="AA28" s="209"/>
      <c r="AB28" s="207"/>
      <c r="AC28" s="252"/>
      <c r="AD28" s="209"/>
      <c r="AE28" s="209"/>
      <c r="AF28" s="207"/>
      <c r="AG28" s="252"/>
      <c r="AH28" s="209"/>
      <c r="AI28" s="209"/>
      <c r="AJ28" s="207"/>
      <c r="AK28" s="252"/>
      <c r="AL28" s="209"/>
      <c r="AM28" s="209"/>
      <c r="AN28" s="207"/>
      <c r="AO28" s="163"/>
      <c r="AP28" s="188"/>
      <c r="AQ28" s="187"/>
    </row>
    <row r="29" spans="1:56">
      <c r="A29" s="157">
        <f t="shared" si="0"/>
        <v>18</v>
      </c>
      <c r="B29" s="158" t="s">
        <v>319</v>
      </c>
      <c r="C29" s="188" t="s">
        <v>122</v>
      </c>
      <c r="D29" s="204"/>
      <c r="E29" s="208">
        <f>IF(E23=0,0,E28/E23)</f>
        <v>0</v>
      </c>
      <c r="F29" s="179"/>
      <c r="G29" s="209"/>
      <c r="H29" s="207"/>
      <c r="I29" s="208">
        <f>IF(I28=0,0,I28/I23)</f>
        <v>5604902.9775060005</v>
      </c>
      <c r="J29" s="209"/>
      <c r="K29" s="209"/>
      <c r="L29" s="207"/>
      <c r="M29" s="208">
        <f>IF(M28=0,0,M28/M23)</f>
        <v>0</v>
      </c>
      <c r="N29" s="209"/>
      <c r="O29" s="209"/>
      <c r="P29" s="207"/>
      <c r="Q29" s="208">
        <f>IF(Q23=0,0,Q28/Q23)</f>
        <v>0</v>
      </c>
      <c r="R29" s="209"/>
      <c r="S29" s="209"/>
      <c r="T29" s="207"/>
      <c r="U29" s="208">
        <f>IF(U28=0,0,U28/U23)</f>
        <v>0</v>
      </c>
      <c r="V29" s="209"/>
      <c r="W29" s="209"/>
      <c r="X29" s="207"/>
      <c r="Y29" s="208">
        <f>IF(Y28=0,0,Y28/Y23)</f>
        <v>0</v>
      </c>
      <c r="Z29" s="209"/>
      <c r="AA29" s="209"/>
      <c r="AB29" s="207"/>
      <c r="AC29" s="208">
        <f>IF(AC28=0,0,AC28/AC23)</f>
        <v>0</v>
      </c>
      <c r="AD29" s="209"/>
      <c r="AE29" s="209"/>
      <c r="AF29" s="207"/>
      <c r="AG29" s="208">
        <f>IF(AG28=0,0,AG28/AG23)</f>
        <v>0</v>
      </c>
      <c r="AH29" s="209"/>
      <c r="AI29" s="209"/>
      <c r="AJ29" s="207"/>
      <c r="AK29" s="208">
        <f>IF(AK28=0,0,AK28/AK23)</f>
        <v>0</v>
      </c>
      <c r="AL29" s="209"/>
      <c r="AM29" s="209"/>
      <c r="AN29" s="207"/>
      <c r="AO29" s="163"/>
      <c r="AP29" s="188"/>
      <c r="AQ29" s="187"/>
    </row>
    <row r="30" spans="1:56" s="2" customFormat="1" ht="13.5" thickBot="1">
      <c r="A30" s="157">
        <f t="shared" si="0"/>
        <v>19</v>
      </c>
      <c r="B30" s="158" t="s">
        <v>320</v>
      </c>
      <c r="C30" s="226" t="s">
        <v>273</v>
      </c>
      <c r="D30" s="189"/>
      <c r="E30" s="818"/>
      <c r="F30" s="231"/>
      <c r="G30" s="227"/>
      <c r="H30" s="228"/>
      <c r="I30" s="1187">
        <v>1</v>
      </c>
      <c r="J30" s="227"/>
      <c r="K30" s="227"/>
      <c r="L30" s="228"/>
      <c r="M30" s="361"/>
      <c r="N30" s="227"/>
      <c r="O30" s="227"/>
      <c r="P30" s="228"/>
      <c r="Q30" s="282"/>
      <c r="R30" s="227"/>
      <c r="S30" s="227"/>
      <c r="T30" s="228"/>
      <c r="U30" s="282"/>
      <c r="V30" s="227"/>
      <c r="W30" s="227"/>
      <c r="X30" s="228"/>
      <c r="Y30" s="282"/>
      <c r="Z30" s="227"/>
      <c r="AA30" s="227"/>
      <c r="AB30" s="228"/>
      <c r="AC30" s="282"/>
      <c r="AD30" s="227"/>
      <c r="AE30" s="227"/>
      <c r="AF30" s="228"/>
      <c r="AG30" s="282"/>
      <c r="AH30" s="227"/>
      <c r="AI30" s="227"/>
      <c r="AJ30" s="228"/>
      <c r="AK30" s="282"/>
      <c r="AL30" s="227"/>
      <c r="AM30" s="227"/>
      <c r="AN30" s="228"/>
      <c r="AO30" s="164"/>
      <c r="AP30" s="357"/>
      <c r="AQ30" s="327"/>
    </row>
    <row r="31" spans="1:56" ht="25.5">
      <c r="A31" s="157">
        <f>+A30+1</f>
        <v>20</v>
      </c>
      <c r="C31" s="320"/>
      <c r="D31" s="210" t="s">
        <v>78</v>
      </c>
      <c r="E31" s="201" t="s">
        <v>124</v>
      </c>
      <c r="F31" s="202" t="s">
        <v>125</v>
      </c>
      <c r="G31" s="202" t="s">
        <v>126</v>
      </c>
      <c r="H31" s="283" t="s">
        <v>123</v>
      </c>
      <c r="I31" s="201" t="s">
        <v>124</v>
      </c>
      <c r="J31" s="202" t="s">
        <v>125</v>
      </c>
      <c r="K31" s="202" t="s">
        <v>126</v>
      </c>
      <c r="L31" s="203" t="s">
        <v>123</v>
      </c>
      <c r="M31" s="201" t="s">
        <v>124</v>
      </c>
      <c r="N31" s="202" t="s">
        <v>125</v>
      </c>
      <c r="O31" s="202" t="s">
        <v>126</v>
      </c>
      <c r="P31" s="203" t="s">
        <v>123</v>
      </c>
      <c r="Q31" s="201" t="s">
        <v>124</v>
      </c>
      <c r="R31" s="202" t="s">
        <v>125</v>
      </c>
      <c r="S31" s="202" t="s">
        <v>126</v>
      </c>
      <c r="T31" s="203" t="s">
        <v>123</v>
      </c>
      <c r="U31" s="201" t="s">
        <v>124</v>
      </c>
      <c r="V31" s="202" t="s">
        <v>125</v>
      </c>
      <c r="W31" s="202" t="s">
        <v>126</v>
      </c>
      <c r="X31" s="203" t="s">
        <v>123</v>
      </c>
      <c r="Y31" s="201" t="s">
        <v>124</v>
      </c>
      <c r="Z31" s="202" t="s">
        <v>125</v>
      </c>
      <c r="AA31" s="202" t="s">
        <v>126</v>
      </c>
      <c r="AB31" s="203" t="s">
        <v>123</v>
      </c>
      <c r="AC31" s="201" t="s">
        <v>124</v>
      </c>
      <c r="AD31" s="202" t="s">
        <v>125</v>
      </c>
      <c r="AE31" s="202" t="s">
        <v>126</v>
      </c>
      <c r="AF31" s="203" t="s">
        <v>123</v>
      </c>
      <c r="AG31" s="201" t="s">
        <v>124</v>
      </c>
      <c r="AH31" s="202" t="s">
        <v>125</v>
      </c>
      <c r="AI31" s="202" t="s">
        <v>126</v>
      </c>
      <c r="AJ31" s="203" t="s">
        <v>123</v>
      </c>
      <c r="AK31" s="201" t="s">
        <v>124</v>
      </c>
      <c r="AL31" s="202" t="s">
        <v>125</v>
      </c>
      <c r="AM31" s="202" t="s">
        <v>126</v>
      </c>
      <c r="AN31" s="203" t="s">
        <v>123</v>
      </c>
      <c r="AO31" s="224" t="s">
        <v>576</v>
      </c>
      <c r="AP31" s="358" t="s">
        <v>134</v>
      </c>
      <c r="AQ31" s="359" t="s">
        <v>135</v>
      </c>
    </row>
    <row r="32" spans="1:56">
      <c r="A32" s="157">
        <f t="shared" si="0"/>
        <v>21</v>
      </c>
      <c r="C32" s="321" t="str">
        <f>"W  "&amp;'Appendix A'!H201*100&amp;" % ROE"</f>
        <v>W  11.5 % ROE</v>
      </c>
      <c r="D32" s="322">
        <v>2007</v>
      </c>
      <c r="E32" s="214">
        <v>160095792.07291669</v>
      </c>
      <c r="F32" s="209">
        <v>0</v>
      </c>
      <c r="G32" s="212">
        <v>160095792.07291669</v>
      </c>
      <c r="H32" s="209">
        <v>36116735.850055151</v>
      </c>
      <c r="I32" s="214">
        <v>0</v>
      </c>
      <c r="J32" s="209">
        <v>0</v>
      </c>
      <c r="K32" s="212">
        <v>0</v>
      </c>
      <c r="L32" s="209">
        <v>0</v>
      </c>
      <c r="M32" s="214">
        <v>0</v>
      </c>
      <c r="N32" s="209">
        <v>0</v>
      </c>
      <c r="O32" s="212">
        <v>0</v>
      </c>
      <c r="P32" s="209">
        <v>0</v>
      </c>
      <c r="Q32" s="214">
        <v>0</v>
      </c>
      <c r="R32" s="209">
        <v>0</v>
      </c>
      <c r="S32" s="212">
        <v>0</v>
      </c>
      <c r="T32" s="209">
        <v>0</v>
      </c>
      <c r="U32" s="188"/>
      <c r="V32" s="163"/>
      <c r="W32" s="163"/>
      <c r="X32" s="207"/>
      <c r="Y32" s="188"/>
      <c r="Z32" s="163"/>
      <c r="AA32" s="163"/>
      <c r="AB32" s="207"/>
      <c r="AC32" s="188"/>
      <c r="AD32" s="163"/>
      <c r="AE32" s="163"/>
      <c r="AF32" s="207"/>
      <c r="AG32" s="188"/>
      <c r="AH32" s="163"/>
      <c r="AI32" s="163"/>
      <c r="AJ32" s="207"/>
      <c r="AK32" s="188"/>
      <c r="AL32" s="163"/>
      <c r="AM32" s="163"/>
      <c r="AN32" s="207"/>
      <c r="AO32" s="225">
        <v>36116735.850055203</v>
      </c>
      <c r="AP32" s="188"/>
      <c r="AQ32" s="213">
        <v>36116735.850055151</v>
      </c>
    </row>
    <row r="33" spans="1:44">
      <c r="A33" s="157">
        <f t="shared" si="0"/>
        <v>22</v>
      </c>
      <c r="C33" s="321" t="s">
        <v>263</v>
      </c>
      <c r="D33" s="322">
        <f>D32</f>
        <v>2007</v>
      </c>
      <c r="E33" s="214">
        <v>160095792.07291669</v>
      </c>
      <c r="F33" s="209">
        <v>0</v>
      </c>
      <c r="G33" s="212">
        <v>160095792.07291669</v>
      </c>
      <c r="H33" s="209">
        <v>38536105.584638886</v>
      </c>
      <c r="I33" s="214">
        <v>0</v>
      </c>
      <c r="J33" s="209">
        <v>0</v>
      </c>
      <c r="K33" s="212">
        <v>0</v>
      </c>
      <c r="L33" s="207">
        <v>0</v>
      </c>
      <c r="M33" s="214">
        <v>0</v>
      </c>
      <c r="N33" s="209">
        <v>0</v>
      </c>
      <c r="O33" s="212">
        <v>0</v>
      </c>
      <c r="P33" s="207">
        <v>0</v>
      </c>
      <c r="Q33" s="214">
        <v>0</v>
      </c>
      <c r="R33" s="209">
        <v>0</v>
      </c>
      <c r="S33" s="212">
        <v>0</v>
      </c>
      <c r="T33" s="207">
        <v>0</v>
      </c>
      <c r="U33" s="188"/>
      <c r="V33" s="163"/>
      <c r="W33" s="163"/>
      <c r="X33" s="207"/>
      <c r="Y33" s="188"/>
      <c r="Z33" s="163"/>
      <c r="AA33" s="163"/>
      <c r="AB33" s="207"/>
      <c r="AC33" s="188"/>
      <c r="AD33" s="163"/>
      <c r="AE33" s="163"/>
      <c r="AF33" s="207"/>
      <c r="AG33" s="188"/>
      <c r="AH33" s="163"/>
      <c r="AI33" s="163"/>
      <c r="AJ33" s="207"/>
      <c r="AK33" s="188"/>
      <c r="AL33" s="163"/>
      <c r="AM33" s="163"/>
      <c r="AN33" s="207"/>
      <c r="AO33" s="225">
        <v>38536105.584638901</v>
      </c>
      <c r="AP33" s="360">
        <v>38536105.584638886</v>
      </c>
      <c r="AQ33" s="187"/>
      <c r="AR33" s="286"/>
    </row>
    <row r="34" spans="1:44">
      <c r="A34" s="157">
        <f t="shared" si="0"/>
        <v>23</v>
      </c>
      <c r="C34" s="321" t="str">
        <f t="shared" ref="C34:C71" si="1">+C32</f>
        <v>W  11.5 % ROE</v>
      </c>
      <c r="D34" s="211">
        <f t="shared" ref="D34:D71" si="2">+D32+1</f>
        <v>2008</v>
      </c>
      <c r="E34" s="212">
        <v>66113655.877083361</v>
      </c>
      <c r="F34" s="209">
        <v>0</v>
      </c>
      <c r="G34" s="212">
        <v>66113655.877083361</v>
      </c>
      <c r="H34" s="209">
        <v>13349133.939361256</v>
      </c>
      <c r="I34" s="214">
        <v>187558717.47250003</v>
      </c>
      <c r="J34" s="212">
        <v>3282441.6778526399</v>
      </c>
      <c r="K34" s="212">
        <v>184276275.7946474</v>
      </c>
      <c r="L34" s="207">
        <v>40490014.830407582</v>
      </c>
      <c r="M34" s="214">
        <v>0</v>
      </c>
      <c r="N34" s="212">
        <v>0</v>
      </c>
      <c r="O34" s="212">
        <v>0</v>
      </c>
      <c r="P34" s="207">
        <v>0</v>
      </c>
      <c r="Q34" s="214">
        <v>0</v>
      </c>
      <c r="R34" s="212">
        <v>0</v>
      </c>
      <c r="S34" s="212">
        <v>0</v>
      </c>
      <c r="T34" s="207">
        <v>0</v>
      </c>
      <c r="U34" s="214"/>
      <c r="V34" s="209"/>
      <c r="W34" s="212"/>
      <c r="X34" s="207"/>
      <c r="Y34" s="214"/>
      <c r="Z34" s="209"/>
      <c r="AA34" s="212"/>
      <c r="AB34" s="207"/>
      <c r="AC34" s="214"/>
      <c r="AD34" s="209"/>
      <c r="AE34" s="212"/>
      <c r="AF34" s="207"/>
      <c r="AG34" s="214"/>
      <c r="AH34" s="209"/>
      <c r="AI34" s="212"/>
      <c r="AJ34" s="207"/>
      <c r="AK34" s="214"/>
      <c r="AL34" s="209"/>
      <c r="AM34" s="212"/>
      <c r="AN34" s="207"/>
      <c r="AO34" s="225">
        <v>53839148.769768797</v>
      </c>
      <c r="AP34" s="188"/>
      <c r="AQ34" s="213">
        <v>53839148.769768834</v>
      </c>
    </row>
    <row r="35" spans="1:44">
      <c r="A35" s="157">
        <f t="shared" si="0"/>
        <v>24</v>
      </c>
      <c r="C35" s="321" t="str">
        <f t="shared" si="1"/>
        <v>W Increased ROE</v>
      </c>
      <c r="D35" s="211">
        <f t="shared" si="2"/>
        <v>2008</v>
      </c>
      <c r="E35" s="212">
        <v>66113655.877083361</v>
      </c>
      <c r="F35" s="209">
        <v>0</v>
      </c>
      <c r="G35" s="212">
        <v>66113655.877083361</v>
      </c>
      <c r="H35" s="209">
        <v>14249837.537099294</v>
      </c>
      <c r="I35" s="214">
        <v>187558717.47250003</v>
      </c>
      <c r="J35" s="212">
        <v>3282441.6778526399</v>
      </c>
      <c r="K35" s="212">
        <v>184276275.7946474</v>
      </c>
      <c r="L35" s="207">
        <v>43000514.399431385</v>
      </c>
      <c r="M35" s="214">
        <v>0</v>
      </c>
      <c r="N35" s="212">
        <v>0</v>
      </c>
      <c r="O35" s="212">
        <v>0</v>
      </c>
      <c r="P35" s="207">
        <v>0</v>
      </c>
      <c r="Q35" s="214">
        <v>0</v>
      </c>
      <c r="R35" s="212">
        <v>0</v>
      </c>
      <c r="S35" s="212">
        <v>0</v>
      </c>
      <c r="T35" s="207">
        <v>0</v>
      </c>
      <c r="U35" s="214"/>
      <c r="V35" s="209"/>
      <c r="W35" s="212"/>
      <c r="X35" s="207"/>
      <c r="Y35" s="214"/>
      <c r="Z35" s="209"/>
      <c r="AA35" s="212"/>
      <c r="AB35" s="207"/>
      <c r="AC35" s="214"/>
      <c r="AD35" s="209"/>
      <c r="AE35" s="212"/>
      <c r="AF35" s="207"/>
      <c r="AG35" s="214"/>
      <c r="AH35" s="209"/>
      <c r="AI35" s="212"/>
      <c r="AJ35" s="207"/>
      <c r="AK35" s="214"/>
      <c r="AL35" s="209"/>
      <c r="AM35" s="212"/>
      <c r="AN35" s="207"/>
      <c r="AO35" s="225">
        <v>57250351.936530702</v>
      </c>
      <c r="AP35" s="360">
        <v>57250351.936530679</v>
      </c>
      <c r="AQ35" s="187"/>
      <c r="AR35" s="976"/>
    </row>
    <row r="36" spans="1:44">
      <c r="A36" s="157">
        <f t="shared" si="0"/>
        <v>25</v>
      </c>
      <c r="C36" s="321" t="s">
        <v>663</v>
      </c>
      <c r="D36" s="211">
        <v>2009</v>
      </c>
      <c r="E36" s="212">
        <v>85888.163749999992</v>
      </c>
      <c r="F36" s="212">
        <v>0</v>
      </c>
      <c r="G36" s="212">
        <v>85888.163749999992</v>
      </c>
      <c r="H36" s="209">
        <v>16772.504721592457</v>
      </c>
      <c r="I36" s="214">
        <v>256015811.11583331</v>
      </c>
      <c r="J36" s="212">
        <v>4966706.7356471699</v>
      </c>
      <c r="K36" s="212">
        <v>251049104.38018614</v>
      </c>
      <c r="L36" s="207">
        <v>53992347.810296752</v>
      </c>
      <c r="M36" s="214">
        <v>0</v>
      </c>
      <c r="N36" s="212">
        <v>0</v>
      </c>
      <c r="O36" s="212">
        <v>0</v>
      </c>
      <c r="P36" s="207">
        <v>0</v>
      </c>
      <c r="Q36" s="214">
        <v>0</v>
      </c>
      <c r="R36" s="212">
        <v>0</v>
      </c>
      <c r="S36" s="212">
        <v>0</v>
      </c>
      <c r="T36" s="207">
        <v>0</v>
      </c>
      <c r="U36" s="214">
        <v>0</v>
      </c>
      <c r="V36" s="209">
        <v>0</v>
      </c>
      <c r="W36" s="212">
        <v>0</v>
      </c>
      <c r="X36" s="207">
        <v>0</v>
      </c>
      <c r="Y36" s="214"/>
      <c r="Z36" s="212"/>
      <c r="AA36" s="212"/>
      <c r="AB36" s="207"/>
      <c r="AC36" s="214"/>
      <c r="AD36" s="212"/>
      <c r="AE36" s="212"/>
      <c r="AF36" s="207"/>
      <c r="AG36" s="214"/>
      <c r="AH36" s="212"/>
      <c r="AI36" s="212"/>
      <c r="AJ36" s="207"/>
      <c r="AK36" s="214"/>
      <c r="AL36" s="212"/>
      <c r="AM36" s="212"/>
      <c r="AN36" s="207"/>
      <c r="AO36" s="225">
        <v>54009120.315018304</v>
      </c>
      <c r="AP36" s="188"/>
      <c r="AQ36" s="213">
        <v>54009120.315018341</v>
      </c>
      <c r="AR36" s="976"/>
    </row>
    <row r="37" spans="1:44">
      <c r="A37" s="157">
        <f t="shared" si="0"/>
        <v>26</v>
      </c>
      <c r="C37" s="321" t="s">
        <v>263</v>
      </c>
      <c r="D37" s="211">
        <v>2009</v>
      </c>
      <c r="E37" s="212">
        <v>85888.163749999992</v>
      </c>
      <c r="F37" s="212">
        <v>0</v>
      </c>
      <c r="G37" s="212">
        <v>85888.163749999992</v>
      </c>
      <c r="H37" s="209">
        <v>17888.280991256805</v>
      </c>
      <c r="I37" s="214">
        <v>256015811.11583331</v>
      </c>
      <c r="J37" s="212">
        <v>4966706.7356471699</v>
      </c>
      <c r="K37" s="212">
        <v>251049104.38018614</v>
      </c>
      <c r="L37" s="207">
        <v>57253735.887043238</v>
      </c>
      <c r="M37" s="214">
        <v>0</v>
      </c>
      <c r="N37" s="212">
        <v>0</v>
      </c>
      <c r="O37" s="212">
        <v>0</v>
      </c>
      <c r="P37" s="207">
        <v>0</v>
      </c>
      <c r="Q37" s="214">
        <v>0</v>
      </c>
      <c r="R37" s="212">
        <v>0</v>
      </c>
      <c r="S37" s="212">
        <v>0</v>
      </c>
      <c r="T37" s="207">
        <v>0</v>
      </c>
      <c r="U37" s="214">
        <v>0</v>
      </c>
      <c r="V37" s="209">
        <v>0</v>
      </c>
      <c r="W37" s="212">
        <v>0</v>
      </c>
      <c r="X37" s="207">
        <v>0</v>
      </c>
      <c r="Y37" s="214"/>
      <c r="Z37" s="212"/>
      <c r="AA37" s="212"/>
      <c r="AB37" s="207"/>
      <c r="AC37" s="214"/>
      <c r="AD37" s="212"/>
      <c r="AE37" s="212"/>
      <c r="AF37" s="207"/>
      <c r="AG37" s="214"/>
      <c r="AH37" s="212"/>
      <c r="AI37" s="212"/>
      <c r="AJ37" s="207"/>
      <c r="AK37" s="214"/>
      <c r="AL37" s="212"/>
      <c r="AM37" s="212"/>
      <c r="AN37" s="207"/>
      <c r="AO37" s="225">
        <v>57271624.168034501</v>
      </c>
      <c r="AP37" s="360">
        <v>57271624.168034494</v>
      </c>
      <c r="AQ37" s="187"/>
      <c r="AR37" s="976"/>
    </row>
    <row r="38" spans="1:44">
      <c r="A38" s="157">
        <f t="shared" si="0"/>
        <v>27</v>
      </c>
      <c r="C38" s="321" t="str">
        <f t="shared" si="1"/>
        <v>W  11.5 % ROE</v>
      </c>
      <c r="D38" s="211">
        <f t="shared" si="2"/>
        <v>2010</v>
      </c>
      <c r="E38" s="1085"/>
      <c r="F38" s="1086">
        <v>0</v>
      </c>
      <c r="G38" s="1086">
        <v>0</v>
      </c>
      <c r="H38" s="1087">
        <v>0</v>
      </c>
      <c r="I38" s="214">
        <v>257094519.52000001</v>
      </c>
      <c r="J38" s="212">
        <v>13236782.092187811</v>
      </c>
      <c r="K38" s="212">
        <v>243857737.42781219</v>
      </c>
      <c r="L38" s="207">
        <v>57724269.569188401</v>
      </c>
      <c r="M38" s="979">
        <v>0</v>
      </c>
      <c r="N38" s="977">
        <v>0</v>
      </c>
      <c r="O38" s="977">
        <v>0</v>
      </c>
      <c r="P38" s="980">
        <v>0</v>
      </c>
      <c r="Q38" s="979">
        <v>0</v>
      </c>
      <c r="R38" s="977">
        <v>0</v>
      </c>
      <c r="S38" s="977">
        <v>0</v>
      </c>
      <c r="T38" s="980">
        <v>0</v>
      </c>
      <c r="U38" s="979">
        <v>0</v>
      </c>
      <c r="V38" s="977">
        <v>0</v>
      </c>
      <c r="W38" s="977">
        <v>0</v>
      </c>
      <c r="X38" s="980">
        <v>0</v>
      </c>
      <c r="Y38" s="979">
        <v>0</v>
      </c>
      <c r="Z38" s="978">
        <v>0</v>
      </c>
      <c r="AA38" s="977">
        <v>0</v>
      </c>
      <c r="AB38" s="980">
        <v>0</v>
      </c>
      <c r="AC38" s="979">
        <v>0</v>
      </c>
      <c r="AD38" s="978">
        <v>0</v>
      </c>
      <c r="AE38" s="977">
        <v>0</v>
      </c>
      <c r="AF38" s="980">
        <v>0</v>
      </c>
      <c r="AG38" s="979"/>
      <c r="AH38" s="977"/>
      <c r="AI38" s="977"/>
      <c r="AJ38" s="980"/>
      <c r="AK38" s="979"/>
      <c r="AL38" s="977"/>
      <c r="AM38" s="977"/>
      <c r="AN38" s="980"/>
      <c r="AO38" s="981">
        <v>57724269.569188401</v>
      </c>
      <c r="AP38" s="982"/>
      <c r="AQ38" s="983">
        <v>57724269.569188401</v>
      </c>
      <c r="AR38" s="976"/>
    </row>
    <row r="39" spans="1:44">
      <c r="A39" s="157">
        <f t="shared" si="0"/>
        <v>28</v>
      </c>
      <c r="C39" s="321" t="str">
        <f t="shared" si="1"/>
        <v>W Increased ROE</v>
      </c>
      <c r="D39" s="211">
        <f t="shared" si="2"/>
        <v>2010</v>
      </c>
      <c r="E39" s="1088">
        <v>0</v>
      </c>
      <c r="F39" s="1088">
        <v>0</v>
      </c>
      <c r="G39" s="1088">
        <v>0</v>
      </c>
      <c r="H39" s="227">
        <v>0</v>
      </c>
      <c r="I39" s="214">
        <v>257094519.52000001</v>
      </c>
      <c r="J39" s="212">
        <v>13236782.092187811</v>
      </c>
      <c r="K39" s="212">
        <v>243857737.42781219</v>
      </c>
      <c r="L39" s="207">
        <v>60708360.293065026</v>
      </c>
      <c r="M39" s="214">
        <v>0</v>
      </c>
      <c r="N39" s="212">
        <v>0</v>
      </c>
      <c r="O39" s="212">
        <v>0</v>
      </c>
      <c r="P39" s="207">
        <v>0</v>
      </c>
      <c r="Q39" s="214">
        <v>0</v>
      </c>
      <c r="R39" s="212">
        <v>0</v>
      </c>
      <c r="S39" s="212">
        <v>0</v>
      </c>
      <c r="T39" s="207">
        <v>0</v>
      </c>
      <c r="U39" s="214">
        <v>0</v>
      </c>
      <c r="V39" s="212">
        <v>0</v>
      </c>
      <c r="W39" s="212">
        <v>0</v>
      </c>
      <c r="X39" s="207">
        <v>0</v>
      </c>
      <c r="Y39" s="214">
        <v>0</v>
      </c>
      <c r="Z39" s="209">
        <v>0</v>
      </c>
      <c r="AA39" s="212">
        <v>0</v>
      </c>
      <c r="AB39" s="207">
        <v>0</v>
      </c>
      <c r="AC39" s="214">
        <v>0</v>
      </c>
      <c r="AD39" s="209">
        <v>0</v>
      </c>
      <c r="AE39" s="212">
        <v>0</v>
      </c>
      <c r="AF39" s="207">
        <v>0</v>
      </c>
      <c r="AG39" s="214"/>
      <c r="AH39" s="212"/>
      <c r="AI39" s="212"/>
      <c r="AJ39" s="207"/>
      <c r="AK39" s="214"/>
      <c r="AL39" s="212"/>
      <c r="AM39" s="212"/>
      <c r="AN39" s="207"/>
      <c r="AO39" s="225">
        <v>60708360.293065026</v>
      </c>
      <c r="AP39" s="360">
        <v>60708360.293065026</v>
      </c>
      <c r="AQ39" s="187"/>
      <c r="AR39" s="976"/>
    </row>
    <row r="40" spans="1:44">
      <c r="A40" s="157">
        <f t="shared" si="0"/>
        <v>29</v>
      </c>
      <c r="C40" s="321" t="str">
        <f t="shared" si="1"/>
        <v>W  11.5 % ROE</v>
      </c>
      <c r="D40" s="211">
        <f t="shared" si="2"/>
        <v>2011</v>
      </c>
      <c r="E40" s="1088"/>
      <c r="F40" s="1088">
        <v>0</v>
      </c>
      <c r="G40" s="1088">
        <v>0</v>
      </c>
      <c r="H40" s="227">
        <v>0</v>
      </c>
      <c r="I40" s="1092">
        <v>257110311.83000001</v>
      </c>
      <c r="J40" s="1088">
        <v>18203488.827834979</v>
      </c>
      <c r="K40" s="1088">
        <v>238906823.00216502</v>
      </c>
      <c r="L40" s="228">
        <v>41895731.59200415</v>
      </c>
      <c r="M40" s="1092">
        <v>0</v>
      </c>
      <c r="N40" s="1088">
        <v>0</v>
      </c>
      <c r="O40" s="1088">
        <v>0</v>
      </c>
      <c r="P40" s="228">
        <v>0</v>
      </c>
      <c r="Q40" s="1092">
        <v>0</v>
      </c>
      <c r="R40" s="1088">
        <v>0</v>
      </c>
      <c r="S40" s="1088">
        <v>0</v>
      </c>
      <c r="T40" s="228">
        <v>0</v>
      </c>
      <c r="U40" s="214">
        <v>0</v>
      </c>
      <c r="V40" s="212">
        <v>0</v>
      </c>
      <c r="W40" s="212">
        <v>0</v>
      </c>
      <c r="X40" s="207">
        <v>0</v>
      </c>
      <c r="Y40" s="214">
        <v>0</v>
      </c>
      <c r="Z40" s="212">
        <v>0</v>
      </c>
      <c r="AA40" s="212">
        <v>0</v>
      </c>
      <c r="AB40" s="207">
        <v>0</v>
      </c>
      <c r="AC40" s="214">
        <v>0</v>
      </c>
      <c r="AD40" s="212">
        <v>0</v>
      </c>
      <c r="AE40" s="212">
        <v>0</v>
      </c>
      <c r="AF40" s="207">
        <v>0</v>
      </c>
      <c r="AG40" s="214">
        <v>0</v>
      </c>
      <c r="AH40" s="209">
        <v>0</v>
      </c>
      <c r="AI40" s="212">
        <v>0</v>
      </c>
      <c r="AJ40" s="207">
        <v>0</v>
      </c>
      <c r="AK40" s="214">
        <v>0</v>
      </c>
      <c r="AL40" s="209">
        <v>0</v>
      </c>
      <c r="AM40" s="212">
        <v>0</v>
      </c>
      <c r="AN40" s="207">
        <v>0</v>
      </c>
      <c r="AO40" s="225">
        <v>41895731.59200415</v>
      </c>
      <c r="AP40" s="226"/>
      <c r="AQ40" s="1082">
        <v>41895731.59200415</v>
      </c>
      <c r="AR40" s="976"/>
    </row>
    <row r="41" spans="1:44">
      <c r="A41" s="157">
        <f t="shared" si="0"/>
        <v>30</v>
      </c>
      <c r="C41" s="321" t="str">
        <f t="shared" si="1"/>
        <v>W Increased ROE</v>
      </c>
      <c r="D41" s="211">
        <f t="shared" si="2"/>
        <v>2011</v>
      </c>
      <c r="E41" s="1088">
        <v>0</v>
      </c>
      <c r="F41" s="1088">
        <v>0</v>
      </c>
      <c r="G41" s="1088">
        <v>0</v>
      </c>
      <c r="H41" s="227">
        <v>0</v>
      </c>
      <c r="I41" s="1092">
        <v>257110311.83000001</v>
      </c>
      <c r="J41" s="1088">
        <v>18203488.827834979</v>
      </c>
      <c r="K41" s="1088">
        <v>238906823.00216502</v>
      </c>
      <c r="L41" s="228">
        <v>44720676.646150067</v>
      </c>
      <c r="M41" s="1092">
        <v>0</v>
      </c>
      <c r="N41" s="1088">
        <v>0</v>
      </c>
      <c r="O41" s="1088">
        <v>0</v>
      </c>
      <c r="P41" s="228">
        <v>0</v>
      </c>
      <c r="Q41" s="1092">
        <v>0</v>
      </c>
      <c r="R41" s="1088">
        <v>0</v>
      </c>
      <c r="S41" s="1088">
        <v>0</v>
      </c>
      <c r="T41" s="228">
        <v>0</v>
      </c>
      <c r="U41" s="214">
        <v>0</v>
      </c>
      <c r="V41" s="212">
        <v>0</v>
      </c>
      <c r="W41" s="212">
        <v>0</v>
      </c>
      <c r="X41" s="207">
        <v>0</v>
      </c>
      <c r="Y41" s="214">
        <v>0</v>
      </c>
      <c r="Z41" s="212">
        <v>0</v>
      </c>
      <c r="AA41" s="212">
        <v>0</v>
      </c>
      <c r="AB41" s="207">
        <v>0</v>
      </c>
      <c r="AC41" s="214">
        <v>0</v>
      </c>
      <c r="AD41" s="212">
        <v>0</v>
      </c>
      <c r="AE41" s="212">
        <v>0</v>
      </c>
      <c r="AF41" s="207">
        <v>0</v>
      </c>
      <c r="AG41" s="214">
        <v>0</v>
      </c>
      <c r="AH41" s="209">
        <v>0</v>
      </c>
      <c r="AI41" s="212">
        <v>0</v>
      </c>
      <c r="AJ41" s="207">
        <v>0</v>
      </c>
      <c r="AK41" s="214">
        <v>0</v>
      </c>
      <c r="AL41" s="209">
        <v>0</v>
      </c>
      <c r="AM41" s="212">
        <v>0</v>
      </c>
      <c r="AN41" s="207">
        <v>0</v>
      </c>
      <c r="AO41" s="225">
        <v>44720676.646150067</v>
      </c>
      <c r="AP41" s="1083">
        <v>44720676.646150067</v>
      </c>
      <c r="AQ41" s="1084"/>
      <c r="AR41" s="976"/>
    </row>
    <row r="42" spans="1:44">
      <c r="A42" s="157">
        <f t="shared" si="0"/>
        <v>31</v>
      </c>
      <c r="C42" s="321" t="str">
        <f t="shared" si="1"/>
        <v>W  11.5 % ROE</v>
      </c>
      <c r="D42" s="211">
        <f t="shared" si="2"/>
        <v>2012</v>
      </c>
      <c r="E42" s="1088"/>
      <c r="F42" s="1088">
        <f>+E$29</f>
        <v>0</v>
      </c>
      <c r="G42" s="1088">
        <f>+E42-F42</f>
        <v>0</v>
      </c>
      <c r="H42" s="227">
        <f>+E$26*G42+F42</f>
        <v>0</v>
      </c>
      <c r="I42" s="1092">
        <v>257105641.16999999</v>
      </c>
      <c r="J42" s="1088">
        <v>31440270.920022789</v>
      </c>
      <c r="K42" s="1088">
        <v>225665370.2499772</v>
      </c>
      <c r="L42" s="228">
        <v>42294051.258690946</v>
      </c>
      <c r="M42" s="1092">
        <v>0</v>
      </c>
      <c r="N42" s="1088">
        <v>0</v>
      </c>
      <c r="O42" s="1088">
        <v>0</v>
      </c>
      <c r="P42" s="228">
        <v>0</v>
      </c>
      <c r="Q42" s="1092">
        <v>0</v>
      </c>
      <c r="R42" s="1088">
        <v>0</v>
      </c>
      <c r="S42" s="1088">
        <v>0</v>
      </c>
      <c r="T42" s="228">
        <v>0</v>
      </c>
      <c r="U42" s="214">
        <v>0</v>
      </c>
      <c r="V42" s="212">
        <v>0</v>
      </c>
      <c r="W42" s="212">
        <v>0</v>
      </c>
      <c r="X42" s="207">
        <v>0</v>
      </c>
      <c r="Y42" s="214">
        <v>0</v>
      </c>
      <c r="Z42" s="212">
        <v>0</v>
      </c>
      <c r="AA42" s="212">
        <v>0</v>
      </c>
      <c r="AB42" s="207">
        <v>0</v>
      </c>
      <c r="AC42" s="214">
        <v>0</v>
      </c>
      <c r="AD42" s="212">
        <v>0</v>
      </c>
      <c r="AE42" s="212">
        <v>0</v>
      </c>
      <c r="AF42" s="207">
        <v>0</v>
      </c>
      <c r="AG42" s="214">
        <v>0</v>
      </c>
      <c r="AH42" s="209">
        <v>0</v>
      </c>
      <c r="AI42" s="212">
        <v>0</v>
      </c>
      <c r="AJ42" s="207">
        <v>0</v>
      </c>
      <c r="AK42" s="214">
        <v>0</v>
      </c>
      <c r="AL42" s="209">
        <v>0</v>
      </c>
      <c r="AM42" s="212">
        <v>0</v>
      </c>
      <c r="AN42" s="207">
        <v>0</v>
      </c>
      <c r="AO42" s="225">
        <v>42294051.258690946</v>
      </c>
      <c r="AP42" s="226"/>
      <c r="AQ42" s="1082">
        <v>42294051.258690946</v>
      </c>
      <c r="AR42" s="976"/>
    </row>
    <row r="43" spans="1:44">
      <c r="A43" s="157">
        <f t="shared" si="0"/>
        <v>32</v>
      </c>
      <c r="C43" s="321" t="str">
        <f t="shared" si="1"/>
        <v>W Increased ROE</v>
      </c>
      <c r="D43" s="211">
        <f t="shared" si="2"/>
        <v>2012</v>
      </c>
      <c r="E43" s="1088">
        <f>+E42</f>
        <v>0</v>
      </c>
      <c r="F43" s="1088">
        <f>+F42</f>
        <v>0</v>
      </c>
      <c r="G43" s="1088">
        <f t="shared" ref="G43" si="3">+E43-F43</f>
        <v>0</v>
      </c>
      <c r="H43" s="227">
        <f>+E$27*G43+F43</f>
        <v>0</v>
      </c>
      <c r="I43" s="1092">
        <v>257105641.16999999</v>
      </c>
      <c r="J43" s="1088">
        <v>31440270.920022789</v>
      </c>
      <c r="K43" s="1088">
        <v>225665370.2499772</v>
      </c>
      <c r="L43" s="228">
        <v>45045903.70066797</v>
      </c>
      <c r="M43" s="1092">
        <v>0</v>
      </c>
      <c r="N43" s="1088">
        <v>0</v>
      </c>
      <c r="O43" s="1088">
        <v>0</v>
      </c>
      <c r="P43" s="228">
        <v>0</v>
      </c>
      <c r="Q43" s="1092">
        <v>0</v>
      </c>
      <c r="R43" s="1088">
        <v>0</v>
      </c>
      <c r="S43" s="1088">
        <v>0</v>
      </c>
      <c r="T43" s="228">
        <v>0</v>
      </c>
      <c r="U43" s="214">
        <v>0</v>
      </c>
      <c r="V43" s="212">
        <v>0</v>
      </c>
      <c r="W43" s="212">
        <v>0</v>
      </c>
      <c r="X43" s="207">
        <v>0</v>
      </c>
      <c r="Y43" s="214">
        <v>0</v>
      </c>
      <c r="Z43" s="212">
        <v>0</v>
      </c>
      <c r="AA43" s="212">
        <v>0</v>
      </c>
      <c r="AB43" s="207">
        <v>0</v>
      </c>
      <c r="AC43" s="214">
        <v>0</v>
      </c>
      <c r="AD43" s="212">
        <v>0</v>
      </c>
      <c r="AE43" s="212">
        <v>0</v>
      </c>
      <c r="AF43" s="207">
        <v>0</v>
      </c>
      <c r="AG43" s="214">
        <v>0</v>
      </c>
      <c r="AH43" s="209">
        <v>0</v>
      </c>
      <c r="AI43" s="212">
        <v>0</v>
      </c>
      <c r="AJ43" s="207">
        <v>0</v>
      </c>
      <c r="AK43" s="214">
        <v>0</v>
      </c>
      <c r="AL43" s="209">
        <v>0</v>
      </c>
      <c r="AM43" s="212">
        <v>0</v>
      </c>
      <c r="AN43" s="207">
        <v>0</v>
      </c>
      <c r="AO43" s="225">
        <v>45045903.70066797</v>
      </c>
      <c r="AP43" s="1083">
        <v>45045903.70066797</v>
      </c>
      <c r="AQ43" s="1084"/>
      <c r="AR43" s="976"/>
    </row>
    <row r="44" spans="1:44">
      <c r="A44" s="157">
        <f t="shared" si="0"/>
        <v>33</v>
      </c>
      <c r="C44" s="321" t="str">
        <f t="shared" si="1"/>
        <v>W  11.5 % ROE</v>
      </c>
      <c r="D44" s="211">
        <f t="shared" si="2"/>
        <v>2013</v>
      </c>
      <c r="E44" s="212"/>
      <c r="F44" s="212">
        <f>+E$29</f>
        <v>0</v>
      </c>
      <c r="G44" s="212">
        <f t="shared" ref="G44:G71" si="4">+E44-F44</f>
        <v>0</v>
      </c>
      <c r="H44" s="209">
        <f>+E$26*G44+F44</f>
        <v>0</v>
      </c>
      <c r="I44" s="1188">
        <v>257105641.16999999</v>
      </c>
      <c r="J44" s="1189">
        <v>49643759.747857764</v>
      </c>
      <c r="K44" s="1189">
        <v>207461881.42214221</v>
      </c>
      <c r="L44" s="1190">
        <v>37454481.159902468</v>
      </c>
      <c r="M44" s="214">
        <v>0</v>
      </c>
      <c r="N44" s="212">
        <v>0</v>
      </c>
      <c r="O44" s="212">
        <v>0</v>
      </c>
      <c r="P44" s="207">
        <v>0</v>
      </c>
      <c r="Q44" s="214">
        <v>0</v>
      </c>
      <c r="R44" s="212">
        <v>0</v>
      </c>
      <c r="S44" s="212">
        <v>0</v>
      </c>
      <c r="T44" s="207">
        <v>0</v>
      </c>
      <c r="U44" s="214">
        <v>0</v>
      </c>
      <c r="V44" s="212">
        <v>0</v>
      </c>
      <c r="W44" s="212">
        <v>0</v>
      </c>
      <c r="X44" s="207">
        <v>0</v>
      </c>
      <c r="Y44" s="214">
        <v>0</v>
      </c>
      <c r="Z44" s="212">
        <v>0</v>
      </c>
      <c r="AA44" s="212">
        <v>0</v>
      </c>
      <c r="AB44" s="207">
        <v>0</v>
      </c>
      <c r="AC44" s="214">
        <v>0</v>
      </c>
      <c r="AD44" s="212">
        <v>0</v>
      </c>
      <c r="AE44" s="212">
        <v>0</v>
      </c>
      <c r="AF44" s="207">
        <v>0</v>
      </c>
      <c r="AG44" s="214">
        <v>0</v>
      </c>
      <c r="AH44" s="212">
        <v>0</v>
      </c>
      <c r="AI44" s="212">
        <v>0</v>
      </c>
      <c r="AJ44" s="207">
        <v>0</v>
      </c>
      <c r="AK44" s="214">
        <v>0</v>
      </c>
      <c r="AL44" s="212">
        <v>0</v>
      </c>
      <c r="AM44" s="212">
        <v>0</v>
      </c>
      <c r="AN44" s="207">
        <v>0</v>
      </c>
      <c r="AO44" s="225">
        <v>37454481.159902468</v>
      </c>
      <c r="AP44" s="188"/>
      <c r="AQ44" s="213">
        <v>37454481.159902468</v>
      </c>
      <c r="AR44" s="976"/>
    </row>
    <row r="45" spans="1:44">
      <c r="A45" s="157">
        <f t="shared" si="0"/>
        <v>34</v>
      </c>
      <c r="C45" s="321" t="str">
        <f t="shared" si="1"/>
        <v>W Increased ROE</v>
      </c>
      <c r="D45" s="211">
        <f t="shared" si="2"/>
        <v>2013</v>
      </c>
      <c r="E45" s="212">
        <f>+E44</f>
        <v>0</v>
      </c>
      <c r="F45" s="212">
        <f>+F44</f>
        <v>0</v>
      </c>
      <c r="G45" s="212">
        <f t="shared" si="4"/>
        <v>0</v>
      </c>
      <c r="H45" s="209">
        <f>+E$27*G45+F45</f>
        <v>0</v>
      </c>
      <c r="I45" s="1188">
        <v>257105641.16999999</v>
      </c>
      <c r="J45" s="1189">
        <v>49643759.747857764</v>
      </c>
      <c r="K45" s="1189">
        <v>207461881.42214221</v>
      </c>
      <c r="L45" s="1190">
        <v>39879047.562440686</v>
      </c>
      <c r="M45" s="214">
        <v>0</v>
      </c>
      <c r="N45" s="212">
        <v>0</v>
      </c>
      <c r="O45" s="212">
        <v>0</v>
      </c>
      <c r="P45" s="207">
        <v>0</v>
      </c>
      <c r="Q45" s="214">
        <v>0</v>
      </c>
      <c r="R45" s="212">
        <v>0</v>
      </c>
      <c r="S45" s="212">
        <v>0</v>
      </c>
      <c r="T45" s="207">
        <v>0</v>
      </c>
      <c r="U45" s="214">
        <v>0</v>
      </c>
      <c r="V45" s="212">
        <v>0</v>
      </c>
      <c r="W45" s="212">
        <v>0</v>
      </c>
      <c r="X45" s="207">
        <v>0</v>
      </c>
      <c r="Y45" s="214">
        <v>0</v>
      </c>
      <c r="Z45" s="212">
        <v>0</v>
      </c>
      <c r="AA45" s="212">
        <v>0</v>
      </c>
      <c r="AB45" s="207">
        <v>0</v>
      </c>
      <c r="AC45" s="214">
        <v>0</v>
      </c>
      <c r="AD45" s="212">
        <v>0</v>
      </c>
      <c r="AE45" s="212">
        <v>0</v>
      </c>
      <c r="AF45" s="207">
        <v>0</v>
      </c>
      <c r="AG45" s="214">
        <v>0</v>
      </c>
      <c r="AH45" s="212">
        <v>0</v>
      </c>
      <c r="AI45" s="212">
        <v>0</v>
      </c>
      <c r="AJ45" s="207">
        <v>0</v>
      </c>
      <c r="AK45" s="214">
        <v>0</v>
      </c>
      <c r="AL45" s="212">
        <v>0</v>
      </c>
      <c r="AM45" s="212">
        <v>0</v>
      </c>
      <c r="AN45" s="207">
        <v>0</v>
      </c>
      <c r="AO45" s="225">
        <v>39879047.562440686</v>
      </c>
      <c r="AP45" s="360">
        <v>39879047.562440686</v>
      </c>
      <c r="AQ45" s="187"/>
      <c r="AR45" s="976"/>
    </row>
    <row r="46" spans="1:44">
      <c r="A46" s="157">
        <f t="shared" si="0"/>
        <v>35</v>
      </c>
      <c r="C46" s="321" t="str">
        <f t="shared" si="1"/>
        <v>W  11.5 % ROE</v>
      </c>
      <c r="D46" s="211">
        <f t="shared" si="2"/>
        <v>2014</v>
      </c>
      <c r="E46" s="212"/>
      <c r="F46" s="212">
        <f>+E$29</f>
        <v>0</v>
      </c>
      <c r="G46" s="212">
        <f t="shared" si="4"/>
        <v>0</v>
      </c>
      <c r="H46" s="209">
        <f>+E$26*G46+F46</f>
        <v>0</v>
      </c>
      <c r="I46" s="1188">
        <f>$I$28</f>
        <v>257105641.16999999</v>
      </c>
      <c r="J46" s="1189">
        <f>J43+J45</f>
        <v>81084030.66788055</v>
      </c>
      <c r="K46" s="1189">
        <f>I46-J46</f>
        <v>176021610.50211942</v>
      </c>
      <c r="L46" s="1190">
        <f>+I$26*K46</f>
        <v>33570839.114007868</v>
      </c>
      <c r="M46" s="214">
        <f>+O45</f>
        <v>0</v>
      </c>
      <c r="N46" s="212">
        <f t="shared" ref="N46:N47" si="5">+N45</f>
        <v>0</v>
      </c>
      <c r="O46" s="212">
        <f t="shared" ref="O46:O47" si="6">+M46-N46</f>
        <v>0</v>
      </c>
      <c r="P46" s="207">
        <f>+M$26*O46+N46</f>
        <v>0</v>
      </c>
      <c r="Q46" s="214">
        <f>+S45</f>
        <v>0</v>
      </c>
      <c r="R46" s="212">
        <f>+Q$29</f>
        <v>0</v>
      </c>
      <c r="S46" s="212">
        <f t="shared" ref="S46:S47" si="7">+Q46-R46</f>
        <v>0</v>
      </c>
      <c r="T46" s="207">
        <f>+Q$26*S46+R46</f>
        <v>0</v>
      </c>
      <c r="U46" s="214">
        <f>+W45</f>
        <v>0</v>
      </c>
      <c r="V46" s="212">
        <f>+U$29</f>
        <v>0</v>
      </c>
      <c r="W46" s="212">
        <f t="shared" ref="W46:W47" si="8">+U46-V46</f>
        <v>0</v>
      </c>
      <c r="X46" s="207">
        <f>+U$26*W46+V46</f>
        <v>0</v>
      </c>
      <c r="Y46" s="214">
        <f>+AA45</f>
        <v>0</v>
      </c>
      <c r="Z46" s="212">
        <f>+Y$29</f>
        <v>0</v>
      </c>
      <c r="AA46" s="212">
        <f t="shared" ref="AA46:AA47" si="9">+Y46-Z46</f>
        <v>0</v>
      </c>
      <c r="AB46" s="207">
        <f>+Y$26*AA46+Z46</f>
        <v>0</v>
      </c>
      <c r="AC46" s="214">
        <f>+AE45</f>
        <v>0</v>
      </c>
      <c r="AD46" s="212">
        <f>+AC$29</f>
        <v>0</v>
      </c>
      <c r="AE46" s="212">
        <f t="shared" ref="AE46:AE47" si="10">+AC46-AD46</f>
        <v>0</v>
      </c>
      <c r="AF46" s="207">
        <f>+AC$26*AE46+AD46</f>
        <v>0</v>
      </c>
      <c r="AG46" s="214">
        <f>+AI45</f>
        <v>0</v>
      </c>
      <c r="AH46" s="212">
        <f>+AG$29</f>
        <v>0</v>
      </c>
      <c r="AI46" s="212">
        <f t="shared" ref="AI46:AI47" si="11">+AG46-AH46</f>
        <v>0</v>
      </c>
      <c r="AJ46" s="207">
        <f>+AG$26*AI46+AH46</f>
        <v>0</v>
      </c>
      <c r="AK46" s="214">
        <f>+AM45</f>
        <v>0</v>
      </c>
      <c r="AL46" s="212">
        <f>+AK$29</f>
        <v>0</v>
      </c>
      <c r="AM46" s="212">
        <f t="shared" ref="AM46:AM47" si="12">+AK46-AL46</f>
        <v>0</v>
      </c>
      <c r="AN46" s="207">
        <f>+AK$26*AM46+AL46</f>
        <v>0</v>
      </c>
      <c r="AO46" s="225">
        <f t="shared" ref="AO46:AO47" si="13">+P46+L46+H46</f>
        <v>33570839.114007868</v>
      </c>
      <c r="AP46" s="188"/>
      <c r="AQ46" s="213">
        <f>+AO46</f>
        <v>33570839.114007868</v>
      </c>
    </row>
    <row r="47" spans="1:44">
      <c r="A47" s="157">
        <f t="shared" si="0"/>
        <v>36</v>
      </c>
      <c r="C47" s="321" t="str">
        <f t="shared" si="1"/>
        <v>W Increased ROE</v>
      </c>
      <c r="D47" s="211">
        <f t="shared" si="2"/>
        <v>2014</v>
      </c>
      <c r="E47" s="212">
        <f>+E46</f>
        <v>0</v>
      </c>
      <c r="F47" s="212">
        <f>+F46</f>
        <v>0</v>
      </c>
      <c r="G47" s="212">
        <f t="shared" si="4"/>
        <v>0</v>
      </c>
      <c r="H47" s="209">
        <f>+E$27*G47+F47</f>
        <v>0</v>
      </c>
      <c r="I47" s="1188">
        <f>$I$28</f>
        <v>257105641.16999999</v>
      </c>
      <c r="J47" s="1189">
        <f>J46</f>
        <v>81084030.66788055</v>
      </c>
      <c r="K47" s="1189">
        <f>I47-J47</f>
        <v>176021610.50211942</v>
      </c>
      <c r="L47" s="1190">
        <f>+I$27*K47</f>
        <v>35817157.479751416</v>
      </c>
      <c r="M47" s="214">
        <f>+M46</f>
        <v>0</v>
      </c>
      <c r="N47" s="212">
        <f t="shared" si="5"/>
        <v>0</v>
      </c>
      <c r="O47" s="212">
        <f t="shared" si="6"/>
        <v>0</v>
      </c>
      <c r="P47" s="207">
        <f>+M$27*O47+N47</f>
        <v>0</v>
      </c>
      <c r="Q47" s="214">
        <f>+Q46</f>
        <v>0</v>
      </c>
      <c r="R47" s="212">
        <f>+R46</f>
        <v>0</v>
      </c>
      <c r="S47" s="212">
        <f t="shared" si="7"/>
        <v>0</v>
      </c>
      <c r="T47" s="207">
        <f>+Q$27*S47+R47</f>
        <v>0</v>
      </c>
      <c r="U47" s="214">
        <f>+U46</f>
        <v>0</v>
      </c>
      <c r="V47" s="212">
        <f>+V46</f>
        <v>0</v>
      </c>
      <c r="W47" s="212">
        <f t="shared" si="8"/>
        <v>0</v>
      </c>
      <c r="X47" s="207">
        <f>+U$27*W47+V47</f>
        <v>0</v>
      </c>
      <c r="Y47" s="214">
        <f>+Y46</f>
        <v>0</v>
      </c>
      <c r="Z47" s="212">
        <f>+Z46</f>
        <v>0</v>
      </c>
      <c r="AA47" s="212">
        <f t="shared" si="9"/>
        <v>0</v>
      </c>
      <c r="AB47" s="207">
        <f>+Y$27*AA47+Z47</f>
        <v>0</v>
      </c>
      <c r="AC47" s="214">
        <f>+AC46</f>
        <v>0</v>
      </c>
      <c r="AD47" s="212">
        <f>+AD46</f>
        <v>0</v>
      </c>
      <c r="AE47" s="212">
        <f t="shared" si="10"/>
        <v>0</v>
      </c>
      <c r="AF47" s="207">
        <f>+AC$27*AE47+AD47</f>
        <v>0</v>
      </c>
      <c r="AG47" s="214">
        <f>+AG46</f>
        <v>0</v>
      </c>
      <c r="AH47" s="212">
        <f>+AH46</f>
        <v>0</v>
      </c>
      <c r="AI47" s="212">
        <f t="shared" si="11"/>
        <v>0</v>
      </c>
      <c r="AJ47" s="207">
        <f>+AG$27*AI47+AH47</f>
        <v>0</v>
      </c>
      <c r="AK47" s="214">
        <f>+AK46</f>
        <v>0</v>
      </c>
      <c r="AL47" s="212">
        <f>+AL46</f>
        <v>0</v>
      </c>
      <c r="AM47" s="212">
        <f t="shared" si="12"/>
        <v>0</v>
      </c>
      <c r="AN47" s="207">
        <f>+AK$27*AM47+AL47</f>
        <v>0</v>
      </c>
      <c r="AO47" s="225">
        <f t="shared" si="13"/>
        <v>35817157.479751416</v>
      </c>
      <c r="AP47" s="360">
        <f>+AO47</f>
        <v>35817157.479751416</v>
      </c>
      <c r="AQ47" s="187"/>
    </row>
    <row r="48" spans="1:44">
      <c r="A48" s="157">
        <f t="shared" si="0"/>
        <v>37</v>
      </c>
      <c r="C48" s="321" t="str">
        <f t="shared" si="1"/>
        <v>W  11.5 % ROE</v>
      </c>
      <c r="D48" s="211">
        <f t="shared" si="2"/>
        <v>2015</v>
      </c>
      <c r="E48" s="212"/>
      <c r="F48" s="212">
        <f>+E$29</f>
        <v>0</v>
      </c>
      <c r="G48" s="212">
        <f t="shared" si="4"/>
        <v>0</v>
      </c>
      <c r="H48" s="209">
        <f>+E$26*G48+F48</f>
        <v>0</v>
      </c>
      <c r="I48" s="214">
        <v>0</v>
      </c>
      <c r="J48" s="212">
        <v>0</v>
      </c>
      <c r="K48" s="212">
        <v>0</v>
      </c>
      <c r="L48" s="207">
        <v>0</v>
      </c>
      <c r="M48" s="214">
        <f>+O47</f>
        <v>0</v>
      </c>
      <c r="N48" s="212">
        <f t="shared" ref="N48:N71" si="14">+N47</f>
        <v>0</v>
      </c>
      <c r="O48" s="212">
        <f t="shared" ref="O48:O71" si="15">+M48-N48</f>
        <v>0</v>
      </c>
      <c r="P48" s="207">
        <f>+M$26*O48+N48</f>
        <v>0</v>
      </c>
      <c r="Q48" s="214">
        <f>+S47</f>
        <v>0</v>
      </c>
      <c r="R48" s="212">
        <f>+Q$29</f>
        <v>0</v>
      </c>
      <c r="S48" s="212">
        <f t="shared" ref="S48:S71" si="16">+Q48-R48</f>
        <v>0</v>
      </c>
      <c r="T48" s="207">
        <f>+Q$26*S48+R48</f>
        <v>0</v>
      </c>
      <c r="U48" s="214">
        <f>+W47</f>
        <v>0</v>
      </c>
      <c r="V48" s="212">
        <f>+U$29</f>
        <v>0</v>
      </c>
      <c r="W48" s="212">
        <f t="shared" ref="W48:W71" si="17">+U48-V48</f>
        <v>0</v>
      </c>
      <c r="X48" s="207">
        <f>+U$26*W48+V48</f>
        <v>0</v>
      </c>
      <c r="Y48" s="214">
        <f>+AA47</f>
        <v>0</v>
      </c>
      <c r="Z48" s="212">
        <f>+Y$29</f>
        <v>0</v>
      </c>
      <c r="AA48" s="212">
        <f t="shared" ref="AA48:AA71" si="18">+Y48-Z48</f>
        <v>0</v>
      </c>
      <c r="AB48" s="207">
        <f>+Y$26*AA48+Z48</f>
        <v>0</v>
      </c>
      <c r="AC48" s="214">
        <f>+AE47</f>
        <v>0</v>
      </c>
      <c r="AD48" s="212">
        <f>+AC$29</f>
        <v>0</v>
      </c>
      <c r="AE48" s="212">
        <f t="shared" ref="AE48:AE71" si="19">+AC48-AD48</f>
        <v>0</v>
      </c>
      <c r="AF48" s="207">
        <f>+AC$26*AE48+AD48</f>
        <v>0</v>
      </c>
      <c r="AG48" s="214">
        <f>+AI47</f>
        <v>0</v>
      </c>
      <c r="AH48" s="212">
        <f>+AG$29</f>
        <v>0</v>
      </c>
      <c r="AI48" s="212">
        <f t="shared" ref="AI48:AI71" si="20">+AG48-AH48</f>
        <v>0</v>
      </c>
      <c r="AJ48" s="207">
        <f>+AG$26*AI48+AH48</f>
        <v>0</v>
      </c>
      <c r="AK48" s="214">
        <f>+AM47</f>
        <v>0</v>
      </c>
      <c r="AL48" s="212">
        <f>+AK$29</f>
        <v>0</v>
      </c>
      <c r="AM48" s="212">
        <f t="shared" ref="AM48:AM71" si="21">+AK48-AL48</f>
        <v>0</v>
      </c>
      <c r="AN48" s="207">
        <f>+AK$26*AM48+AL48</f>
        <v>0</v>
      </c>
      <c r="AO48" s="225">
        <f t="shared" ref="AO48:AO71" si="22">+P48+L48+H48</f>
        <v>0</v>
      </c>
      <c r="AP48" s="188"/>
      <c r="AQ48" s="213">
        <f>+AO48</f>
        <v>0</v>
      </c>
    </row>
    <row r="49" spans="1:43">
      <c r="A49" s="157">
        <f t="shared" si="0"/>
        <v>38</v>
      </c>
      <c r="C49" s="321" t="str">
        <f t="shared" si="1"/>
        <v>W Increased ROE</v>
      </c>
      <c r="D49" s="211">
        <f t="shared" si="2"/>
        <v>2015</v>
      </c>
      <c r="E49" s="212">
        <f>+E48</f>
        <v>0</v>
      </c>
      <c r="F49" s="212">
        <f>+F48</f>
        <v>0</v>
      </c>
      <c r="G49" s="212">
        <f t="shared" si="4"/>
        <v>0</v>
      </c>
      <c r="H49" s="209">
        <f>+E$27*G49+F49</f>
        <v>0</v>
      </c>
      <c r="I49" s="214">
        <v>0</v>
      </c>
      <c r="J49" s="212">
        <v>0</v>
      </c>
      <c r="K49" s="212">
        <v>0</v>
      </c>
      <c r="L49" s="207">
        <v>0</v>
      </c>
      <c r="M49" s="214">
        <f>+M48</f>
        <v>0</v>
      </c>
      <c r="N49" s="212">
        <f t="shared" si="14"/>
        <v>0</v>
      </c>
      <c r="O49" s="212">
        <f t="shared" si="15"/>
        <v>0</v>
      </c>
      <c r="P49" s="207">
        <f>+M$27*O49+N49</f>
        <v>0</v>
      </c>
      <c r="Q49" s="214">
        <f>+Q48</f>
        <v>0</v>
      </c>
      <c r="R49" s="212">
        <f>+R48</f>
        <v>0</v>
      </c>
      <c r="S49" s="212">
        <f t="shared" si="16"/>
        <v>0</v>
      </c>
      <c r="T49" s="207">
        <f>+Q$27*S49+R49</f>
        <v>0</v>
      </c>
      <c r="U49" s="214">
        <f>+U48</f>
        <v>0</v>
      </c>
      <c r="V49" s="212">
        <f>+V48</f>
        <v>0</v>
      </c>
      <c r="W49" s="212">
        <f t="shared" si="17"/>
        <v>0</v>
      </c>
      <c r="X49" s="207">
        <f>+U$27*W49+V49</f>
        <v>0</v>
      </c>
      <c r="Y49" s="214">
        <f>+Y48</f>
        <v>0</v>
      </c>
      <c r="Z49" s="212">
        <f>+Z48</f>
        <v>0</v>
      </c>
      <c r="AA49" s="212">
        <f t="shared" si="18"/>
        <v>0</v>
      </c>
      <c r="AB49" s="207">
        <f>+Y$27*AA49+Z49</f>
        <v>0</v>
      </c>
      <c r="AC49" s="214">
        <f>+AC48</f>
        <v>0</v>
      </c>
      <c r="AD49" s="212">
        <f>+AD48</f>
        <v>0</v>
      </c>
      <c r="AE49" s="212">
        <f t="shared" si="19"/>
        <v>0</v>
      </c>
      <c r="AF49" s="207">
        <f>+AC$27*AE49+AD49</f>
        <v>0</v>
      </c>
      <c r="AG49" s="214">
        <f>+AG48</f>
        <v>0</v>
      </c>
      <c r="AH49" s="212">
        <f>+AH48</f>
        <v>0</v>
      </c>
      <c r="AI49" s="212">
        <f t="shared" si="20"/>
        <v>0</v>
      </c>
      <c r="AJ49" s="207">
        <f>+AG$27*AI49+AH49</f>
        <v>0</v>
      </c>
      <c r="AK49" s="214">
        <f>+AK48</f>
        <v>0</v>
      </c>
      <c r="AL49" s="212">
        <f>+AL48</f>
        <v>0</v>
      </c>
      <c r="AM49" s="212">
        <f t="shared" si="21"/>
        <v>0</v>
      </c>
      <c r="AN49" s="207">
        <f>+AK$27*AM49+AL49</f>
        <v>0</v>
      </c>
      <c r="AO49" s="225">
        <f t="shared" si="22"/>
        <v>0</v>
      </c>
      <c r="AP49" s="360">
        <f>+AO49</f>
        <v>0</v>
      </c>
      <c r="AQ49" s="187"/>
    </row>
    <row r="50" spans="1:43">
      <c r="A50" s="157">
        <f t="shared" si="0"/>
        <v>39</v>
      </c>
      <c r="C50" s="321" t="str">
        <f t="shared" si="1"/>
        <v>W  11.5 % ROE</v>
      </c>
      <c r="D50" s="211">
        <f t="shared" si="2"/>
        <v>2016</v>
      </c>
      <c r="E50" s="212"/>
      <c r="F50" s="212">
        <f>+E$29</f>
        <v>0</v>
      </c>
      <c r="G50" s="212">
        <f t="shared" si="4"/>
        <v>0</v>
      </c>
      <c r="H50" s="209">
        <f>+E$26*G50+F50</f>
        <v>0</v>
      </c>
      <c r="I50" s="214">
        <v>0</v>
      </c>
      <c r="J50" s="212">
        <v>0</v>
      </c>
      <c r="K50" s="212">
        <v>0</v>
      </c>
      <c r="L50" s="207">
        <v>0</v>
      </c>
      <c r="M50" s="214">
        <f>+O49</f>
        <v>0</v>
      </c>
      <c r="N50" s="212">
        <f t="shared" si="14"/>
        <v>0</v>
      </c>
      <c r="O50" s="212">
        <f t="shared" si="15"/>
        <v>0</v>
      </c>
      <c r="P50" s="207">
        <f>+M$26*O50+N50</f>
        <v>0</v>
      </c>
      <c r="Q50" s="214">
        <f>+S49</f>
        <v>0</v>
      </c>
      <c r="R50" s="212">
        <f>+Q$29</f>
        <v>0</v>
      </c>
      <c r="S50" s="212">
        <f t="shared" si="16"/>
        <v>0</v>
      </c>
      <c r="T50" s="207">
        <f>+Q$26*S50+R50</f>
        <v>0</v>
      </c>
      <c r="U50" s="214">
        <f>+W49</f>
        <v>0</v>
      </c>
      <c r="V50" s="212">
        <f>+U$29</f>
        <v>0</v>
      </c>
      <c r="W50" s="212">
        <f t="shared" si="17"/>
        <v>0</v>
      </c>
      <c r="X50" s="207">
        <f>+U$26*W50+V50</f>
        <v>0</v>
      </c>
      <c r="Y50" s="214">
        <f>+AA49</f>
        <v>0</v>
      </c>
      <c r="Z50" s="212">
        <f>+Y$29</f>
        <v>0</v>
      </c>
      <c r="AA50" s="212">
        <f t="shared" si="18"/>
        <v>0</v>
      </c>
      <c r="AB50" s="207">
        <f>+Y$26*AA50+Z50</f>
        <v>0</v>
      </c>
      <c r="AC50" s="214">
        <f>+AE49</f>
        <v>0</v>
      </c>
      <c r="AD50" s="212">
        <f>+AC$29</f>
        <v>0</v>
      </c>
      <c r="AE50" s="212">
        <f t="shared" si="19"/>
        <v>0</v>
      </c>
      <c r="AF50" s="207">
        <f>+AC$26*AE50+AD50</f>
        <v>0</v>
      </c>
      <c r="AG50" s="214">
        <f>+AI49</f>
        <v>0</v>
      </c>
      <c r="AH50" s="212">
        <f>+AG$29</f>
        <v>0</v>
      </c>
      <c r="AI50" s="212">
        <f t="shared" si="20"/>
        <v>0</v>
      </c>
      <c r="AJ50" s="207">
        <f>+AG$26*AI50+AH50</f>
        <v>0</v>
      </c>
      <c r="AK50" s="214">
        <f>+AM49</f>
        <v>0</v>
      </c>
      <c r="AL50" s="212">
        <f>+AK$29</f>
        <v>0</v>
      </c>
      <c r="AM50" s="212">
        <f t="shared" si="21"/>
        <v>0</v>
      </c>
      <c r="AN50" s="207">
        <f>+AK$26*AM50+AL50</f>
        <v>0</v>
      </c>
      <c r="AO50" s="225">
        <f t="shared" si="22"/>
        <v>0</v>
      </c>
      <c r="AP50" s="188"/>
      <c r="AQ50" s="213">
        <f>+AO50</f>
        <v>0</v>
      </c>
    </row>
    <row r="51" spans="1:43">
      <c r="A51" s="157">
        <f t="shared" si="0"/>
        <v>40</v>
      </c>
      <c r="C51" s="321" t="str">
        <f t="shared" si="1"/>
        <v>W Increased ROE</v>
      </c>
      <c r="D51" s="211">
        <f t="shared" si="2"/>
        <v>2016</v>
      </c>
      <c r="E51" s="212">
        <f>+E50</f>
        <v>0</v>
      </c>
      <c r="F51" s="212">
        <f>+F50</f>
        <v>0</v>
      </c>
      <c r="G51" s="212">
        <f t="shared" si="4"/>
        <v>0</v>
      </c>
      <c r="H51" s="209">
        <f>+E$27*G51+F51</f>
        <v>0</v>
      </c>
      <c r="I51" s="214">
        <v>0</v>
      </c>
      <c r="J51" s="212">
        <v>0</v>
      </c>
      <c r="K51" s="212">
        <v>0</v>
      </c>
      <c r="L51" s="207">
        <v>0</v>
      </c>
      <c r="M51" s="214">
        <f>+M50</f>
        <v>0</v>
      </c>
      <c r="N51" s="212">
        <f t="shared" si="14"/>
        <v>0</v>
      </c>
      <c r="O51" s="212">
        <f t="shared" si="15"/>
        <v>0</v>
      </c>
      <c r="P51" s="207">
        <f>+M$27*O51+N51</f>
        <v>0</v>
      </c>
      <c r="Q51" s="214">
        <f>+Q50</f>
        <v>0</v>
      </c>
      <c r="R51" s="212">
        <f>+R50</f>
        <v>0</v>
      </c>
      <c r="S51" s="212">
        <f t="shared" si="16"/>
        <v>0</v>
      </c>
      <c r="T51" s="207">
        <f>+Q$27*S51+R51</f>
        <v>0</v>
      </c>
      <c r="U51" s="214">
        <f>+U50</f>
        <v>0</v>
      </c>
      <c r="V51" s="212">
        <f>+V50</f>
        <v>0</v>
      </c>
      <c r="W51" s="212">
        <f t="shared" si="17"/>
        <v>0</v>
      </c>
      <c r="X51" s="207">
        <f>+U$27*W51+V51</f>
        <v>0</v>
      </c>
      <c r="Y51" s="214">
        <f>+Y50</f>
        <v>0</v>
      </c>
      <c r="Z51" s="212">
        <f>+Z50</f>
        <v>0</v>
      </c>
      <c r="AA51" s="212">
        <f t="shared" si="18"/>
        <v>0</v>
      </c>
      <c r="AB51" s="207">
        <f>+Y$27*AA51+Z51</f>
        <v>0</v>
      </c>
      <c r="AC51" s="214">
        <f>+AC50</f>
        <v>0</v>
      </c>
      <c r="AD51" s="212">
        <f>+AD50</f>
        <v>0</v>
      </c>
      <c r="AE51" s="212">
        <f t="shared" si="19"/>
        <v>0</v>
      </c>
      <c r="AF51" s="207">
        <f>+AC$27*AE51+AD51</f>
        <v>0</v>
      </c>
      <c r="AG51" s="214">
        <f>+AG50</f>
        <v>0</v>
      </c>
      <c r="AH51" s="212">
        <f>+AH50</f>
        <v>0</v>
      </c>
      <c r="AI51" s="212">
        <f t="shared" si="20"/>
        <v>0</v>
      </c>
      <c r="AJ51" s="207">
        <f>+AG$27*AI51+AH51</f>
        <v>0</v>
      </c>
      <c r="AK51" s="214">
        <f>+AK50</f>
        <v>0</v>
      </c>
      <c r="AL51" s="212">
        <f>+AL50</f>
        <v>0</v>
      </c>
      <c r="AM51" s="212">
        <f t="shared" si="21"/>
        <v>0</v>
      </c>
      <c r="AN51" s="207">
        <f>+AK$27*AM51+AL51</f>
        <v>0</v>
      </c>
      <c r="AO51" s="225">
        <f t="shared" si="22"/>
        <v>0</v>
      </c>
      <c r="AP51" s="360">
        <f>+AO51</f>
        <v>0</v>
      </c>
      <c r="AQ51" s="187"/>
    </row>
    <row r="52" spans="1:43">
      <c r="A52" s="157">
        <f t="shared" si="0"/>
        <v>41</v>
      </c>
      <c r="C52" s="321" t="str">
        <f t="shared" si="1"/>
        <v>W  11.5 % ROE</v>
      </c>
      <c r="D52" s="211">
        <f t="shared" si="2"/>
        <v>2017</v>
      </c>
      <c r="E52" s="212"/>
      <c r="F52" s="212">
        <f>+E$29</f>
        <v>0</v>
      </c>
      <c r="G52" s="212">
        <f t="shared" si="4"/>
        <v>0</v>
      </c>
      <c r="H52" s="209">
        <f>+E$26*G52+F52</f>
        <v>0</v>
      </c>
      <c r="I52" s="214">
        <v>0</v>
      </c>
      <c r="J52" s="212">
        <v>0</v>
      </c>
      <c r="K52" s="212">
        <v>0</v>
      </c>
      <c r="L52" s="207">
        <v>0</v>
      </c>
      <c r="M52" s="214">
        <f>+O51</f>
        <v>0</v>
      </c>
      <c r="N52" s="212">
        <f t="shared" si="14"/>
        <v>0</v>
      </c>
      <c r="O52" s="212">
        <f t="shared" si="15"/>
        <v>0</v>
      </c>
      <c r="P52" s="207">
        <f>+M$26*O52+N52</f>
        <v>0</v>
      </c>
      <c r="Q52" s="214">
        <f>+S51</f>
        <v>0</v>
      </c>
      <c r="R52" s="212">
        <f>+Q$29</f>
        <v>0</v>
      </c>
      <c r="S52" s="212">
        <f t="shared" si="16"/>
        <v>0</v>
      </c>
      <c r="T52" s="207">
        <f>+Q$26*S52+R52</f>
        <v>0</v>
      </c>
      <c r="U52" s="214">
        <f>+W51</f>
        <v>0</v>
      </c>
      <c r="V52" s="212">
        <f>+U$29</f>
        <v>0</v>
      </c>
      <c r="W52" s="212">
        <f t="shared" si="17"/>
        <v>0</v>
      </c>
      <c r="X52" s="207">
        <f>+U$26*W52+V52</f>
        <v>0</v>
      </c>
      <c r="Y52" s="214">
        <f>+AA51</f>
        <v>0</v>
      </c>
      <c r="Z52" s="212">
        <f>+Y$29</f>
        <v>0</v>
      </c>
      <c r="AA52" s="212">
        <f t="shared" si="18"/>
        <v>0</v>
      </c>
      <c r="AB52" s="207">
        <f>+Y$26*AA52+Z52</f>
        <v>0</v>
      </c>
      <c r="AC52" s="214">
        <f>+AE51</f>
        <v>0</v>
      </c>
      <c r="AD52" s="212">
        <f>+AC$29</f>
        <v>0</v>
      </c>
      <c r="AE52" s="212">
        <f t="shared" si="19"/>
        <v>0</v>
      </c>
      <c r="AF52" s="207">
        <f>+AC$26*AE52+AD52</f>
        <v>0</v>
      </c>
      <c r="AG52" s="214">
        <f>+AI51</f>
        <v>0</v>
      </c>
      <c r="AH52" s="212">
        <f>+AG$29</f>
        <v>0</v>
      </c>
      <c r="AI52" s="212">
        <f t="shared" si="20"/>
        <v>0</v>
      </c>
      <c r="AJ52" s="207">
        <f>+AG$26*AI52+AH52</f>
        <v>0</v>
      </c>
      <c r="AK52" s="214">
        <f>+AM51</f>
        <v>0</v>
      </c>
      <c r="AL52" s="212">
        <f>+AK$29</f>
        <v>0</v>
      </c>
      <c r="AM52" s="212">
        <f t="shared" si="21"/>
        <v>0</v>
      </c>
      <c r="AN52" s="207">
        <f>+AK$26*AM52+AL52</f>
        <v>0</v>
      </c>
      <c r="AO52" s="225">
        <f t="shared" si="22"/>
        <v>0</v>
      </c>
      <c r="AP52" s="188"/>
      <c r="AQ52" s="213">
        <f>+AO52</f>
        <v>0</v>
      </c>
    </row>
    <row r="53" spans="1:43">
      <c r="A53" s="157">
        <f t="shared" ref="A53:A73" si="23">+A52+1</f>
        <v>42</v>
      </c>
      <c r="C53" s="321" t="str">
        <f t="shared" si="1"/>
        <v>W Increased ROE</v>
      </c>
      <c r="D53" s="211">
        <f t="shared" si="2"/>
        <v>2017</v>
      </c>
      <c r="E53" s="212">
        <f>+E52</f>
        <v>0</v>
      </c>
      <c r="F53" s="212">
        <f>+F52</f>
        <v>0</v>
      </c>
      <c r="G53" s="212">
        <f t="shared" si="4"/>
        <v>0</v>
      </c>
      <c r="H53" s="209">
        <f>+E$27*G53+F53</f>
        <v>0</v>
      </c>
      <c r="I53" s="214">
        <v>0</v>
      </c>
      <c r="J53" s="212">
        <v>0</v>
      </c>
      <c r="K53" s="212">
        <v>0</v>
      </c>
      <c r="L53" s="207">
        <v>0</v>
      </c>
      <c r="M53" s="214">
        <f>+M52</f>
        <v>0</v>
      </c>
      <c r="N53" s="212">
        <f t="shared" si="14"/>
        <v>0</v>
      </c>
      <c r="O53" s="212">
        <f t="shared" si="15"/>
        <v>0</v>
      </c>
      <c r="P53" s="207">
        <f>+M$27*O53+N53</f>
        <v>0</v>
      </c>
      <c r="Q53" s="214">
        <f>+Q52</f>
        <v>0</v>
      </c>
      <c r="R53" s="212">
        <f>+R52</f>
        <v>0</v>
      </c>
      <c r="S53" s="212">
        <f t="shared" si="16"/>
        <v>0</v>
      </c>
      <c r="T53" s="207">
        <f>+Q$27*S53+R53</f>
        <v>0</v>
      </c>
      <c r="U53" s="214">
        <f>+U52</f>
        <v>0</v>
      </c>
      <c r="V53" s="212">
        <f>+V52</f>
        <v>0</v>
      </c>
      <c r="W53" s="212">
        <f t="shared" si="17"/>
        <v>0</v>
      </c>
      <c r="X53" s="207">
        <f>+U$27*W53+V53</f>
        <v>0</v>
      </c>
      <c r="Y53" s="214">
        <f>+Y52</f>
        <v>0</v>
      </c>
      <c r="Z53" s="212">
        <f>+Z52</f>
        <v>0</v>
      </c>
      <c r="AA53" s="212">
        <f t="shared" si="18"/>
        <v>0</v>
      </c>
      <c r="AB53" s="207">
        <f>+Y$27*AA53+Z53</f>
        <v>0</v>
      </c>
      <c r="AC53" s="214">
        <f>+AC52</f>
        <v>0</v>
      </c>
      <c r="AD53" s="212">
        <f>+AD52</f>
        <v>0</v>
      </c>
      <c r="AE53" s="212">
        <f t="shared" si="19"/>
        <v>0</v>
      </c>
      <c r="AF53" s="207">
        <f>+AC$27*AE53+AD53</f>
        <v>0</v>
      </c>
      <c r="AG53" s="214">
        <f>+AG52</f>
        <v>0</v>
      </c>
      <c r="AH53" s="212">
        <f>+AH52</f>
        <v>0</v>
      </c>
      <c r="AI53" s="212">
        <f t="shared" si="20"/>
        <v>0</v>
      </c>
      <c r="AJ53" s="207">
        <f>+AG$27*AI53+AH53</f>
        <v>0</v>
      </c>
      <c r="AK53" s="214">
        <f>+AK52</f>
        <v>0</v>
      </c>
      <c r="AL53" s="212">
        <f>+AL52</f>
        <v>0</v>
      </c>
      <c r="AM53" s="212">
        <f t="shared" si="21"/>
        <v>0</v>
      </c>
      <c r="AN53" s="207">
        <f>+AK$27*AM53+AL53</f>
        <v>0</v>
      </c>
      <c r="AO53" s="225">
        <f t="shared" si="22"/>
        <v>0</v>
      </c>
      <c r="AP53" s="360">
        <f>+AO53</f>
        <v>0</v>
      </c>
      <c r="AQ53" s="187"/>
    </row>
    <row r="54" spans="1:43">
      <c r="A54" s="157">
        <f t="shared" si="23"/>
        <v>43</v>
      </c>
      <c r="C54" s="321" t="str">
        <f t="shared" si="1"/>
        <v>W  11.5 % ROE</v>
      </c>
      <c r="D54" s="211">
        <f t="shared" si="2"/>
        <v>2018</v>
      </c>
      <c r="E54" s="212"/>
      <c r="F54" s="212">
        <f>+E$29</f>
        <v>0</v>
      </c>
      <c r="G54" s="212">
        <f t="shared" si="4"/>
        <v>0</v>
      </c>
      <c r="H54" s="209">
        <f>+E$26*G54+F54</f>
        <v>0</v>
      </c>
      <c r="I54" s="214">
        <v>0</v>
      </c>
      <c r="J54" s="212">
        <v>0</v>
      </c>
      <c r="K54" s="212">
        <v>0</v>
      </c>
      <c r="L54" s="207">
        <v>0</v>
      </c>
      <c r="M54" s="214">
        <f>+O53</f>
        <v>0</v>
      </c>
      <c r="N54" s="212">
        <f t="shared" si="14"/>
        <v>0</v>
      </c>
      <c r="O54" s="212">
        <f t="shared" si="15"/>
        <v>0</v>
      </c>
      <c r="P54" s="207">
        <f>+M$26*O54+N54</f>
        <v>0</v>
      </c>
      <c r="Q54" s="214">
        <f>+S53</f>
        <v>0</v>
      </c>
      <c r="R54" s="212">
        <f>+Q$29</f>
        <v>0</v>
      </c>
      <c r="S54" s="212">
        <f t="shared" si="16"/>
        <v>0</v>
      </c>
      <c r="T54" s="207">
        <f>+Q$26*S54+R54</f>
        <v>0</v>
      </c>
      <c r="U54" s="214">
        <f>+W53</f>
        <v>0</v>
      </c>
      <c r="V54" s="212">
        <f>+U$29</f>
        <v>0</v>
      </c>
      <c r="W54" s="212">
        <f t="shared" si="17"/>
        <v>0</v>
      </c>
      <c r="X54" s="207">
        <f>+U$26*W54+V54</f>
        <v>0</v>
      </c>
      <c r="Y54" s="214">
        <f>+AA53</f>
        <v>0</v>
      </c>
      <c r="Z54" s="212">
        <f>+Y$29</f>
        <v>0</v>
      </c>
      <c r="AA54" s="212">
        <f t="shared" si="18"/>
        <v>0</v>
      </c>
      <c r="AB54" s="207">
        <f>+Y$26*AA54+Z54</f>
        <v>0</v>
      </c>
      <c r="AC54" s="214">
        <f>+AE53</f>
        <v>0</v>
      </c>
      <c r="AD54" s="212">
        <f>+AC$29</f>
        <v>0</v>
      </c>
      <c r="AE54" s="212">
        <f t="shared" si="19"/>
        <v>0</v>
      </c>
      <c r="AF54" s="207">
        <f>+AC$26*AE54+AD54</f>
        <v>0</v>
      </c>
      <c r="AG54" s="214">
        <f>+AI53</f>
        <v>0</v>
      </c>
      <c r="AH54" s="212">
        <f>+AG$29</f>
        <v>0</v>
      </c>
      <c r="AI54" s="212">
        <f t="shared" si="20"/>
        <v>0</v>
      </c>
      <c r="AJ54" s="207">
        <f>+AG$26*AI54+AH54</f>
        <v>0</v>
      </c>
      <c r="AK54" s="214">
        <f>+AM53</f>
        <v>0</v>
      </c>
      <c r="AL54" s="212">
        <f>+AK$29</f>
        <v>0</v>
      </c>
      <c r="AM54" s="212">
        <f t="shared" si="21"/>
        <v>0</v>
      </c>
      <c r="AN54" s="207">
        <f>+AK$26*AM54+AL54</f>
        <v>0</v>
      </c>
      <c r="AO54" s="225">
        <f t="shared" si="22"/>
        <v>0</v>
      </c>
      <c r="AP54" s="188"/>
      <c r="AQ54" s="213">
        <f>+AO54</f>
        <v>0</v>
      </c>
    </row>
    <row r="55" spans="1:43">
      <c r="A55" s="157">
        <f t="shared" si="23"/>
        <v>44</v>
      </c>
      <c r="C55" s="321" t="str">
        <f t="shared" si="1"/>
        <v>W Increased ROE</v>
      </c>
      <c r="D55" s="211">
        <f t="shared" si="2"/>
        <v>2018</v>
      </c>
      <c r="E55" s="212">
        <f>+E54</f>
        <v>0</v>
      </c>
      <c r="F55" s="212">
        <f>+F54</f>
        <v>0</v>
      </c>
      <c r="G55" s="212">
        <f t="shared" si="4"/>
        <v>0</v>
      </c>
      <c r="H55" s="209">
        <f>+E$27*G55+F55</f>
        <v>0</v>
      </c>
      <c r="I55" s="214">
        <v>0</v>
      </c>
      <c r="J55" s="212">
        <v>0</v>
      </c>
      <c r="K55" s="212">
        <v>0</v>
      </c>
      <c r="L55" s="207">
        <v>0</v>
      </c>
      <c r="M55" s="214">
        <f>+M54</f>
        <v>0</v>
      </c>
      <c r="N55" s="212">
        <f t="shared" si="14"/>
        <v>0</v>
      </c>
      <c r="O55" s="212">
        <f t="shared" si="15"/>
        <v>0</v>
      </c>
      <c r="P55" s="207">
        <f>+M$27*O55+N55</f>
        <v>0</v>
      </c>
      <c r="Q55" s="214">
        <f>+Q54</f>
        <v>0</v>
      </c>
      <c r="R55" s="212">
        <f>+R54</f>
        <v>0</v>
      </c>
      <c r="S55" s="212">
        <f t="shared" si="16"/>
        <v>0</v>
      </c>
      <c r="T55" s="207">
        <f>+Q$27*S55+R55</f>
        <v>0</v>
      </c>
      <c r="U55" s="214">
        <f>+U54</f>
        <v>0</v>
      </c>
      <c r="V55" s="212">
        <f>+V54</f>
        <v>0</v>
      </c>
      <c r="W55" s="212">
        <f t="shared" si="17"/>
        <v>0</v>
      </c>
      <c r="X55" s="207">
        <f>+U$27*W55+V55</f>
        <v>0</v>
      </c>
      <c r="Y55" s="214">
        <f>+Y54</f>
        <v>0</v>
      </c>
      <c r="Z55" s="212">
        <f>+Z54</f>
        <v>0</v>
      </c>
      <c r="AA55" s="212">
        <f t="shared" si="18"/>
        <v>0</v>
      </c>
      <c r="AB55" s="207">
        <f>+Y$27*AA55+Z55</f>
        <v>0</v>
      </c>
      <c r="AC55" s="214">
        <f>+AC54</f>
        <v>0</v>
      </c>
      <c r="AD55" s="212">
        <f>+AD54</f>
        <v>0</v>
      </c>
      <c r="AE55" s="212">
        <f t="shared" si="19"/>
        <v>0</v>
      </c>
      <c r="AF55" s="207">
        <f>+AC$27*AE55+AD55</f>
        <v>0</v>
      </c>
      <c r="AG55" s="214">
        <f>+AG54</f>
        <v>0</v>
      </c>
      <c r="AH55" s="212">
        <f>+AH54</f>
        <v>0</v>
      </c>
      <c r="AI55" s="212">
        <f t="shared" si="20"/>
        <v>0</v>
      </c>
      <c r="AJ55" s="207">
        <f>+AG$27*AI55+AH55</f>
        <v>0</v>
      </c>
      <c r="AK55" s="214">
        <f>+AK54</f>
        <v>0</v>
      </c>
      <c r="AL55" s="212">
        <f>+AL54</f>
        <v>0</v>
      </c>
      <c r="AM55" s="212">
        <f t="shared" si="21"/>
        <v>0</v>
      </c>
      <c r="AN55" s="207">
        <f>+AK$27*AM55+AL55</f>
        <v>0</v>
      </c>
      <c r="AO55" s="225">
        <f t="shared" si="22"/>
        <v>0</v>
      </c>
      <c r="AP55" s="360">
        <f>+AO55</f>
        <v>0</v>
      </c>
      <c r="AQ55" s="187"/>
    </row>
    <row r="56" spans="1:43">
      <c r="A56" s="157">
        <f t="shared" si="23"/>
        <v>45</v>
      </c>
      <c r="C56" s="321" t="str">
        <f t="shared" si="1"/>
        <v>W  11.5 % ROE</v>
      </c>
      <c r="D56" s="211">
        <f t="shared" si="2"/>
        <v>2019</v>
      </c>
      <c r="E56" s="212"/>
      <c r="F56" s="212">
        <f>+E$29</f>
        <v>0</v>
      </c>
      <c r="G56" s="212">
        <f t="shared" si="4"/>
        <v>0</v>
      </c>
      <c r="H56" s="209">
        <f>+E$26*G56+F56</f>
        <v>0</v>
      </c>
      <c r="I56" s="214">
        <v>0</v>
      </c>
      <c r="J56" s="212">
        <v>0</v>
      </c>
      <c r="K56" s="212">
        <v>0</v>
      </c>
      <c r="L56" s="207">
        <v>0</v>
      </c>
      <c r="M56" s="214">
        <f>+O55</f>
        <v>0</v>
      </c>
      <c r="N56" s="212">
        <f t="shared" si="14"/>
        <v>0</v>
      </c>
      <c r="O56" s="212">
        <f t="shared" si="15"/>
        <v>0</v>
      </c>
      <c r="P56" s="207">
        <f>+M$26*O56+N56</f>
        <v>0</v>
      </c>
      <c r="Q56" s="214">
        <f>+S55</f>
        <v>0</v>
      </c>
      <c r="R56" s="212">
        <f>+Q$29</f>
        <v>0</v>
      </c>
      <c r="S56" s="212">
        <f t="shared" si="16"/>
        <v>0</v>
      </c>
      <c r="T56" s="207">
        <f>+Q$26*S56+R56</f>
        <v>0</v>
      </c>
      <c r="U56" s="214">
        <f>+W55</f>
        <v>0</v>
      </c>
      <c r="V56" s="212">
        <f>+U$29</f>
        <v>0</v>
      </c>
      <c r="W56" s="212">
        <f t="shared" si="17"/>
        <v>0</v>
      </c>
      <c r="X56" s="207">
        <f>+U$26*W56+V56</f>
        <v>0</v>
      </c>
      <c r="Y56" s="214">
        <f>+AA55</f>
        <v>0</v>
      </c>
      <c r="Z56" s="212">
        <f>+Y$29</f>
        <v>0</v>
      </c>
      <c r="AA56" s="212">
        <f t="shared" si="18"/>
        <v>0</v>
      </c>
      <c r="AB56" s="207">
        <f>+Y$26*AA56+Z56</f>
        <v>0</v>
      </c>
      <c r="AC56" s="214">
        <f>+AE55</f>
        <v>0</v>
      </c>
      <c r="AD56" s="212">
        <f>+AC$29</f>
        <v>0</v>
      </c>
      <c r="AE56" s="212">
        <f t="shared" si="19"/>
        <v>0</v>
      </c>
      <c r="AF56" s="207">
        <f>+AC$26*AE56+AD56</f>
        <v>0</v>
      </c>
      <c r="AG56" s="214">
        <f>+AI55</f>
        <v>0</v>
      </c>
      <c r="AH56" s="212">
        <f>+AG$29</f>
        <v>0</v>
      </c>
      <c r="AI56" s="212">
        <f t="shared" si="20"/>
        <v>0</v>
      </c>
      <c r="AJ56" s="207">
        <f>+AG$26*AI56+AH56</f>
        <v>0</v>
      </c>
      <c r="AK56" s="214">
        <f>+AM55</f>
        <v>0</v>
      </c>
      <c r="AL56" s="212">
        <f>+AK$29</f>
        <v>0</v>
      </c>
      <c r="AM56" s="212">
        <f t="shared" si="21"/>
        <v>0</v>
      </c>
      <c r="AN56" s="207">
        <f>+AK$26*AM56+AL56</f>
        <v>0</v>
      </c>
      <c r="AO56" s="225">
        <f t="shared" si="22"/>
        <v>0</v>
      </c>
      <c r="AP56" s="188"/>
      <c r="AQ56" s="213">
        <f>+AO56</f>
        <v>0</v>
      </c>
    </row>
    <row r="57" spans="1:43">
      <c r="A57" s="157">
        <f t="shared" si="23"/>
        <v>46</v>
      </c>
      <c r="C57" s="321" t="str">
        <f t="shared" si="1"/>
        <v>W Increased ROE</v>
      </c>
      <c r="D57" s="211">
        <f t="shared" si="2"/>
        <v>2019</v>
      </c>
      <c r="E57" s="212">
        <f>+E56</f>
        <v>0</v>
      </c>
      <c r="F57" s="212">
        <f>+F56</f>
        <v>0</v>
      </c>
      <c r="G57" s="212">
        <f t="shared" si="4"/>
        <v>0</v>
      </c>
      <c r="H57" s="209">
        <f>+E$27*G57+F57</f>
        <v>0</v>
      </c>
      <c r="I57" s="214">
        <v>0</v>
      </c>
      <c r="J57" s="212">
        <v>0</v>
      </c>
      <c r="K57" s="212">
        <v>0</v>
      </c>
      <c r="L57" s="207">
        <v>0</v>
      </c>
      <c r="M57" s="214">
        <f>+M56</f>
        <v>0</v>
      </c>
      <c r="N57" s="212">
        <f t="shared" si="14"/>
        <v>0</v>
      </c>
      <c r="O57" s="212">
        <f t="shared" si="15"/>
        <v>0</v>
      </c>
      <c r="P57" s="207">
        <f>+M$27*O57+N57</f>
        <v>0</v>
      </c>
      <c r="Q57" s="214">
        <f>+Q56</f>
        <v>0</v>
      </c>
      <c r="R57" s="212">
        <f>+R56</f>
        <v>0</v>
      </c>
      <c r="S57" s="212">
        <f t="shared" si="16"/>
        <v>0</v>
      </c>
      <c r="T57" s="207">
        <f>+Q$27*S57+R57</f>
        <v>0</v>
      </c>
      <c r="U57" s="214">
        <f>+U56</f>
        <v>0</v>
      </c>
      <c r="V57" s="212">
        <f>+V56</f>
        <v>0</v>
      </c>
      <c r="W57" s="212">
        <f t="shared" si="17"/>
        <v>0</v>
      </c>
      <c r="X57" s="207">
        <f>+U$27*W57+V57</f>
        <v>0</v>
      </c>
      <c r="Y57" s="214">
        <f>+Y56</f>
        <v>0</v>
      </c>
      <c r="Z57" s="212">
        <f>+Z56</f>
        <v>0</v>
      </c>
      <c r="AA57" s="212">
        <f t="shared" si="18"/>
        <v>0</v>
      </c>
      <c r="AB57" s="207">
        <f>+Y$27*AA57+Z57</f>
        <v>0</v>
      </c>
      <c r="AC57" s="214">
        <f>+AC56</f>
        <v>0</v>
      </c>
      <c r="AD57" s="212">
        <f>+AD56</f>
        <v>0</v>
      </c>
      <c r="AE57" s="212">
        <f t="shared" si="19"/>
        <v>0</v>
      </c>
      <c r="AF57" s="207">
        <f>+AC$27*AE57+AD57</f>
        <v>0</v>
      </c>
      <c r="AG57" s="214">
        <f>+AG56</f>
        <v>0</v>
      </c>
      <c r="AH57" s="212">
        <f>+AH56</f>
        <v>0</v>
      </c>
      <c r="AI57" s="212">
        <f t="shared" si="20"/>
        <v>0</v>
      </c>
      <c r="AJ57" s="207">
        <f>+AG$27*AI57+AH57</f>
        <v>0</v>
      </c>
      <c r="AK57" s="214">
        <f>+AK56</f>
        <v>0</v>
      </c>
      <c r="AL57" s="212">
        <f>+AL56</f>
        <v>0</v>
      </c>
      <c r="AM57" s="212">
        <f t="shared" si="21"/>
        <v>0</v>
      </c>
      <c r="AN57" s="207">
        <f>+AK$27*AM57+AL57</f>
        <v>0</v>
      </c>
      <c r="AO57" s="225">
        <f t="shared" si="22"/>
        <v>0</v>
      </c>
      <c r="AP57" s="360">
        <f>+AO57</f>
        <v>0</v>
      </c>
      <c r="AQ57" s="187"/>
    </row>
    <row r="58" spans="1:43">
      <c r="A58" s="157">
        <f t="shared" si="23"/>
        <v>47</v>
      </c>
      <c r="C58" s="321" t="str">
        <f t="shared" si="1"/>
        <v>W  11.5 % ROE</v>
      </c>
      <c r="D58" s="211">
        <f t="shared" si="2"/>
        <v>2020</v>
      </c>
      <c r="E58" s="212"/>
      <c r="F58" s="212">
        <f>+E$29</f>
        <v>0</v>
      </c>
      <c r="G58" s="212">
        <f t="shared" si="4"/>
        <v>0</v>
      </c>
      <c r="H58" s="209">
        <f>+E$26*G58+F58</f>
        <v>0</v>
      </c>
      <c r="I58" s="214">
        <v>0</v>
      </c>
      <c r="J58" s="212">
        <v>0</v>
      </c>
      <c r="K58" s="212">
        <v>0</v>
      </c>
      <c r="L58" s="207">
        <v>0</v>
      </c>
      <c r="M58" s="214">
        <f>+O57</f>
        <v>0</v>
      </c>
      <c r="N58" s="212">
        <f t="shared" si="14"/>
        <v>0</v>
      </c>
      <c r="O58" s="212">
        <f t="shared" si="15"/>
        <v>0</v>
      </c>
      <c r="P58" s="207">
        <f>+M$26*O58+N58</f>
        <v>0</v>
      </c>
      <c r="Q58" s="214">
        <f>+S57</f>
        <v>0</v>
      </c>
      <c r="R58" s="212">
        <f>+Q$29</f>
        <v>0</v>
      </c>
      <c r="S58" s="212">
        <f t="shared" si="16"/>
        <v>0</v>
      </c>
      <c r="T58" s="207">
        <f>+Q$26*S58+R58</f>
        <v>0</v>
      </c>
      <c r="U58" s="214">
        <f>+W57</f>
        <v>0</v>
      </c>
      <c r="V58" s="212">
        <f>+U$29</f>
        <v>0</v>
      </c>
      <c r="W58" s="212">
        <f t="shared" si="17"/>
        <v>0</v>
      </c>
      <c r="X58" s="207">
        <f>+U$26*W58+V58</f>
        <v>0</v>
      </c>
      <c r="Y58" s="214">
        <f>+AA57</f>
        <v>0</v>
      </c>
      <c r="Z58" s="212">
        <f>+Y$29</f>
        <v>0</v>
      </c>
      <c r="AA58" s="212">
        <f t="shared" si="18"/>
        <v>0</v>
      </c>
      <c r="AB58" s="207">
        <f>+Y$26*AA58+Z58</f>
        <v>0</v>
      </c>
      <c r="AC58" s="214">
        <f>+AE57</f>
        <v>0</v>
      </c>
      <c r="AD58" s="212">
        <f>+AC$29</f>
        <v>0</v>
      </c>
      <c r="AE58" s="212">
        <f t="shared" si="19"/>
        <v>0</v>
      </c>
      <c r="AF58" s="207">
        <f>+AC$26*AE58+AD58</f>
        <v>0</v>
      </c>
      <c r="AG58" s="214">
        <f>+AI57</f>
        <v>0</v>
      </c>
      <c r="AH58" s="212">
        <f>+AG$29</f>
        <v>0</v>
      </c>
      <c r="AI58" s="212">
        <f t="shared" si="20"/>
        <v>0</v>
      </c>
      <c r="AJ58" s="207">
        <f>+AG$26*AI58+AH58</f>
        <v>0</v>
      </c>
      <c r="AK58" s="214">
        <f>+AM57</f>
        <v>0</v>
      </c>
      <c r="AL58" s="212">
        <f>+AK$29</f>
        <v>0</v>
      </c>
      <c r="AM58" s="212">
        <f t="shared" si="21"/>
        <v>0</v>
      </c>
      <c r="AN58" s="207">
        <f>+AK$26*AM58+AL58</f>
        <v>0</v>
      </c>
      <c r="AO58" s="225">
        <f t="shared" si="22"/>
        <v>0</v>
      </c>
      <c r="AP58" s="188"/>
      <c r="AQ58" s="213">
        <f>+AO58</f>
        <v>0</v>
      </c>
    </row>
    <row r="59" spans="1:43">
      <c r="A59" s="157">
        <f t="shared" si="23"/>
        <v>48</v>
      </c>
      <c r="C59" s="321" t="str">
        <f t="shared" si="1"/>
        <v>W Increased ROE</v>
      </c>
      <c r="D59" s="211">
        <f t="shared" si="2"/>
        <v>2020</v>
      </c>
      <c r="E59" s="212">
        <f>+E58</f>
        <v>0</v>
      </c>
      <c r="F59" s="212">
        <f>+F58</f>
        <v>0</v>
      </c>
      <c r="G59" s="212">
        <f t="shared" si="4"/>
        <v>0</v>
      </c>
      <c r="H59" s="209">
        <f>+E$27*G59+F59</f>
        <v>0</v>
      </c>
      <c r="I59" s="214">
        <v>0</v>
      </c>
      <c r="J59" s="212">
        <v>0</v>
      </c>
      <c r="K59" s="212">
        <v>0</v>
      </c>
      <c r="L59" s="207">
        <v>0</v>
      </c>
      <c r="M59" s="214">
        <f>+M58</f>
        <v>0</v>
      </c>
      <c r="N59" s="212">
        <f t="shared" si="14"/>
        <v>0</v>
      </c>
      <c r="O59" s="212">
        <f t="shared" si="15"/>
        <v>0</v>
      </c>
      <c r="P59" s="207">
        <f>+M$27*O59+N59</f>
        <v>0</v>
      </c>
      <c r="Q59" s="214">
        <f>+Q58</f>
        <v>0</v>
      </c>
      <c r="R59" s="212">
        <f>+R58</f>
        <v>0</v>
      </c>
      <c r="S59" s="212">
        <f t="shared" si="16"/>
        <v>0</v>
      </c>
      <c r="T59" s="207">
        <f>+Q$27*S59+R59</f>
        <v>0</v>
      </c>
      <c r="U59" s="214">
        <f>+U58</f>
        <v>0</v>
      </c>
      <c r="V59" s="212">
        <f>+V58</f>
        <v>0</v>
      </c>
      <c r="W59" s="212">
        <f t="shared" si="17"/>
        <v>0</v>
      </c>
      <c r="X59" s="207">
        <f>+U$27*W59+V59</f>
        <v>0</v>
      </c>
      <c r="Y59" s="214">
        <f>+Y58</f>
        <v>0</v>
      </c>
      <c r="Z59" s="212">
        <f>+Z58</f>
        <v>0</v>
      </c>
      <c r="AA59" s="212">
        <f t="shared" si="18"/>
        <v>0</v>
      </c>
      <c r="AB59" s="207">
        <f>+Y$27*AA59+Z59</f>
        <v>0</v>
      </c>
      <c r="AC59" s="214">
        <f>+AC58</f>
        <v>0</v>
      </c>
      <c r="AD59" s="212">
        <f>+AD58</f>
        <v>0</v>
      </c>
      <c r="AE59" s="212">
        <f t="shared" si="19"/>
        <v>0</v>
      </c>
      <c r="AF59" s="207">
        <f>+AC$27*AE59+AD59</f>
        <v>0</v>
      </c>
      <c r="AG59" s="214">
        <f>+AG58</f>
        <v>0</v>
      </c>
      <c r="AH59" s="212">
        <f>+AH58</f>
        <v>0</v>
      </c>
      <c r="AI59" s="212">
        <f t="shared" si="20"/>
        <v>0</v>
      </c>
      <c r="AJ59" s="207">
        <f>+AG$27*AI59+AH59</f>
        <v>0</v>
      </c>
      <c r="AK59" s="214">
        <f>+AK58</f>
        <v>0</v>
      </c>
      <c r="AL59" s="212">
        <f>+AL58</f>
        <v>0</v>
      </c>
      <c r="AM59" s="212">
        <f t="shared" si="21"/>
        <v>0</v>
      </c>
      <c r="AN59" s="207">
        <f>+AK$27*AM59+AL59</f>
        <v>0</v>
      </c>
      <c r="AO59" s="225">
        <f t="shared" si="22"/>
        <v>0</v>
      </c>
      <c r="AP59" s="360">
        <f>+AO59</f>
        <v>0</v>
      </c>
      <c r="AQ59" s="187"/>
    </row>
    <row r="60" spans="1:43">
      <c r="A60" s="157">
        <f t="shared" si="23"/>
        <v>49</v>
      </c>
      <c r="C60" s="321" t="str">
        <f t="shared" si="1"/>
        <v>W  11.5 % ROE</v>
      </c>
      <c r="D60" s="211">
        <f t="shared" si="2"/>
        <v>2021</v>
      </c>
      <c r="E60" s="212"/>
      <c r="F60" s="212">
        <f>+E$29</f>
        <v>0</v>
      </c>
      <c r="G60" s="212">
        <f t="shared" si="4"/>
        <v>0</v>
      </c>
      <c r="H60" s="209">
        <f>+E$26*G60+F60</f>
        <v>0</v>
      </c>
      <c r="I60" s="214">
        <v>0</v>
      </c>
      <c r="J60" s="212">
        <v>0</v>
      </c>
      <c r="K60" s="212">
        <v>0</v>
      </c>
      <c r="L60" s="207">
        <v>0</v>
      </c>
      <c r="M60" s="214">
        <f>+O59</f>
        <v>0</v>
      </c>
      <c r="N60" s="212">
        <f t="shared" si="14"/>
        <v>0</v>
      </c>
      <c r="O60" s="212">
        <f t="shared" si="15"/>
        <v>0</v>
      </c>
      <c r="P60" s="207">
        <f>+M$26*O60+N60</f>
        <v>0</v>
      </c>
      <c r="Q60" s="214">
        <f>+S59</f>
        <v>0</v>
      </c>
      <c r="R60" s="212">
        <f>+Q$29</f>
        <v>0</v>
      </c>
      <c r="S60" s="212">
        <f t="shared" si="16"/>
        <v>0</v>
      </c>
      <c r="T60" s="207">
        <f>+Q$26*S60+R60</f>
        <v>0</v>
      </c>
      <c r="U60" s="214">
        <f>+W59</f>
        <v>0</v>
      </c>
      <c r="V60" s="212">
        <f>+U$29</f>
        <v>0</v>
      </c>
      <c r="W60" s="212">
        <f t="shared" si="17"/>
        <v>0</v>
      </c>
      <c r="X60" s="207">
        <f>+U$26*W60+V60</f>
        <v>0</v>
      </c>
      <c r="Y60" s="214">
        <f>+AA59</f>
        <v>0</v>
      </c>
      <c r="Z60" s="212">
        <f>+Y$29</f>
        <v>0</v>
      </c>
      <c r="AA60" s="212">
        <f t="shared" si="18"/>
        <v>0</v>
      </c>
      <c r="AB60" s="207">
        <f>+Y$26*AA60+Z60</f>
        <v>0</v>
      </c>
      <c r="AC60" s="214">
        <f>+AE59</f>
        <v>0</v>
      </c>
      <c r="AD60" s="212">
        <f>+AC$29</f>
        <v>0</v>
      </c>
      <c r="AE60" s="212">
        <f t="shared" si="19"/>
        <v>0</v>
      </c>
      <c r="AF60" s="207">
        <f>+AC$26*AE60+AD60</f>
        <v>0</v>
      </c>
      <c r="AG60" s="214">
        <f>+AI59</f>
        <v>0</v>
      </c>
      <c r="AH60" s="212">
        <f>+AG$29</f>
        <v>0</v>
      </c>
      <c r="AI60" s="212">
        <f t="shared" si="20"/>
        <v>0</v>
      </c>
      <c r="AJ60" s="207">
        <f>+AG$26*AI60+AH60</f>
        <v>0</v>
      </c>
      <c r="AK60" s="214">
        <f>+AM59</f>
        <v>0</v>
      </c>
      <c r="AL60" s="212">
        <f>+AK$29</f>
        <v>0</v>
      </c>
      <c r="AM60" s="212">
        <f t="shared" si="21"/>
        <v>0</v>
      </c>
      <c r="AN60" s="207">
        <f>+AK$26*AM60+AL60</f>
        <v>0</v>
      </c>
      <c r="AO60" s="225">
        <f t="shared" si="22"/>
        <v>0</v>
      </c>
      <c r="AP60" s="188"/>
      <c r="AQ60" s="213">
        <f>+AO60</f>
        <v>0</v>
      </c>
    </row>
    <row r="61" spans="1:43">
      <c r="A61" s="157">
        <f t="shared" si="23"/>
        <v>50</v>
      </c>
      <c r="C61" s="321" t="str">
        <f t="shared" si="1"/>
        <v>W Increased ROE</v>
      </c>
      <c r="D61" s="211">
        <f t="shared" si="2"/>
        <v>2021</v>
      </c>
      <c r="E61" s="212">
        <f>+E60</f>
        <v>0</v>
      </c>
      <c r="F61" s="212">
        <f>+F60</f>
        <v>0</v>
      </c>
      <c r="G61" s="212">
        <f t="shared" si="4"/>
        <v>0</v>
      </c>
      <c r="H61" s="209">
        <f>+E$27*G61+F61</f>
        <v>0</v>
      </c>
      <c r="I61" s="214">
        <v>0</v>
      </c>
      <c r="J61" s="212">
        <v>0</v>
      </c>
      <c r="K61" s="212">
        <v>0</v>
      </c>
      <c r="L61" s="207">
        <v>0</v>
      </c>
      <c r="M61" s="214">
        <f>+M60</f>
        <v>0</v>
      </c>
      <c r="N61" s="212">
        <f t="shared" si="14"/>
        <v>0</v>
      </c>
      <c r="O61" s="212">
        <f t="shared" si="15"/>
        <v>0</v>
      </c>
      <c r="P61" s="207">
        <f>+M$27*O61+N61</f>
        <v>0</v>
      </c>
      <c r="Q61" s="214">
        <f>+Q60</f>
        <v>0</v>
      </c>
      <c r="R61" s="212">
        <f>+R60</f>
        <v>0</v>
      </c>
      <c r="S61" s="212">
        <f t="shared" si="16"/>
        <v>0</v>
      </c>
      <c r="T61" s="207">
        <f>+Q$27*S61+R61</f>
        <v>0</v>
      </c>
      <c r="U61" s="214">
        <f>+U60</f>
        <v>0</v>
      </c>
      <c r="V61" s="212">
        <f>+V60</f>
        <v>0</v>
      </c>
      <c r="W61" s="212">
        <f t="shared" si="17"/>
        <v>0</v>
      </c>
      <c r="X61" s="207">
        <f>+U$27*W61+V61</f>
        <v>0</v>
      </c>
      <c r="Y61" s="214">
        <f>+Y60</f>
        <v>0</v>
      </c>
      <c r="Z61" s="212">
        <f>+Z60</f>
        <v>0</v>
      </c>
      <c r="AA61" s="212">
        <f t="shared" si="18"/>
        <v>0</v>
      </c>
      <c r="AB61" s="207">
        <f>+Y$27*AA61+Z61</f>
        <v>0</v>
      </c>
      <c r="AC61" s="214">
        <f>+AC60</f>
        <v>0</v>
      </c>
      <c r="AD61" s="212">
        <f>+AD60</f>
        <v>0</v>
      </c>
      <c r="AE61" s="212">
        <f t="shared" si="19"/>
        <v>0</v>
      </c>
      <c r="AF61" s="207">
        <f>+AC$27*AE61+AD61</f>
        <v>0</v>
      </c>
      <c r="AG61" s="214">
        <f>+AG60</f>
        <v>0</v>
      </c>
      <c r="AH61" s="212">
        <f>+AH60</f>
        <v>0</v>
      </c>
      <c r="AI61" s="212">
        <f t="shared" si="20"/>
        <v>0</v>
      </c>
      <c r="AJ61" s="207">
        <f>+AG$27*AI61+AH61</f>
        <v>0</v>
      </c>
      <c r="AK61" s="214">
        <f>+AK60</f>
        <v>0</v>
      </c>
      <c r="AL61" s="212">
        <f>+AL60</f>
        <v>0</v>
      </c>
      <c r="AM61" s="212">
        <f t="shared" si="21"/>
        <v>0</v>
      </c>
      <c r="AN61" s="207">
        <f>+AK$27*AM61+AL61</f>
        <v>0</v>
      </c>
      <c r="AO61" s="225">
        <f t="shared" si="22"/>
        <v>0</v>
      </c>
      <c r="AP61" s="360">
        <f>+AO61</f>
        <v>0</v>
      </c>
      <c r="AQ61" s="187"/>
    </row>
    <row r="62" spans="1:43">
      <c r="A62" s="157">
        <f t="shared" si="23"/>
        <v>51</v>
      </c>
      <c r="C62" s="321" t="str">
        <f t="shared" si="1"/>
        <v>W  11.5 % ROE</v>
      </c>
      <c r="D62" s="211">
        <f t="shared" si="2"/>
        <v>2022</v>
      </c>
      <c r="E62" s="212"/>
      <c r="F62" s="212">
        <f>+E$29</f>
        <v>0</v>
      </c>
      <c r="G62" s="212">
        <f t="shared" si="4"/>
        <v>0</v>
      </c>
      <c r="H62" s="209">
        <f>+E$26*G62+F62</f>
        <v>0</v>
      </c>
      <c r="I62" s="214">
        <v>0</v>
      </c>
      <c r="J62" s="212">
        <v>0</v>
      </c>
      <c r="K62" s="212">
        <v>0</v>
      </c>
      <c r="L62" s="207">
        <v>0</v>
      </c>
      <c r="M62" s="214">
        <f>+O61</f>
        <v>0</v>
      </c>
      <c r="N62" s="212">
        <f t="shared" si="14"/>
        <v>0</v>
      </c>
      <c r="O62" s="212">
        <f t="shared" si="15"/>
        <v>0</v>
      </c>
      <c r="P62" s="207">
        <f>+M$26*O62+N62</f>
        <v>0</v>
      </c>
      <c r="Q62" s="214">
        <f>+S61</f>
        <v>0</v>
      </c>
      <c r="R62" s="212">
        <f>+Q$29</f>
        <v>0</v>
      </c>
      <c r="S62" s="212">
        <f t="shared" si="16"/>
        <v>0</v>
      </c>
      <c r="T62" s="207">
        <f>+Q$26*S62+R62</f>
        <v>0</v>
      </c>
      <c r="U62" s="214">
        <f>+W61</f>
        <v>0</v>
      </c>
      <c r="V62" s="212">
        <f>+U$29</f>
        <v>0</v>
      </c>
      <c r="W62" s="212">
        <f t="shared" si="17"/>
        <v>0</v>
      </c>
      <c r="X62" s="207">
        <f>+U$26*W62+V62</f>
        <v>0</v>
      </c>
      <c r="Y62" s="214">
        <f>+AA61</f>
        <v>0</v>
      </c>
      <c r="Z62" s="212">
        <f>+Y$29</f>
        <v>0</v>
      </c>
      <c r="AA62" s="212">
        <f t="shared" si="18"/>
        <v>0</v>
      </c>
      <c r="AB62" s="207">
        <f>+Y$26*AA62+Z62</f>
        <v>0</v>
      </c>
      <c r="AC62" s="214">
        <f>+AE61</f>
        <v>0</v>
      </c>
      <c r="AD62" s="212">
        <f>+AC$29</f>
        <v>0</v>
      </c>
      <c r="AE62" s="212">
        <f t="shared" si="19"/>
        <v>0</v>
      </c>
      <c r="AF62" s="207">
        <f>+AC$26*AE62+AD62</f>
        <v>0</v>
      </c>
      <c r="AG62" s="214">
        <f>+AI61</f>
        <v>0</v>
      </c>
      <c r="AH62" s="212">
        <f>+AG$29</f>
        <v>0</v>
      </c>
      <c r="AI62" s="212">
        <f t="shared" si="20"/>
        <v>0</v>
      </c>
      <c r="AJ62" s="207">
        <f>+AG$26*AI62+AH62</f>
        <v>0</v>
      </c>
      <c r="AK62" s="214">
        <f>+AM61</f>
        <v>0</v>
      </c>
      <c r="AL62" s="212">
        <f>+AK$29</f>
        <v>0</v>
      </c>
      <c r="AM62" s="212">
        <f t="shared" si="21"/>
        <v>0</v>
      </c>
      <c r="AN62" s="207">
        <f>+AK$26*AM62+AL62</f>
        <v>0</v>
      </c>
      <c r="AO62" s="225">
        <f t="shared" si="22"/>
        <v>0</v>
      </c>
      <c r="AP62" s="188"/>
      <c r="AQ62" s="213">
        <f>+AO62</f>
        <v>0</v>
      </c>
    </row>
    <row r="63" spans="1:43">
      <c r="A63" s="157">
        <f t="shared" si="23"/>
        <v>52</v>
      </c>
      <c r="C63" s="321" t="str">
        <f t="shared" si="1"/>
        <v>W Increased ROE</v>
      </c>
      <c r="D63" s="211">
        <f t="shared" si="2"/>
        <v>2022</v>
      </c>
      <c r="E63" s="212">
        <f>+E62</f>
        <v>0</v>
      </c>
      <c r="F63" s="212">
        <f>+F62</f>
        <v>0</v>
      </c>
      <c r="G63" s="212">
        <f t="shared" si="4"/>
        <v>0</v>
      </c>
      <c r="H63" s="209">
        <f>+E$27*G63+F63</f>
        <v>0</v>
      </c>
      <c r="I63" s="214">
        <v>0</v>
      </c>
      <c r="J63" s="212">
        <v>0</v>
      </c>
      <c r="K63" s="212">
        <v>0</v>
      </c>
      <c r="L63" s="207">
        <v>0</v>
      </c>
      <c r="M63" s="214">
        <f>+M62</f>
        <v>0</v>
      </c>
      <c r="N63" s="212">
        <f t="shared" si="14"/>
        <v>0</v>
      </c>
      <c r="O63" s="212">
        <f t="shared" si="15"/>
        <v>0</v>
      </c>
      <c r="P63" s="207">
        <f>+M$27*O63+N63</f>
        <v>0</v>
      </c>
      <c r="Q63" s="214">
        <f>+Q62</f>
        <v>0</v>
      </c>
      <c r="R63" s="212">
        <f>+R62</f>
        <v>0</v>
      </c>
      <c r="S63" s="212">
        <f t="shared" si="16"/>
        <v>0</v>
      </c>
      <c r="T63" s="207">
        <f>+Q$27*S63+R63</f>
        <v>0</v>
      </c>
      <c r="U63" s="214">
        <f>+U62</f>
        <v>0</v>
      </c>
      <c r="V63" s="212">
        <f>+V62</f>
        <v>0</v>
      </c>
      <c r="W63" s="212">
        <f t="shared" si="17"/>
        <v>0</v>
      </c>
      <c r="X63" s="207">
        <f>+U$27*W63+V63</f>
        <v>0</v>
      </c>
      <c r="Y63" s="214">
        <f>+Y62</f>
        <v>0</v>
      </c>
      <c r="Z63" s="212">
        <f>+Z62</f>
        <v>0</v>
      </c>
      <c r="AA63" s="212">
        <f t="shared" si="18"/>
        <v>0</v>
      </c>
      <c r="AB63" s="207">
        <f>+Y$27*AA63+Z63</f>
        <v>0</v>
      </c>
      <c r="AC63" s="214">
        <f>+AC62</f>
        <v>0</v>
      </c>
      <c r="AD63" s="212">
        <f>+AD62</f>
        <v>0</v>
      </c>
      <c r="AE63" s="212">
        <f t="shared" si="19"/>
        <v>0</v>
      </c>
      <c r="AF63" s="207">
        <f>+AC$27*AE63+AD63</f>
        <v>0</v>
      </c>
      <c r="AG63" s="214">
        <f>+AG62</f>
        <v>0</v>
      </c>
      <c r="AH63" s="212">
        <f>+AH62</f>
        <v>0</v>
      </c>
      <c r="AI63" s="212">
        <f t="shared" si="20"/>
        <v>0</v>
      </c>
      <c r="AJ63" s="207">
        <f>+AG$27*AI63+AH63</f>
        <v>0</v>
      </c>
      <c r="AK63" s="214">
        <f>+AK62</f>
        <v>0</v>
      </c>
      <c r="AL63" s="212">
        <f>+AL62</f>
        <v>0</v>
      </c>
      <c r="AM63" s="212">
        <f t="shared" si="21"/>
        <v>0</v>
      </c>
      <c r="AN63" s="207">
        <f>+AK$27*AM63+AL63</f>
        <v>0</v>
      </c>
      <c r="AO63" s="225">
        <f t="shared" si="22"/>
        <v>0</v>
      </c>
      <c r="AP63" s="360">
        <f>+AO63</f>
        <v>0</v>
      </c>
      <c r="AQ63" s="187"/>
    </row>
    <row r="64" spans="1:43">
      <c r="A64" s="157">
        <f t="shared" si="23"/>
        <v>53</v>
      </c>
      <c r="C64" s="321" t="str">
        <f t="shared" si="1"/>
        <v>W  11.5 % ROE</v>
      </c>
      <c r="D64" s="211">
        <f t="shared" si="2"/>
        <v>2023</v>
      </c>
      <c r="E64" s="212"/>
      <c r="F64" s="212">
        <f>+E$29</f>
        <v>0</v>
      </c>
      <c r="G64" s="212">
        <f t="shared" si="4"/>
        <v>0</v>
      </c>
      <c r="H64" s="209">
        <f>+E$26*G64+F64</f>
        <v>0</v>
      </c>
      <c r="I64" s="214">
        <v>0</v>
      </c>
      <c r="J64" s="212">
        <v>0</v>
      </c>
      <c r="K64" s="212">
        <v>0</v>
      </c>
      <c r="L64" s="207">
        <v>0</v>
      </c>
      <c r="M64" s="214">
        <f>+O63</f>
        <v>0</v>
      </c>
      <c r="N64" s="212">
        <f t="shared" si="14"/>
        <v>0</v>
      </c>
      <c r="O64" s="212">
        <f t="shared" si="15"/>
        <v>0</v>
      </c>
      <c r="P64" s="207">
        <f>+M$26*O64+N64</f>
        <v>0</v>
      </c>
      <c r="Q64" s="214">
        <f>+S63</f>
        <v>0</v>
      </c>
      <c r="R64" s="212">
        <f>+Q$29</f>
        <v>0</v>
      </c>
      <c r="S64" s="212">
        <f t="shared" si="16"/>
        <v>0</v>
      </c>
      <c r="T64" s="207">
        <f>+Q$26*S64+R64</f>
        <v>0</v>
      </c>
      <c r="U64" s="214">
        <f>+W63</f>
        <v>0</v>
      </c>
      <c r="V64" s="212">
        <f>+U$29</f>
        <v>0</v>
      </c>
      <c r="W64" s="212">
        <f t="shared" si="17"/>
        <v>0</v>
      </c>
      <c r="X64" s="207">
        <f>+U$26*W64+V64</f>
        <v>0</v>
      </c>
      <c r="Y64" s="214">
        <f>+AA63</f>
        <v>0</v>
      </c>
      <c r="Z64" s="212">
        <f>+Y$29</f>
        <v>0</v>
      </c>
      <c r="AA64" s="212">
        <f t="shared" si="18"/>
        <v>0</v>
      </c>
      <c r="AB64" s="207">
        <f>+Y$26*AA64+Z64</f>
        <v>0</v>
      </c>
      <c r="AC64" s="214">
        <f>+AE63</f>
        <v>0</v>
      </c>
      <c r="AD64" s="212">
        <f>+AC$29</f>
        <v>0</v>
      </c>
      <c r="AE64" s="212">
        <f t="shared" si="19"/>
        <v>0</v>
      </c>
      <c r="AF64" s="207">
        <f>+AC$26*AE64+AD64</f>
        <v>0</v>
      </c>
      <c r="AG64" s="214">
        <f>+AI63</f>
        <v>0</v>
      </c>
      <c r="AH64" s="212">
        <f>+AG$29</f>
        <v>0</v>
      </c>
      <c r="AI64" s="212">
        <f t="shared" si="20"/>
        <v>0</v>
      </c>
      <c r="AJ64" s="207">
        <f>+AG$26*AI64+AH64</f>
        <v>0</v>
      </c>
      <c r="AK64" s="214">
        <f>+AM63</f>
        <v>0</v>
      </c>
      <c r="AL64" s="212">
        <f>+AK$29</f>
        <v>0</v>
      </c>
      <c r="AM64" s="212">
        <f t="shared" si="21"/>
        <v>0</v>
      </c>
      <c r="AN64" s="207">
        <f>+AK$26*AM64+AL64</f>
        <v>0</v>
      </c>
      <c r="AO64" s="225">
        <f t="shared" si="22"/>
        <v>0</v>
      </c>
      <c r="AP64" s="188"/>
      <c r="AQ64" s="213">
        <f>+AO64</f>
        <v>0</v>
      </c>
    </row>
    <row r="65" spans="1:43">
      <c r="A65" s="157">
        <f t="shared" si="23"/>
        <v>54</v>
      </c>
      <c r="C65" s="321" t="str">
        <f t="shared" si="1"/>
        <v>W Increased ROE</v>
      </c>
      <c r="D65" s="211">
        <f t="shared" si="2"/>
        <v>2023</v>
      </c>
      <c r="E65" s="212">
        <f>+E64</f>
        <v>0</v>
      </c>
      <c r="F65" s="212">
        <f>+F64</f>
        <v>0</v>
      </c>
      <c r="G65" s="212">
        <f t="shared" si="4"/>
        <v>0</v>
      </c>
      <c r="H65" s="209">
        <f>+E$27*G65+F65</f>
        <v>0</v>
      </c>
      <c r="I65" s="214">
        <v>0</v>
      </c>
      <c r="J65" s="212">
        <v>0</v>
      </c>
      <c r="K65" s="212">
        <v>0</v>
      </c>
      <c r="L65" s="207">
        <v>0</v>
      </c>
      <c r="M65" s="214">
        <f>+M64</f>
        <v>0</v>
      </c>
      <c r="N65" s="212">
        <f t="shared" si="14"/>
        <v>0</v>
      </c>
      <c r="O65" s="212">
        <f t="shared" si="15"/>
        <v>0</v>
      </c>
      <c r="P65" s="207">
        <f>+M$27*O65+N65</f>
        <v>0</v>
      </c>
      <c r="Q65" s="214">
        <f>+Q64</f>
        <v>0</v>
      </c>
      <c r="R65" s="212">
        <f>+R64</f>
        <v>0</v>
      </c>
      <c r="S65" s="212">
        <f t="shared" si="16"/>
        <v>0</v>
      </c>
      <c r="T65" s="207">
        <f>+Q$27*S65+R65</f>
        <v>0</v>
      </c>
      <c r="U65" s="214">
        <f>+U64</f>
        <v>0</v>
      </c>
      <c r="V65" s="212">
        <f>+V64</f>
        <v>0</v>
      </c>
      <c r="W65" s="212">
        <f t="shared" si="17"/>
        <v>0</v>
      </c>
      <c r="X65" s="207">
        <f>+U$27*W65+V65</f>
        <v>0</v>
      </c>
      <c r="Y65" s="214">
        <f>+Y64</f>
        <v>0</v>
      </c>
      <c r="Z65" s="212">
        <f>+Z64</f>
        <v>0</v>
      </c>
      <c r="AA65" s="212">
        <f t="shared" si="18"/>
        <v>0</v>
      </c>
      <c r="AB65" s="207">
        <f>+Y$27*AA65+Z65</f>
        <v>0</v>
      </c>
      <c r="AC65" s="214">
        <f>+AC64</f>
        <v>0</v>
      </c>
      <c r="AD65" s="212">
        <f>+AD64</f>
        <v>0</v>
      </c>
      <c r="AE65" s="212">
        <f t="shared" si="19"/>
        <v>0</v>
      </c>
      <c r="AF65" s="207">
        <f>+AC$27*AE65+AD65</f>
        <v>0</v>
      </c>
      <c r="AG65" s="214">
        <f>+AG64</f>
        <v>0</v>
      </c>
      <c r="AH65" s="212">
        <f>+AH64</f>
        <v>0</v>
      </c>
      <c r="AI65" s="212">
        <f t="shared" si="20"/>
        <v>0</v>
      </c>
      <c r="AJ65" s="207">
        <f>+AG$27*AI65+AH65</f>
        <v>0</v>
      </c>
      <c r="AK65" s="214">
        <f>+AK64</f>
        <v>0</v>
      </c>
      <c r="AL65" s="212">
        <f>+AL64</f>
        <v>0</v>
      </c>
      <c r="AM65" s="212">
        <f t="shared" si="21"/>
        <v>0</v>
      </c>
      <c r="AN65" s="207">
        <f>+AK$27*AM65+AL65</f>
        <v>0</v>
      </c>
      <c r="AO65" s="225">
        <f t="shared" si="22"/>
        <v>0</v>
      </c>
      <c r="AP65" s="360">
        <f>+AO65</f>
        <v>0</v>
      </c>
      <c r="AQ65" s="187"/>
    </row>
    <row r="66" spans="1:43">
      <c r="A66" s="157">
        <f t="shared" si="23"/>
        <v>55</v>
      </c>
      <c r="C66" s="321" t="str">
        <f t="shared" si="1"/>
        <v>W  11.5 % ROE</v>
      </c>
      <c r="D66" s="211">
        <f t="shared" si="2"/>
        <v>2024</v>
      </c>
      <c r="E66" s="212"/>
      <c r="F66" s="212">
        <f>+E$29</f>
        <v>0</v>
      </c>
      <c r="G66" s="212">
        <f t="shared" si="4"/>
        <v>0</v>
      </c>
      <c r="H66" s="209">
        <f>+E$26*G66+F66</f>
        <v>0</v>
      </c>
      <c r="I66" s="214">
        <v>0</v>
      </c>
      <c r="J66" s="212">
        <v>0</v>
      </c>
      <c r="K66" s="212">
        <v>0</v>
      </c>
      <c r="L66" s="207">
        <v>0</v>
      </c>
      <c r="M66" s="214">
        <f>+O65</f>
        <v>0</v>
      </c>
      <c r="N66" s="212">
        <f t="shared" si="14"/>
        <v>0</v>
      </c>
      <c r="O66" s="212">
        <f t="shared" si="15"/>
        <v>0</v>
      </c>
      <c r="P66" s="207">
        <f>+M$26*O66+N66</f>
        <v>0</v>
      </c>
      <c r="Q66" s="214">
        <f>+S65</f>
        <v>0</v>
      </c>
      <c r="R66" s="212">
        <f>+Q$29</f>
        <v>0</v>
      </c>
      <c r="S66" s="212">
        <f t="shared" si="16"/>
        <v>0</v>
      </c>
      <c r="T66" s="207">
        <f>+Q$26*S66+R66</f>
        <v>0</v>
      </c>
      <c r="U66" s="214">
        <f>+W65</f>
        <v>0</v>
      </c>
      <c r="V66" s="212">
        <f>+U$29</f>
        <v>0</v>
      </c>
      <c r="W66" s="212">
        <f t="shared" si="17"/>
        <v>0</v>
      </c>
      <c r="X66" s="207">
        <f>+U$26*W66+V66</f>
        <v>0</v>
      </c>
      <c r="Y66" s="214">
        <f>+AA65</f>
        <v>0</v>
      </c>
      <c r="Z66" s="212">
        <f>+Y$29</f>
        <v>0</v>
      </c>
      <c r="AA66" s="212">
        <f t="shared" si="18"/>
        <v>0</v>
      </c>
      <c r="AB66" s="207">
        <f>+Y$26*AA66+Z66</f>
        <v>0</v>
      </c>
      <c r="AC66" s="214">
        <f>+AE65</f>
        <v>0</v>
      </c>
      <c r="AD66" s="212">
        <f>+AC$29</f>
        <v>0</v>
      </c>
      <c r="AE66" s="212">
        <f t="shared" si="19"/>
        <v>0</v>
      </c>
      <c r="AF66" s="207">
        <f>+AC$26*AE66+AD66</f>
        <v>0</v>
      </c>
      <c r="AG66" s="214">
        <f>+AI65</f>
        <v>0</v>
      </c>
      <c r="AH66" s="212">
        <f>+AG$29</f>
        <v>0</v>
      </c>
      <c r="AI66" s="212">
        <f t="shared" si="20"/>
        <v>0</v>
      </c>
      <c r="AJ66" s="207">
        <f>+AG$26*AI66+AH66</f>
        <v>0</v>
      </c>
      <c r="AK66" s="214">
        <f>+AM65</f>
        <v>0</v>
      </c>
      <c r="AL66" s="212">
        <f>+AK$29</f>
        <v>0</v>
      </c>
      <c r="AM66" s="212">
        <f t="shared" si="21"/>
        <v>0</v>
      </c>
      <c r="AN66" s="207">
        <f>+AK$26*AM66+AL66</f>
        <v>0</v>
      </c>
      <c r="AO66" s="225">
        <f t="shared" si="22"/>
        <v>0</v>
      </c>
      <c r="AP66" s="188"/>
      <c r="AQ66" s="213">
        <f>+AO66</f>
        <v>0</v>
      </c>
    </row>
    <row r="67" spans="1:43">
      <c r="A67" s="157">
        <f t="shared" si="23"/>
        <v>56</v>
      </c>
      <c r="C67" s="321" t="str">
        <f t="shared" si="1"/>
        <v>W Increased ROE</v>
      </c>
      <c r="D67" s="211">
        <f t="shared" si="2"/>
        <v>2024</v>
      </c>
      <c r="E67" s="212">
        <f>+E66</f>
        <v>0</v>
      </c>
      <c r="F67" s="212">
        <f>+F66</f>
        <v>0</v>
      </c>
      <c r="G67" s="212">
        <f t="shared" si="4"/>
        <v>0</v>
      </c>
      <c r="H67" s="209">
        <f>+E$27*G67+F67</f>
        <v>0</v>
      </c>
      <c r="I67" s="214">
        <v>0</v>
      </c>
      <c r="J67" s="212">
        <v>0</v>
      </c>
      <c r="K67" s="212">
        <v>0</v>
      </c>
      <c r="L67" s="207">
        <v>0</v>
      </c>
      <c r="M67" s="214">
        <f>+M66</f>
        <v>0</v>
      </c>
      <c r="N67" s="212">
        <f t="shared" si="14"/>
        <v>0</v>
      </c>
      <c r="O67" s="212">
        <f t="shared" si="15"/>
        <v>0</v>
      </c>
      <c r="P67" s="207">
        <f>+M$27*O67+N67</f>
        <v>0</v>
      </c>
      <c r="Q67" s="214">
        <f>+Q66</f>
        <v>0</v>
      </c>
      <c r="R67" s="212">
        <f>+R66</f>
        <v>0</v>
      </c>
      <c r="S67" s="212">
        <f t="shared" si="16"/>
        <v>0</v>
      </c>
      <c r="T67" s="207">
        <f>+Q$27*S67+R67</f>
        <v>0</v>
      </c>
      <c r="U67" s="214">
        <f>+U66</f>
        <v>0</v>
      </c>
      <c r="V67" s="212">
        <f>+V66</f>
        <v>0</v>
      </c>
      <c r="W67" s="212">
        <f t="shared" si="17"/>
        <v>0</v>
      </c>
      <c r="X67" s="207">
        <f>+U$27*W67+V67</f>
        <v>0</v>
      </c>
      <c r="Y67" s="214">
        <f>+Y66</f>
        <v>0</v>
      </c>
      <c r="Z67" s="212">
        <f>+Z66</f>
        <v>0</v>
      </c>
      <c r="AA67" s="212">
        <f t="shared" si="18"/>
        <v>0</v>
      </c>
      <c r="AB67" s="207">
        <f>+Y$27*AA67+Z67</f>
        <v>0</v>
      </c>
      <c r="AC67" s="214">
        <f>+AC66</f>
        <v>0</v>
      </c>
      <c r="AD67" s="212">
        <f>+AD66</f>
        <v>0</v>
      </c>
      <c r="AE67" s="212">
        <f t="shared" si="19"/>
        <v>0</v>
      </c>
      <c r="AF67" s="207">
        <f>+AC$27*AE67+AD67</f>
        <v>0</v>
      </c>
      <c r="AG67" s="214">
        <f>+AG66</f>
        <v>0</v>
      </c>
      <c r="AH67" s="212">
        <f>+AH66</f>
        <v>0</v>
      </c>
      <c r="AI67" s="212">
        <f t="shared" si="20"/>
        <v>0</v>
      </c>
      <c r="AJ67" s="207">
        <f>+AG$27*AI67+AH67</f>
        <v>0</v>
      </c>
      <c r="AK67" s="214">
        <f>+AK66</f>
        <v>0</v>
      </c>
      <c r="AL67" s="212">
        <f>+AL66</f>
        <v>0</v>
      </c>
      <c r="AM67" s="212">
        <f t="shared" si="21"/>
        <v>0</v>
      </c>
      <c r="AN67" s="207">
        <f>+AK$27*AM67+AL67</f>
        <v>0</v>
      </c>
      <c r="AO67" s="225">
        <f t="shared" si="22"/>
        <v>0</v>
      </c>
      <c r="AP67" s="360">
        <f>+AO67</f>
        <v>0</v>
      </c>
      <c r="AQ67" s="187"/>
    </row>
    <row r="68" spans="1:43">
      <c r="A68" s="157">
        <f t="shared" si="23"/>
        <v>57</v>
      </c>
      <c r="C68" s="321" t="str">
        <f t="shared" si="1"/>
        <v>W  11.5 % ROE</v>
      </c>
      <c r="D68" s="211">
        <f t="shared" si="2"/>
        <v>2025</v>
      </c>
      <c r="E68" s="212"/>
      <c r="F68" s="212">
        <f>+E$29</f>
        <v>0</v>
      </c>
      <c r="G68" s="212">
        <f t="shared" si="4"/>
        <v>0</v>
      </c>
      <c r="H68" s="209">
        <f>+E$26*G68+F68</f>
        <v>0</v>
      </c>
      <c r="I68" s="214">
        <v>0</v>
      </c>
      <c r="J68" s="212">
        <v>0</v>
      </c>
      <c r="K68" s="212">
        <v>0</v>
      </c>
      <c r="L68" s="207">
        <v>0</v>
      </c>
      <c r="M68" s="214">
        <f>+O67</f>
        <v>0</v>
      </c>
      <c r="N68" s="212">
        <f t="shared" si="14"/>
        <v>0</v>
      </c>
      <c r="O68" s="212">
        <f t="shared" si="15"/>
        <v>0</v>
      </c>
      <c r="P68" s="207">
        <f>+M$26*O68+N68</f>
        <v>0</v>
      </c>
      <c r="Q68" s="214">
        <f>+S67</f>
        <v>0</v>
      </c>
      <c r="R68" s="212">
        <f>+Q$29</f>
        <v>0</v>
      </c>
      <c r="S68" s="212">
        <f t="shared" si="16"/>
        <v>0</v>
      </c>
      <c r="T68" s="207">
        <f>+Q$26*S68+R68</f>
        <v>0</v>
      </c>
      <c r="U68" s="214">
        <f>+W67</f>
        <v>0</v>
      </c>
      <c r="V68" s="212">
        <f>+U$29</f>
        <v>0</v>
      </c>
      <c r="W68" s="212">
        <f t="shared" si="17"/>
        <v>0</v>
      </c>
      <c r="X68" s="207">
        <f>+U$26*W68+V68</f>
        <v>0</v>
      </c>
      <c r="Y68" s="214">
        <f>+AA67</f>
        <v>0</v>
      </c>
      <c r="Z68" s="212">
        <f>+Y$29</f>
        <v>0</v>
      </c>
      <c r="AA68" s="212">
        <f t="shared" si="18"/>
        <v>0</v>
      </c>
      <c r="AB68" s="207">
        <f>+Y$26*AA68+Z68</f>
        <v>0</v>
      </c>
      <c r="AC68" s="214">
        <f>+AE67</f>
        <v>0</v>
      </c>
      <c r="AD68" s="212">
        <f>+AC$29</f>
        <v>0</v>
      </c>
      <c r="AE68" s="212">
        <f t="shared" si="19"/>
        <v>0</v>
      </c>
      <c r="AF68" s="207">
        <f>+AC$26*AE68+AD68</f>
        <v>0</v>
      </c>
      <c r="AG68" s="214">
        <f>+AI67</f>
        <v>0</v>
      </c>
      <c r="AH68" s="212">
        <f>+AG$29</f>
        <v>0</v>
      </c>
      <c r="AI68" s="212">
        <f t="shared" si="20"/>
        <v>0</v>
      </c>
      <c r="AJ68" s="207">
        <f>+AG$26*AI68+AH68</f>
        <v>0</v>
      </c>
      <c r="AK68" s="214">
        <f>+AM67</f>
        <v>0</v>
      </c>
      <c r="AL68" s="212">
        <f>+AK$29</f>
        <v>0</v>
      </c>
      <c r="AM68" s="212">
        <f t="shared" si="21"/>
        <v>0</v>
      </c>
      <c r="AN68" s="207">
        <f>+AK$26*AM68+AL68</f>
        <v>0</v>
      </c>
      <c r="AO68" s="225">
        <f t="shared" si="22"/>
        <v>0</v>
      </c>
      <c r="AP68" s="188"/>
      <c r="AQ68" s="213">
        <f>+AO68</f>
        <v>0</v>
      </c>
    </row>
    <row r="69" spans="1:43">
      <c r="A69" s="157">
        <f t="shared" si="23"/>
        <v>58</v>
      </c>
      <c r="C69" s="321" t="str">
        <f t="shared" si="1"/>
        <v>W Increased ROE</v>
      </c>
      <c r="D69" s="211">
        <f t="shared" si="2"/>
        <v>2025</v>
      </c>
      <c r="E69" s="212">
        <f>+E68</f>
        <v>0</v>
      </c>
      <c r="F69" s="212">
        <f>+F68</f>
        <v>0</v>
      </c>
      <c r="G69" s="212">
        <f t="shared" si="4"/>
        <v>0</v>
      </c>
      <c r="H69" s="209">
        <f>+E$27*G69+F69</f>
        <v>0</v>
      </c>
      <c r="I69" s="214">
        <v>0</v>
      </c>
      <c r="J69" s="212">
        <v>0</v>
      </c>
      <c r="K69" s="212">
        <v>0</v>
      </c>
      <c r="L69" s="207">
        <v>0</v>
      </c>
      <c r="M69" s="214">
        <f>+M68</f>
        <v>0</v>
      </c>
      <c r="N69" s="212">
        <f t="shared" si="14"/>
        <v>0</v>
      </c>
      <c r="O69" s="212">
        <f t="shared" si="15"/>
        <v>0</v>
      </c>
      <c r="P69" s="207">
        <f>+M$27*O69+N69</f>
        <v>0</v>
      </c>
      <c r="Q69" s="214">
        <f>+Q68</f>
        <v>0</v>
      </c>
      <c r="R69" s="212">
        <f>+R68</f>
        <v>0</v>
      </c>
      <c r="S69" s="212">
        <f t="shared" si="16"/>
        <v>0</v>
      </c>
      <c r="T69" s="207">
        <f>+Q$27*S69+R69</f>
        <v>0</v>
      </c>
      <c r="U69" s="214">
        <f>+U68</f>
        <v>0</v>
      </c>
      <c r="V69" s="212">
        <f>+V68</f>
        <v>0</v>
      </c>
      <c r="W69" s="212">
        <f t="shared" si="17"/>
        <v>0</v>
      </c>
      <c r="X69" s="207">
        <f>+U$27*W69+V69</f>
        <v>0</v>
      </c>
      <c r="Y69" s="214">
        <f>+Y68</f>
        <v>0</v>
      </c>
      <c r="Z69" s="212">
        <f>+Z68</f>
        <v>0</v>
      </c>
      <c r="AA69" s="212">
        <f t="shared" si="18"/>
        <v>0</v>
      </c>
      <c r="AB69" s="207">
        <f>+Y$27*AA69+Z69</f>
        <v>0</v>
      </c>
      <c r="AC69" s="214">
        <f>+AC68</f>
        <v>0</v>
      </c>
      <c r="AD69" s="212">
        <f>+AD68</f>
        <v>0</v>
      </c>
      <c r="AE69" s="212">
        <f t="shared" si="19"/>
        <v>0</v>
      </c>
      <c r="AF69" s="207">
        <f>+AC$27*AE69+AD69</f>
        <v>0</v>
      </c>
      <c r="AG69" s="214">
        <f>+AG68</f>
        <v>0</v>
      </c>
      <c r="AH69" s="212">
        <f>+AH68</f>
        <v>0</v>
      </c>
      <c r="AI69" s="212">
        <f t="shared" si="20"/>
        <v>0</v>
      </c>
      <c r="AJ69" s="207">
        <f>+AG$27*AI69+AH69</f>
        <v>0</v>
      </c>
      <c r="AK69" s="214">
        <f>+AK68</f>
        <v>0</v>
      </c>
      <c r="AL69" s="212">
        <f>+AL68</f>
        <v>0</v>
      </c>
      <c r="AM69" s="212">
        <f t="shared" si="21"/>
        <v>0</v>
      </c>
      <c r="AN69" s="207">
        <f>+AK$27*AM69+AL69</f>
        <v>0</v>
      </c>
      <c r="AO69" s="225">
        <f t="shared" si="22"/>
        <v>0</v>
      </c>
      <c r="AP69" s="360">
        <f>+AO69</f>
        <v>0</v>
      </c>
      <c r="AQ69" s="187"/>
    </row>
    <row r="70" spans="1:43">
      <c r="A70" s="157">
        <f t="shared" si="23"/>
        <v>59</v>
      </c>
      <c r="C70" s="321" t="str">
        <f t="shared" si="1"/>
        <v>W  11.5 % ROE</v>
      </c>
      <c r="D70" s="211">
        <f t="shared" si="2"/>
        <v>2026</v>
      </c>
      <c r="E70" s="212"/>
      <c r="F70" s="212">
        <f>+E$29</f>
        <v>0</v>
      </c>
      <c r="G70" s="212">
        <f t="shared" si="4"/>
        <v>0</v>
      </c>
      <c r="H70" s="209">
        <f>+E$26*G70+F70</f>
        <v>0</v>
      </c>
      <c r="I70" s="214">
        <v>0</v>
      </c>
      <c r="J70" s="212">
        <v>0</v>
      </c>
      <c r="K70" s="212">
        <v>0</v>
      </c>
      <c r="L70" s="207">
        <v>0</v>
      </c>
      <c r="M70" s="214">
        <f>+O69</f>
        <v>0</v>
      </c>
      <c r="N70" s="212">
        <f t="shared" si="14"/>
        <v>0</v>
      </c>
      <c r="O70" s="212">
        <f t="shared" si="15"/>
        <v>0</v>
      </c>
      <c r="P70" s="207">
        <f>+M$26*O70+N70</f>
        <v>0</v>
      </c>
      <c r="Q70" s="214">
        <f>+S69</f>
        <v>0</v>
      </c>
      <c r="R70" s="212">
        <f>+Q$29</f>
        <v>0</v>
      </c>
      <c r="S70" s="212">
        <f t="shared" si="16"/>
        <v>0</v>
      </c>
      <c r="T70" s="207">
        <f>+Q$26*S70+R70</f>
        <v>0</v>
      </c>
      <c r="U70" s="214">
        <f>+W69</f>
        <v>0</v>
      </c>
      <c r="V70" s="212">
        <f>+U$29</f>
        <v>0</v>
      </c>
      <c r="W70" s="212">
        <f t="shared" si="17"/>
        <v>0</v>
      </c>
      <c r="X70" s="207">
        <f>+U$26*W70+V70</f>
        <v>0</v>
      </c>
      <c r="Y70" s="214">
        <f>+AA69</f>
        <v>0</v>
      </c>
      <c r="Z70" s="212">
        <f>+Y$29</f>
        <v>0</v>
      </c>
      <c r="AA70" s="212">
        <f t="shared" si="18"/>
        <v>0</v>
      </c>
      <c r="AB70" s="207">
        <f>+Y$26*AA70+Z70</f>
        <v>0</v>
      </c>
      <c r="AC70" s="214">
        <f>+AE69</f>
        <v>0</v>
      </c>
      <c r="AD70" s="212">
        <f>+AC$29</f>
        <v>0</v>
      </c>
      <c r="AE70" s="212">
        <f t="shared" si="19"/>
        <v>0</v>
      </c>
      <c r="AF70" s="207">
        <f>+AC$26*AE70+AD70</f>
        <v>0</v>
      </c>
      <c r="AG70" s="214">
        <f>+AI69</f>
        <v>0</v>
      </c>
      <c r="AH70" s="212">
        <f>+AG$29</f>
        <v>0</v>
      </c>
      <c r="AI70" s="212">
        <f t="shared" si="20"/>
        <v>0</v>
      </c>
      <c r="AJ70" s="207">
        <f>+AG$26*AI70+AH70</f>
        <v>0</v>
      </c>
      <c r="AK70" s="214">
        <f>+AM69</f>
        <v>0</v>
      </c>
      <c r="AL70" s="212">
        <f>+AK$29</f>
        <v>0</v>
      </c>
      <c r="AM70" s="212">
        <f t="shared" si="21"/>
        <v>0</v>
      </c>
      <c r="AN70" s="207">
        <f>+AK$26*AM70+AL70</f>
        <v>0</v>
      </c>
      <c r="AO70" s="225">
        <f t="shared" si="22"/>
        <v>0</v>
      </c>
      <c r="AP70" s="188"/>
      <c r="AQ70" s="213">
        <f>+AO70</f>
        <v>0</v>
      </c>
    </row>
    <row r="71" spans="1:43">
      <c r="A71" s="157">
        <f t="shared" si="23"/>
        <v>60</v>
      </c>
      <c r="C71" s="321" t="str">
        <f t="shared" si="1"/>
        <v>W Increased ROE</v>
      </c>
      <c r="D71" s="211">
        <f t="shared" si="2"/>
        <v>2026</v>
      </c>
      <c r="E71" s="212">
        <f>+E70</f>
        <v>0</v>
      </c>
      <c r="F71" s="212">
        <f>+F70</f>
        <v>0</v>
      </c>
      <c r="G71" s="212">
        <f t="shared" si="4"/>
        <v>0</v>
      </c>
      <c r="H71" s="209">
        <f>+E$27*G71+F71</f>
        <v>0</v>
      </c>
      <c r="I71" s="214">
        <v>0</v>
      </c>
      <c r="J71" s="212">
        <v>0</v>
      </c>
      <c r="K71" s="212">
        <v>0</v>
      </c>
      <c r="L71" s="207">
        <v>0</v>
      </c>
      <c r="M71" s="214">
        <f>+M70</f>
        <v>0</v>
      </c>
      <c r="N71" s="212">
        <f t="shared" si="14"/>
        <v>0</v>
      </c>
      <c r="O71" s="212">
        <f t="shared" si="15"/>
        <v>0</v>
      </c>
      <c r="P71" s="207">
        <f>+M$27*O71+N71</f>
        <v>0</v>
      </c>
      <c r="Q71" s="214">
        <f>+Q70</f>
        <v>0</v>
      </c>
      <c r="R71" s="212">
        <f>+R70</f>
        <v>0</v>
      </c>
      <c r="S71" s="212">
        <f t="shared" si="16"/>
        <v>0</v>
      </c>
      <c r="T71" s="207">
        <f>+Q$27*S71+R71</f>
        <v>0</v>
      </c>
      <c r="U71" s="214">
        <f>+U70</f>
        <v>0</v>
      </c>
      <c r="V71" s="212">
        <f>+V70</f>
        <v>0</v>
      </c>
      <c r="W71" s="212">
        <f t="shared" si="17"/>
        <v>0</v>
      </c>
      <c r="X71" s="207">
        <f>+U$27*W71+V71</f>
        <v>0</v>
      </c>
      <c r="Y71" s="214">
        <f>+Y70</f>
        <v>0</v>
      </c>
      <c r="Z71" s="212">
        <f>+Z70</f>
        <v>0</v>
      </c>
      <c r="AA71" s="212">
        <f t="shared" si="18"/>
        <v>0</v>
      </c>
      <c r="AB71" s="207">
        <f>+Y$27*AA71+Z71</f>
        <v>0</v>
      </c>
      <c r="AC71" s="214">
        <f>+AC70</f>
        <v>0</v>
      </c>
      <c r="AD71" s="212">
        <f>+AD70</f>
        <v>0</v>
      </c>
      <c r="AE71" s="212">
        <f t="shared" si="19"/>
        <v>0</v>
      </c>
      <c r="AF71" s="207">
        <f>+AC$27*AE71+AD71</f>
        <v>0</v>
      </c>
      <c r="AG71" s="214">
        <f>+AG70</f>
        <v>0</v>
      </c>
      <c r="AH71" s="212">
        <f>+AH70</f>
        <v>0</v>
      </c>
      <c r="AI71" s="212">
        <f t="shared" si="20"/>
        <v>0</v>
      </c>
      <c r="AJ71" s="207">
        <f>+AG$27*AI71+AH71</f>
        <v>0</v>
      </c>
      <c r="AK71" s="214">
        <f>+AK70</f>
        <v>0</v>
      </c>
      <c r="AL71" s="212">
        <f>+AL70</f>
        <v>0</v>
      </c>
      <c r="AM71" s="212">
        <f t="shared" si="21"/>
        <v>0</v>
      </c>
      <c r="AN71" s="207">
        <f>+AK$27*AM71+AL71</f>
        <v>0</v>
      </c>
      <c r="AO71" s="225">
        <f t="shared" si="22"/>
        <v>0</v>
      </c>
      <c r="AP71" s="360">
        <f>+AO71</f>
        <v>0</v>
      </c>
      <c r="AQ71" s="187"/>
    </row>
    <row r="72" spans="1:43">
      <c r="A72" s="157">
        <f t="shared" si="23"/>
        <v>61</v>
      </c>
      <c r="C72" s="321" t="s">
        <v>132</v>
      </c>
      <c r="D72" s="215" t="s">
        <v>132</v>
      </c>
      <c r="E72" s="284" t="s">
        <v>132</v>
      </c>
      <c r="F72" s="216" t="s">
        <v>132</v>
      </c>
      <c r="G72" s="216" t="s">
        <v>132</v>
      </c>
      <c r="H72" s="216" t="s">
        <v>132</v>
      </c>
      <c r="I72" s="214">
        <v>0</v>
      </c>
      <c r="J72" s="212">
        <v>0</v>
      </c>
      <c r="K72" s="212">
        <v>0</v>
      </c>
      <c r="L72" s="207">
        <v>0</v>
      </c>
      <c r="M72" s="216" t="s">
        <v>132</v>
      </c>
      <c r="N72" s="216" t="s">
        <v>132</v>
      </c>
      <c r="O72" s="216" t="s">
        <v>133</v>
      </c>
      <c r="P72" s="217" t="s">
        <v>132</v>
      </c>
      <c r="Q72" s="216" t="s">
        <v>132</v>
      </c>
      <c r="R72" s="216" t="s">
        <v>132</v>
      </c>
      <c r="S72" s="216" t="s">
        <v>133</v>
      </c>
      <c r="T72" s="217" t="s">
        <v>132</v>
      </c>
      <c r="U72" s="216" t="s">
        <v>132</v>
      </c>
      <c r="V72" s="216" t="s">
        <v>132</v>
      </c>
      <c r="W72" s="216" t="s">
        <v>133</v>
      </c>
      <c r="X72" s="217" t="s">
        <v>132</v>
      </c>
      <c r="Y72" s="216" t="s">
        <v>132</v>
      </c>
      <c r="Z72" s="216" t="s">
        <v>132</v>
      </c>
      <c r="AA72" s="216" t="s">
        <v>133</v>
      </c>
      <c r="AB72" s="217" t="s">
        <v>132</v>
      </c>
      <c r="AC72" s="216" t="s">
        <v>132</v>
      </c>
      <c r="AD72" s="216" t="s">
        <v>132</v>
      </c>
      <c r="AE72" s="216" t="s">
        <v>133</v>
      </c>
      <c r="AF72" s="217" t="s">
        <v>132</v>
      </c>
      <c r="AG72" s="216" t="s">
        <v>132</v>
      </c>
      <c r="AH72" s="216" t="s">
        <v>132</v>
      </c>
      <c r="AI72" s="216" t="s">
        <v>133</v>
      </c>
      <c r="AJ72" s="217" t="s">
        <v>132</v>
      </c>
      <c r="AK72" s="216" t="s">
        <v>132</v>
      </c>
      <c r="AL72" s="216" t="s">
        <v>132</v>
      </c>
      <c r="AM72" s="216" t="s">
        <v>133</v>
      </c>
      <c r="AN72" s="217" t="s">
        <v>132</v>
      </c>
      <c r="AO72" s="216" t="s">
        <v>132</v>
      </c>
      <c r="AP72" s="284" t="s">
        <v>132</v>
      </c>
      <c r="AQ72" s="217" t="s">
        <v>132</v>
      </c>
    </row>
    <row r="73" spans="1:43" ht="13.5" thickBot="1">
      <c r="A73" s="157">
        <f t="shared" si="23"/>
        <v>62</v>
      </c>
      <c r="C73" s="323" t="s">
        <v>132</v>
      </c>
      <c r="D73" s="218" t="s">
        <v>132</v>
      </c>
      <c r="E73" s="285" t="s">
        <v>132</v>
      </c>
      <c r="F73" s="219" t="s">
        <v>132</v>
      </c>
      <c r="G73" s="219" t="s">
        <v>132</v>
      </c>
      <c r="H73" s="219" t="s">
        <v>132</v>
      </c>
      <c r="I73" s="285">
        <v>0</v>
      </c>
      <c r="J73" s="219">
        <v>0</v>
      </c>
      <c r="K73" s="219">
        <v>0</v>
      </c>
      <c r="L73" s="219">
        <v>0</v>
      </c>
      <c r="M73" s="285" t="s">
        <v>132</v>
      </c>
      <c r="N73" s="219" t="s">
        <v>133</v>
      </c>
      <c r="O73" s="219" t="s">
        <v>133</v>
      </c>
      <c r="P73" s="220" t="s">
        <v>132</v>
      </c>
      <c r="Q73" s="219" t="s">
        <v>132</v>
      </c>
      <c r="R73" s="219" t="s">
        <v>133</v>
      </c>
      <c r="S73" s="219" t="s">
        <v>133</v>
      </c>
      <c r="T73" s="220" t="s">
        <v>132</v>
      </c>
      <c r="U73" s="219" t="s">
        <v>132</v>
      </c>
      <c r="V73" s="219" t="s">
        <v>133</v>
      </c>
      <c r="W73" s="219" t="s">
        <v>133</v>
      </c>
      <c r="X73" s="220" t="s">
        <v>132</v>
      </c>
      <c r="Y73" s="219" t="s">
        <v>132</v>
      </c>
      <c r="Z73" s="219" t="s">
        <v>133</v>
      </c>
      <c r="AA73" s="219" t="s">
        <v>133</v>
      </c>
      <c r="AB73" s="220" t="s">
        <v>132</v>
      </c>
      <c r="AC73" s="219" t="s">
        <v>132</v>
      </c>
      <c r="AD73" s="219" t="s">
        <v>133</v>
      </c>
      <c r="AE73" s="219" t="s">
        <v>133</v>
      </c>
      <c r="AF73" s="220" t="s">
        <v>132</v>
      </c>
      <c r="AG73" s="219" t="s">
        <v>132</v>
      </c>
      <c r="AH73" s="219" t="s">
        <v>133</v>
      </c>
      <c r="AI73" s="219" t="s">
        <v>133</v>
      </c>
      <c r="AJ73" s="220" t="s">
        <v>132</v>
      </c>
      <c r="AK73" s="219" t="s">
        <v>132</v>
      </c>
      <c r="AL73" s="219" t="s">
        <v>133</v>
      </c>
      <c r="AM73" s="219" t="s">
        <v>133</v>
      </c>
      <c r="AN73" s="220" t="s">
        <v>132</v>
      </c>
      <c r="AO73" s="219" t="s">
        <v>132</v>
      </c>
      <c r="AP73" s="285" t="s">
        <v>132</v>
      </c>
      <c r="AQ73" s="220" t="s">
        <v>132</v>
      </c>
    </row>
    <row r="74" spans="1:43">
      <c r="C74" s="162"/>
      <c r="D74" s="221"/>
      <c r="E74" s="221"/>
      <c r="F74" s="162"/>
      <c r="G74" s="162"/>
      <c r="H74" s="162"/>
      <c r="I74" s="162"/>
      <c r="J74" s="162"/>
      <c r="K74" s="162"/>
      <c r="L74" s="22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223"/>
      <c r="AQ74" s="223"/>
    </row>
    <row r="75" spans="1:43">
      <c r="B75" s="244" t="s">
        <v>321</v>
      </c>
    </row>
    <row r="76" spans="1:43">
      <c r="B76" s="372" t="s">
        <v>155</v>
      </c>
      <c r="N76" s="180" t="s">
        <v>322</v>
      </c>
      <c r="AP76" s="178"/>
    </row>
    <row r="77" spans="1:43">
      <c r="B77" s="244" t="s">
        <v>170</v>
      </c>
      <c r="N77" s="244" t="s">
        <v>323</v>
      </c>
    </row>
    <row r="78" spans="1:43">
      <c r="B78" s="244" t="s">
        <v>192</v>
      </c>
      <c r="N78" s="244" t="s">
        <v>324</v>
      </c>
    </row>
    <row r="79" spans="1:43">
      <c r="B79" s="244" t="s">
        <v>325</v>
      </c>
      <c r="N79" s="244" t="s">
        <v>326</v>
      </c>
    </row>
    <row r="80" spans="1:43">
      <c r="B80" s="244" t="s">
        <v>193</v>
      </c>
      <c r="N80" s="244" t="s">
        <v>154</v>
      </c>
    </row>
    <row r="306" spans="3:8">
      <c r="C306" s="231"/>
      <c r="D306" s="230"/>
      <c r="E306" s="230"/>
      <c r="F306" s="231"/>
      <c r="G306" s="231"/>
      <c r="H306" s="231"/>
    </row>
    <row r="307" spans="3:8">
      <c r="C307" s="231"/>
      <c r="D307" s="230"/>
      <c r="E307" s="230"/>
      <c r="F307" s="231"/>
      <c r="G307" s="231"/>
      <c r="H307" s="231"/>
    </row>
    <row r="308" spans="3:8">
      <c r="C308" s="231"/>
      <c r="D308" s="230"/>
      <c r="E308" s="230"/>
      <c r="F308" s="231"/>
      <c r="G308" s="231"/>
      <c r="H308" s="231"/>
    </row>
    <row r="309" spans="3:8">
      <c r="C309" s="231"/>
      <c r="D309" s="230"/>
      <c r="E309" s="230"/>
      <c r="F309" s="231"/>
      <c r="G309" s="231"/>
      <c r="H309" s="231"/>
    </row>
    <row r="310" spans="3:8">
      <c r="C310" s="231"/>
      <c r="D310" s="230"/>
      <c r="E310" s="230"/>
      <c r="F310" s="231"/>
      <c r="G310" s="231"/>
      <c r="H310" s="231"/>
    </row>
    <row r="311" spans="3:8">
      <c r="C311" s="231"/>
      <c r="D311" s="230"/>
      <c r="E311" s="230"/>
      <c r="F311" s="231"/>
      <c r="G311" s="231"/>
      <c r="H311" s="231"/>
    </row>
    <row r="312" spans="3:8">
      <c r="C312" s="231"/>
      <c r="D312" s="230"/>
      <c r="E312" s="230"/>
      <c r="F312" s="231"/>
      <c r="G312" s="231"/>
      <c r="H312" s="231"/>
    </row>
    <row r="313" spans="3:8">
      <c r="C313" s="231"/>
      <c r="D313" s="230"/>
      <c r="E313" s="230"/>
      <c r="F313" s="231"/>
      <c r="G313" s="231"/>
      <c r="H313" s="231"/>
    </row>
    <row r="314" spans="3:8">
      <c r="C314" s="231"/>
      <c r="D314" s="230"/>
      <c r="E314" s="230"/>
      <c r="F314" s="231"/>
      <c r="G314" s="231"/>
      <c r="H314" s="231"/>
    </row>
  </sheetData>
  <mergeCells count="5">
    <mergeCell ref="C2:AQ2"/>
    <mergeCell ref="I21:L21"/>
    <mergeCell ref="M21:P21"/>
    <mergeCell ref="E21:H21"/>
    <mergeCell ref="Q21:T21"/>
  </mergeCells>
  <phoneticPr fontId="0" type="noConversion"/>
  <printOptions horizontalCentered="1"/>
  <pageMargins left="0.25" right="0.25" top="0.75" bottom="0.25" header="0.4" footer="0.5"/>
  <pageSetup scale="42" orientation="landscape" r:id="rId1"/>
  <headerFooter alignWithMargins="0">
    <oddHeader>&amp;R&amp;14ATTACHMENT H-13A
Page &amp;P of &amp;N</oddHeader>
  </headerFooter>
</worksheet>
</file>

<file path=xl/worksheets/sheet9.xml><?xml version="1.0" encoding="utf-8"?>
<worksheet xmlns="http://schemas.openxmlformats.org/spreadsheetml/2006/main" xmlns:r="http://schemas.openxmlformats.org/officeDocument/2006/relationships">
  <sheetPr codeName="Sheet10">
    <pageSetUpPr fitToPage="1"/>
  </sheetPr>
  <dimension ref="A1:H45"/>
  <sheetViews>
    <sheetView zoomScale="75" workbookViewId="0">
      <selection activeCell="E14" sqref="E14"/>
    </sheetView>
  </sheetViews>
  <sheetFormatPr defaultRowHeight="12.75"/>
  <cols>
    <col min="2" max="2" width="1.42578125" customWidth="1"/>
    <col min="3" max="3" width="2.28515625" customWidth="1"/>
    <col min="4" max="4" width="43.42578125" customWidth="1"/>
    <col min="5" max="5" width="19.7109375" customWidth="1"/>
    <col min="6" max="6" width="19.42578125" customWidth="1"/>
    <col min="7" max="7" width="20.5703125" bestFit="1" customWidth="1"/>
  </cols>
  <sheetData>
    <row r="1" spans="1:8" ht="15.75">
      <c r="A1" s="1234" t="str">
        <f>+'Appendix A'!A3</f>
        <v>Commonwealth Edison Company</v>
      </c>
      <c r="B1" s="1234"/>
      <c r="C1" s="1234"/>
      <c r="D1" s="1234"/>
      <c r="E1" s="1234"/>
      <c r="F1" s="1234"/>
    </row>
    <row r="2" spans="1:8" ht="15.75">
      <c r="A2" s="373"/>
      <c r="B2" s="240"/>
      <c r="C2" s="240"/>
      <c r="D2" s="374"/>
      <c r="E2" s="240"/>
      <c r="F2" s="31"/>
    </row>
    <row r="3" spans="1:8" ht="15">
      <c r="A3" s="1237" t="s">
        <v>361</v>
      </c>
      <c r="B3" s="1346"/>
      <c r="C3" s="1346"/>
      <c r="D3" s="1346"/>
      <c r="E3" s="1346"/>
      <c r="F3" s="1346"/>
    </row>
    <row r="4" spans="1:8">
      <c r="B4" s="121"/>
      <c r="C4" s="157"/>
      <c r="D4" s="157"/>
    </row>
    <row r="5" spans="1:8">
      <c r="A5" s="121"/>
    </row>
    <row r="6" spans="1:8">
      <c r="E6" s="167"/>
    </row>
    <row r="8" spans="1:8">
      <c r="B8" s="2"/>
      <c r="C8" s="2"/>
      <c r="D8" s="2"/>
      <c r="E8" s="2"/>
      <c r="F8" s="2"/>
      <c r="G8" s="2"/>
      <c r="H8" s="2"/>
    </row>
    <row r="9" spans="1:8">
      <c r="B9" s="168"/>
      <c r="C9" s="168"/>
      <c r="D9" s="168"/>
      <c r="E9" s="168"/>
      <c r="F9" s="168"/>
      <c r="G9" s="168"/>
      <c r="H9" s="2"/>
    </row>
    <row r="10" spans="1:8">
      <c r="B10" s="2"/>
      <c r="C10" s="2"/>
      <c r="D10" s="2"/>
      <c r="E10" s="2"/>
      <c r="F10" s="2"/>
      <c r="G10" s="2"/>
      <c r="H10" s="2"/>
    </row>
    <row r="12" spans="1:8">
      <c r="A12" s="157" t="s">
        <v>74</v>
      </c>
    </row>
    <row r="13" spans="1:8">
      <c r="C13" t="s">
        <v>456</v>
      </c>
    </row>
    <row r="14" spans="1:8">
      <c r="A14" s="165">
        <f>+'Appendix A'!A172</f>
        <v>100</v>
      </c>
      <c r="B14" s="165">
        <f>+'Appendix A'!B172</f>
        <v>0</v>
      </c>
      <c r="C14" s="165" t="str">
        <f>+'Appendix A'!C172</f>
        <v xml:space="preserve">    Less LTD Interest on Securitization Bonds</v>
      </c>
      <c r="D14" s="165"/>
      <c r="E14" s="973">
        <v>0</v>
      </c>
      <c r="F14" s="165"/>
    </row>
    <row r="17" spans="1:6">
      <c r="C17" t="s">
        <v>524</v>
      </c>
    </row>
    <row r="18" spans="1:6">
      <c r="A18" s="165">
        <f>+'Appendix A'!A189</f>
        <v>112</v>
      </c>
      <c r="C18" s="165" t="str">
        <f>+'Appendix A'!C189</f>
        <v xml:space="preserve">      Less LTD on Securitization Bonds</v>
      </c>
      <c r="D18" s="165"/>
      <c r="E18" s="973">
        <v>0</v>
      </c>
      <c r="F18" s="165"/>
    </row>
    <row r="21" spans="1:6">
      <c r="C21" s="2" t="s">
        <v>354</v>
      </c>
      <c r="D21" s="2"/>
      <c r="E21" s="2"/>
    </row>
    <row r="22" spans="1:6">
      <c r="D22" s="155"/>
      <c r="E22" s="155"/>
      <c r="F22" s="155"/>
    </row>
    <row r="23" spans="1:6">
      <c r="D23" s="155"/>
      <c r="E23" s="155"/>
      <c r="F23" s="155"/>
    </row>
    <row r="24" spans="1:6">
      <c r="D24" s="155"/>
      <c r="E24" s="155"/>
      <c r="F24" s="155"/>
    </row>
    <row r="25" spans="1:6">
      <c r="D25" s="155"/>
      <c r="E25" s="155"/>
      <c r="F25" s="155"/>
    </row>
    <row r="26" spans="1:6">
      <c r="D26" s="155"/>
      <c r="E26" s="155"/>
      <c r="F26" s="155"/>
    </row>
    <row r="27" spans="1:6">
      <c r="D27" s="155"/>
      <c r="E27" s="155"/>
      <c r="F27" s="155"/>
    </row>
    <row r="28" spans="1:6">
      <c r="D28" s="155"/>
      <c r="E28" s="155"/>
      <c r="F28" s="155"/>
    </row>
    <row r="29" spans="1:6">
      <c r="D29" s="155"/>
      <c r="E29" s="155"/>
      <c r="F29" s="155"/>
    </row>
    <row r="30" spans="1:6">
      <c r="D30" s="155"/>
      <c r="E30" s="155"/>
      <c r="F30" s="155"/>
    </row>
    <row r="31" spans="1:6">
      <c r="D31" s="155"/>
      <c r="E31" s="155"/>
      <c r="F31" s="155"/>
    </row>
    <row r="32" spans="1:6">
      <c r="D32" s="155"/>
      <c r="E32" s="155"/>
      <c r="F32" s="155"/>
    </row>
    <row r="33" spans="4:6">
      <c r="D33" s="155"/>
      <c r="E33" s="155"/>
      <c r="F33" s="155"/>
    </row>
    <row r="34" spans="4:6">
      <c r="D34" s="155"/>
      <c r="E34" s="155"/>
      <c r="F34" s="155"/>
    </row>
    <row r="35" spans="4:6">
      <c r="D35" s="155"/>
      <c r="E35" s="155"/>
      <c r="F35" s="155"/>
    </row>
    <row r="36" spans="4:6">
      <c r="D36" s="155"/>
      <c r="E36" s="155"/>
      <c r="F36" s="155"/>
    </row>
    <row r="37" spans="4:6">
      <c r="D37" s="155"/>
      <c r="E37" s="155"/>
      <c r="F37" s="155"/>
    </row>
    <row r="38" spans="4:6">
      <c r="D38" s="155"/>
      <c r="E38" s="155"/>
      <c r="F38" s="155"/>
    </row>
    <row r="39" spans="4:6">
      <c r="D39" s="155"/>
      <c r="E39" s="155"/>
      <c r="F39" s="155"/>
    </row>
    <row r="40" spans="4:6">
      <c r="D40" s="155"/>
      <c r="E40" s="155"/>
      <c r="F40" s="155"/>
    </row>
    <row r="41" spans="4:6">
      <c r="D41" s="155"/>
      <c r="E41" s="155"/>
      <c r="F41" s="155"/>
    </row>
    <row r="42" spans="4:6">
      <c r="D42" s="155"/>
      <c r="E42" s="155"/>
      <c r="F42" s="155"/>
    </row>
    <row r="43" spans="4:6">
      <c r="D43" s="155"/>
      <c r="E43" s="155"/>
      <c r="F43" s="155"/>
    </row>
    <row r="44" spans="4:6">
      <c r="D44" s="155"/>
      <c r="E44" s="155"/>
      <c r="F44" s="155"/>
    </row>
    <row r="45" spans="4:6">
      <c r="D45" s="155"/>
      <c r="E45" s="155"/>
      <c r="F45" s="155"/>
    </row>
  </sheetData>
  <customSheetViews>
    <customSheetView guid="{DC91DEF3-837B-4BB9-A81E-3B78C5914E6C}" showPageBreaks="1" fitToPage="1" showRuler="0">
      <selection activeCell="A41" sqref="A41:A42"/>
      <pageMargins left="0.75" right="0.75" top="1" bottom="1" header="0.5" footer="0.5"/>
      <pageSetup scale="95" orientation="portrait" r:id="rId1"/>
      <headerFooter alignWithMargins="0">
        <oddHeader xml:space="preserve">&amp;R&amp;12Page &amp;P of &amp;N </oddHeader>
      </headerFooter>
    </customSheetView>
    <customSheetView guid="{28948E05-8F34-4F1E-96FB-A80A6A844600}" showPageBreaks="1" fitToPage="1" showRuler="0" topLeftCell="A7">
      <selection activeCell="A41" sqref="A41:A42"/>
      <pageMargins left="0.75" right="0.75" top="1" bottom="1" header="0.5" footer="0.5"/>
      <pageSetup scale="94" orientation="portrait" r:id="rId2"/>
      <headerFooter alignWithMargins="0">
        <oddHeader xml:space="preserve">&amp;R&amp;12Page &amp;P of &amp;N </oddHeader>
      </headerFooter>
    </customSheetView>
    <customSheetView guid="{71B42B22-A376-44B5-B0C1-23FC1AA3DBA2}" fitToPage="1" showRuler="0" topLeftCell="A7">
      <selection activeCell="A41" sqref="A41:A42"/>
      <pageMargins left="0.75" right="0.75" top="1" bottom="1" header="0.5" footer="0.5"/>
      <pageSetup scale="95" orientation="portrait" r:id="rId3"/>
      <headerFooter alignWithMargins="0">
        <oddHeader xml:space="preserve">&amp;R&amp;14Page &amp;P of &amp;N </oddHeader>
      </headerFooter>
    </customSheetView>
    <customSheetView guid="{FAAD9AAC-1337-43AB-BF1F-CCF9DFCF5B78}" fitToPage="1" showRuler="0">
      <selection activeCell="A41" sqref="A41:A42"/>
      <pageMargins left="0.75" right="0.75" top="1" bottom="1" header="0.5" footer="0.5"/>
      <pageSetup scale="95" orientation="portrait" r:id="rId4"/>
      <headerFooter alignWithMargins="0">
        <oddHeader xml:space="preserve">&amp;R&amp;12Page &amp;P of &amp;N </oddHeader>
      </headerFooter>
    </customSheetView>
    <customSheetView guid="{4C7C2344-134C-465A-ADEB-A5E96AAE2308}" showPageBreaks="1" fitToPage="1" showRuler="0">
      <selection activeCell="A41" sqref="A41:A42"/>
      <pageMargins left="0.75" right="0.75" top="1" bottom="1" header="0.5" footer="0.5"/>
      <pageSetup scale="95" orientation="portrait" r:id="rId5"/>
      <headerFooter alignWithMargins="0">
        <oddHeader xml:space="preserve">&amp;R&amp;12Page &amp;P of &amp;N </oddHeader>
      </headerFooter>
    </customSheetView>
    <customSheetView guid="{DA967730-B71F-4038-B1B7-9D4790729C5D}" showPageBreaks="1" fitToPage="1" showRuler="0">
      <selection activeCell="A41" sqref="A41:A42"/>
      <pageMargins left="0.75" right="0.75" top="1" bottom="1" header="0.5" footer="0.5"/>
      <pageSetup scale="94" orientation="portrait" r:id="rId6"/>
      <headerFooter alignWithMargins="0">
        <oddHeader xml:space="preserve">&amp;R&amp;12Page &amp;P of &amp;N </oddHeader>
      </headerFooter>
    </customSheetView>
    <customSheetView guid="{F96D6087-3330-4A81-95EC-26BA83722A49}" showPageBreaks="1" fitToPage="1" showRuler="0">
      <selection activeCell="A41" sqref="A41:A42"/>
      <pageMargins left="0.75" right="0.75" top="1" bottom="1" header="0.5" footer="0.5"/>
      <pageSetup scale="95" orientation="portrait" r:id="rId7"/>
      <headerFooter alignWithMargins="0">
        <oddHeader xml:space="preserve">&amp;R&amp;12Page &amp;P of &amp;N </oddHeader>
      </headerFooter>
    </customSheetView>
    <customSheetView guid="{3A38DF7A-C35E-4DD3-9893-26310A3EF836}" showPageBreaks="1" fitToPage="1" showRuler="0">
      <selection activeCell="A41" sqref="A41:A42"/>
      <pageMargins left="0.75" right="0.75" top="1" bottom="1" header="0.5" footer="0.5"/>
      <pageSetup scale="95" orientation="portrait" r:id="rId8"/>
      <headerFooter alignWithMargins="0">
        <oddHeader xml:space="preserve">&amp;R&amp;12Page &amp;P of &amp;N </oddHeader>
      </headerFooter>
    </customSheetView>
  </customSheetViews>
  <mergeCells count="2">
    <mergeCell ref="A3:F3"/>
    <mergeCell ref="A1:F1"/>
  </mergeCells>
  <phoneticPr fontId="0" type="noConversion"/>
  <pageMargins left="0.75" right="0.75" top="1" bottom="1" header="0.5" footer="0.5"/>
  <pageSetup scale="94" orientation="portrait" r:id="rId9"/>
  <headerFooter alignWithMargins="0">
    <oddHeader xml:space="preserve">&amp;R&amp;12ATTACHMENT H-13A
Page &amp;P of &amp;N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Appendix A</vt:lpstr>
      <vt:lpstr>1 - ADIT</vt:lpstr>
      <vt:lpstr>2 - Other Taxes</vt:lpstr>
      <vt:lpstr>3 - Revenue Credits</vt:lpstr>
      <vt:lpstr>4 - 100 Basis Pt ROE</vt:lpstr>
      <vt:lpstr>5 - Cost Support</vt:lpstr>
      <vt:lpstr>6 - Est &amp; Reconcile WS</vt:lpstr>
      <vt:lpstr>7 - Cap Add WS</vt:lpstr>
      <vt:lpstr>8 - Securitization</vt:lpstr>
      <vt:lpstr>9 - Depr Rates</vt:lpstr>
      <vt:lpstr>'1 - ADIT'!Print_Area</vt:lpstr>
      <vt:lpstr>'3 - Revenue Credits'!Print_Area</vt:lpstr>
      <vt:lpstr>'5 - Cost Support'!Print_Area</vt:lpstr>
      <vt:lpstr>'6 - Est &amp; Reconcile WS'!Print_Area</vt:lpstr>
      <vt:lpstr>'7 - Cap Add WS'!Print_Area</vt:lpstr>
      <vt:lpstr>'Appendix A'!Print_Area</vt:lpstr>
      <vt:lpstr>'5 - Cost Support'!Print_Titles</vt:lpstr>
      <vt:lpstr>'7 - Cap Add WS'!Print_Titles</vt:lpstr>
    </vt:vector>
  </TitlesOfParts>
  <Company>PSEG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Benscoter</dc:creator>
  <cp:lastModifiedBy>Heather Curlee</cp:lastModifiedBy>
  <cp:lastPrinted>2014-04-15T21:02:19Z</cp:lastPrinted>
  <dcterms:created xsi:type="dcterms:W3CDTF">2004-01-21T20:42:01Z</dcterms:created>
  <dcterms:modified xsi:type="dcterms:W3CDTF">2014-04-15T21:03:00Z</dcterms:modified>
</cp:coreProperties>
</file>