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135" yWindow="-120" windowWidth="6330" windowHeight="8580" tabRatio="807" activeTab="9"/>
  </bookViews>
  <sheets>
    <sheet name="ATT H-2A" sheetId="48" r:id="rId1"/>
    <sheet name="1 - ADIT" sheetId="69" r:id="rId2"/>
    <sheet name="2 - Other Tax" sheetId="70" r:id="rId3"/>
    <sheet name="3 - Revenue Credits" sheetId="71" r:id="rId4"/>
    <sheet name="4 - 100 Basis Pt ROE" sheetId="54" r:id="rId5"/>
    <sheet name="Exh E - Cap Add Worksheet" sheetId="55" state="hidden" r:id="rId6"/>
    <sheet name="Exh F - AA-BL Items" sheetId="64" state="hidden" r:id="rId7"/>
    <sheet name="5 - Cost Support" sheetId="65" r:id="rId8"/>
    <sheet name="5a - Affiliate Allocations" sheetId="73" r:id="rId9"/>
    <sheet name="6- Est &amp; True-up WS" sheetId="68" r:id="rId10"/>
    <sheet name="7 - Cap Add WS" sheetId="72" r:id="rId11"/>
    <sheet name="8 - Securitization" sheetId="53" r:id="rId12"/>
    <sheet name="Sheet1" sheetId="74" r:id="rId13"/>
  </sheets>
  <externalReferences>
    <externalReference r:id="rId14"/>
  </externalReferences>
  <definedNames>
    <definedName name="f1_respondent_id">#REF!</definedName>
    <definedName name="_xlnm.Print_Area" localSheetId="2">'2 - Other Tax'!$A$1:$H$73</definedName>
    <definedName name="_xlnm.Print_Area" localSheetId="7">'5 - Cost Support'!$A$1:$Q$226</definedName>
    <definedName name="_xlnm.Print_Area" localSheetId="10">'7 - Cap Add WS'!$A$1:$CV$151</definedName>
    <definedName name="_xlnm.Print_Area" localSheetId="0">'ATT H-2A'!$E$1:$J$333</definedName>
    <definedName name="_xlnm.Print_Area" localSheetId="6">'Exh F - AA-BL Items'!$A$4:$Q$424</definedName>
    <definedName name="_xlnm.Print_Titles" localSheetId="7">'5 - Cost Support'!$1:$3</definedName>
    <definedName name="_xlnm.Print_Titles" localSheetId="10">'7 - Cap Add WS'!$A:$B</definedName>
    <definedName name="_xlnm.Print_Titles" localSheetId="0">'ATT H-2A'!$A:$G</definedName>
    <definedName name="_xlnm.Print_Titles" localSheetId="5">'Exh E - Cap Add Worksheet'!$A:$B</definedName>
    <definedName name="solver_adj" localSheetId="0" hidden="1">'ATT H-2A'!#REF!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H-2A'!#REF!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s>
  <calcPr calcId="145621" iterate="1" iterateCount="200" iterateDelta="1E-4"/>
</workbook>
</file>

<file path=xl/calcChain.xml><?xml version="1.0" encoding="utf-8"?>
<calcChain xmlns="http://schemas.openxmlformats.org/spreadsheetml/2006/main">
  <c r="I222" i="65" l="1"/>
  <c r="D46" i="69" l="1"/>
  <c r="H42" i="48" l="1"/>
  <c r="D18" i="71"/>
  <c r="H145" i="68" l="1"/>
  <c r="H172" i="48" l="1"/>
  <c r="H10" i="65" l="1"/>
  <c r="H23" i="48" s="1"/>
  <c r="C10" i="65"/>
  <c r="A10" i="65"/>
  <c r="H11" i="65"/>
  <c r="I9" i="65"/>
  <c r="H9" i="65" s="1"/>
  <c r="H19" i="48" s="1"/>
  <c r="G16" i="65"/>
  <c r="C9" i="65"/>
  <c r="A9" i="65"/>
  <c r="H24" i="48"/>
  <c r="E11" i="65"/>
  <c r="C11" i="65"/>
  <c r="A11" i="65"/>
  <c r="D109" i="68" l="1"/>
  <c r="H109" i="68" s="1"/>
  <c r="E109" i="68"/>
  <c r="F109" i="68"/>
  <c r="G109" i="68"/>
  <c r="E14" i="53" l="1"/>
  <c r="I37" i="65" l="1"/>
  <c r="D129" i="69" l="1"/>
  <c r="D78" i="69"/>
  <c r="I39" i="65" l="1"/>
  <c r="I16" i="65"/>
  <c r="I24" i="65"/>
  <c r="I23" i="65" l="1"/>
  <c r="I15" i="65" l="1"/>
  <c r="G129" i="69" l="1"/>
  <c r="H186" i="48" l="1"/>
  <c r="E52" i="70" l="1"/>
  <c r="E38" i="70"/>
  <c r="F79" i="69" l="1"/>
  <c r="G79" i="69"/>
  <c r="F129" i="69"/>
  <c r="F128" i="69" l="1"/>
  <c r="D128" i="69"/>
  <c r="F126" i="69"/>
  <c r="D126" i="69"/>
  <c r="E19" i="69"/>
  <c r="F75" i="69" l="1"/>
  <c r="F76" i="69"/>
  <c r="F77" i="69"/>
  <c r="D79" i="69"/>
  <c r="D76" i="69"/>
  <c r="D77" i="69"/>
  <c r="D75" i="69"/>
  <c r="F74" i="69"/>
  <c r="D74" i="69"/>
  <c r="D73" i="69"/>
  <c r="F73" i="69"/>
  <c r="F52" i="69"/>
  <c r="G52" i="69"/>
  <c r="F51" i="69"/>
  <c r="E52" i="69"/>
  <c r="E51" i="69"/>
  <c r="E50" i="69"/>
  <c r="F47" i="69"/>
  <c r="D47" i="69"/>
  <c r="D40" i="69" l="1"/>
  <c r="D31" i="69"/>
  <c r="G31" i="69"/>
  <c r="D39" i="69"/>
  <c r="D36" i="69"/>
  <c r="D34" i="69"/>
  <c r="D35" i="69"/>
  <c r="D33" i="69"/>
  <c r="D32" i="69"/>
  <c r="H155" i="48" l="1"/>
  <c r="CR55" i="72" l="1"/>
  <c r="CR56" i="72" l="1"/>
  <c r="H47" i="65" l="1"/>
  <c r="G41" i="65"/>
  <c r="D40" i="71" l="1"/>
  <c r="D42" i="71"/>
  <c r="D7" i="71"/>
  <c r="H51" i="48" l="1"/>
  <c r="CM133" i="72" l="1"/>
  <c r="CM134" i="72"/>
  <c r="H14" i="48" l="1"/>
  <c r="I30" i="65" l="1"/>
  <c r="H39" i="65" l="1"/>
  <c r="H149" i="48" s="1"/>
  <c r="H37" i="65"/>
  <c r="H146" i="48" s="1"/>
  <c r="H95" i="69" l="1"/>
  <c r="H96" i="69" s="1"/>
  <c r="CI51" i="72" l="1"/>
  <c r="CI31" i="72"/>
  <c r="CJ131" i="72" s="1"/>
  <c r="CJ132" i="72" s="1"/>
  <c r="CJ23" i="72"/>
  <c r="CK23" i="72" s="1"/>
  <c r="CL23" i="72" s="1"/>
  <c r="CJ51" i="72" l="1"/>
  <c r="CJ52" i="72" s="1"/>
  <c r="CJ53" i="72"/>
  <c r="CJ54" i="72" s="1"/>
  <c r="CJ55" i="72"/>
  <c r="CJ56" i="72" s="1"/>
  <c r="CJ57" i="72"/>
  <c r="CJ58" i="72" s="1"/>
  <c r="CJ59" i="72"/>
  <c r="CJ60" i="72" s="1"/>
  <c r="CJ61" i="72"/>
  <c r="CJ62" i="72" s="1"/>
  <c r="CJ63" i="72"/>
  <c r="CJ64" i="72" s="1"/>
  <c r="CJ65" i="72"/>
  <c r="CJ66" i="72" s="1"/>
  <c r="CJ67" i="72"/>
  <c r="CJ68" i="72" s="1"/>
  <c r="CJ69" i="72"/>
  <c r="CJ70" i="72" s="1"/>
  <c r="CJ71" i="72"/>
  <c r="CJ72" i="72" s="1"/>
  <c r="CJ73" i="72"/>
  <c r="CJ74" i="72" s="1"/>
  <c r="CJ75" i="72"/>
  <c r="CJ76" i="72" s="1"/>
  <c r="CJ77" i="72"/>
  <c r="CJ78" i="72" s="1"/>
  <c r="CJ79" i="72"/>
  <c r="CJ80" i="72" s="1"/>
  <c r="CJ81" i="72"/>
  <c r="CJ82" i="72" s="1"/>
  <c r="CJ83" i="72"/>
  <c r="CJ84" i="72" s="1"/>
  <c r="CJ85" i="72"/>
  <c r="CJ86" i="72" s="1"/>
  <c r="CJ87" i="72"/>
  <c r="CJ88" i="72" s="1"/>
  <c r="CJ89" i="72"/>
  <c r="CJ90" i="72" s="1"/>
  <c r="CJ91" i="72"/>
  <c r="CJ92" i="72" s="1"/>
  <c r="CJ93" i="72"/>
  <c r="CJ94" i="72" s="1"/>
  <c r="CJ95" i="72"/>
  <c r="CJ96" i="72" s="1"/>
  <c r="CJ97" i="72"/>
  <c r="CJ98" i="72" s="1"/>
  <c r="CJ99" i="72"/>
  <c r="CJ100" i="72" s="1"/>
  <c r="CJ101" i="72"/>
  <c r="CJ102" i="72" s="1"/>
  <c r="CJ103" i="72"/>
  <c r="CJ104" i="72" s="1"/>
  <c r="CJ105" i="72"/>
  <c r="CJ106" i="72" s="1"/>
  <c r="CJ107" i="72"/>
  <c r="CJ108" i="72" s="1"/>
  <c r="CJ109" i="72"/>
  <c r="CJ110" i="72" s="1"/>
  <c r="CJ111" i="72"/>
  <c r="CJ112" i="72" s="1"/>
  <c r="CJ113" i="72"/>
  <c r="CJ114" i="72" s="1"/>
  <c r="CJ115" i="72"/>
  <c r="CJ116" i="72" s="1"/>
  <c r="CJ117" i="72"/>
  <c r="CJ118" i="72" s="1"/>
  <c r="CJ119" i="72"/>
  <c r="CJ120" i="72" s="1"/>
  <c r="CJ121" i="72"/>
  <c r="CJ122" i="72" s="1"/>
  <c r="CJ123" i="72"/>
  <c r="CJ124" i="72" s="1"/>
  <c r="CJ125" i="72"/>
  <c r="CJ126" i="72" s="1"/>
  <c r="CJ127" i="72"/>
  <c r="CJ128" i="72" s="1"/>
  <c r="CJ129" i="72"/>
  <c r="CJ130" i="72" s="1"/>
  <c r="CK51" i="72" l="1"/>
  <c r="CI52" i="72"/>
  <c r="CK52" i="72" s="1"/>
  <c r="CI53" i="72" l="1"/>
  <c r="CI54" i="72" l="1"/>
  <c r="CK54" i="72" s="1"/>
  <c r="CK53" i="72"/>
  <c r="CI55" i="72" l="1"/>
  <c r="CI56" i="72" l="1"/>
  <c r="CK56" i="72" s="1"/>
  <c r="CK55" i="72"/>
  <c r="CI57" i="72" l="1"/>
  <c r="CI58" i="72" l="1"/>
  <c r="CK58" i="72" s="1"/>
  <c r="CK57" i="72"/>
  <c r="CI59" i="72" l="1"/>
  <c r="CI60" i="72" l="1"/>
  <c r="CK60" i="72" s="1"/>
  <c r="CK59" i="72"/>
  <c r="CI61" i="72" l="1"/>
  <c r="CI62" i="72" l="1"/>
  <c r="CK62" i="72" s="1"/>
  <c r="CK61" i="72"/>
  <c r="CI63" i="72" l="1"/>
  <c r="CI64" i="72" l="1"/>
  <c r="CK64" i="72" s="1"/>
  <c r="CK63" i="72"/>
  <c r="CI65" i="72" l="1"/>
  <c r="CI66" i="72" l="1"/>
  <c r="CK66" i="72" s="1"/>
  <c r="CK65" i="72"/>
  <c r="CI67" i="72" l="1"/>
  <c r="CI68" i="72" l="1"/>
  <c r="CK68" i="72" s="1"/>
  <c r="CK67" i="72"/>
  <c r="CI69" i="72" l="1"/>
  <c r="CI70" i="72" l="1"/>
  <c r="CK70" i="72" s="1"/>
  <c r="CK69" i="72"/>
  <c r="CI71" i="72" l="1"/>
  <c r="CI72" i="72" l="1"/>
  <c r="CK72" i="72" s="1"/>
  <c r="CK71" i="72"/>
  <c r="CI73" i="72" l="1"/>
  <c r="CI74" i="72" l="1"/>
  <c r="CK74" i="72" s="1"/>
  <c r="CK73" i="72"/>
  <c r="CI75" i="72" l="1"/>
  <c r="CI76" i="72" l="1"/>
  <c r="CK76" i="72" s="1"/>
  <c r="CK75" i="72"/>
  <c r="CI77" i="72" l="1"/>
  <c r="CI78" i="72" l="1"/>
  <c r="CK78" i="72" s="1"/>
  <c r="CK77" i="72"/>
  <c r="CI79" i="72" l="1"/>
  <c r="CI80" i="72" l="1"/>
  <c r="CK80" i="72" s="1"/>
  <c r="CK79" i="72"/>
  <c r="CI81" i="72" l="1"/>
  <c r="CI82" i="72" l="1"/>
  <c r="CK82" i="72" s="1"/>
  <c r="CK81" i="72"/>
  <c r="CI83" i="72" l="1"/>
  <c r="CI84" i="72" l="1"/>
  <c r="CK84" i="72" s="1"/>
  <c r="CK83" i="72"/>
  <c r="CI85" i="72" l="1"/>
  <c r="CI86" i="72" l="1"/>
  <c r="CK86" i="72" s="1"/>
  <c r="CK85" i="72"/>
  <c r="CI87" i="72" l="1"/>
  <c r="CI88" i="72" l="1"/>
  <c r="CK88" i="72" s="1"/>
  <c r="CK87" i="72"/>
  <c r="CI89" i="72" l="1"/>
  <c r="CI90" i="72" l="1"/>
  <c r="CK90" i="72" s="1"/>
  <c r="CK89" i="72"/>
  <c r="CI91" i="72" l="1"/>
  <c r="CI92" i="72" l="1"/>
  <c r="CK92" i="72" s="1"/>
  <c r="CK91" i="72"/>
  <c r="CI93" i="72" l="1"/>
  <c r="CI94" i="72" l="1"/>
  <c r="CK94" i="72" s="1"/>
  <c r="CK93" i="72"/>
  <c r="CI95" i="72" l="1"/>
  <c r="CI96" i="72" l="1"/>
  <c r="CK96" i="72" s="1"/>
  <c r="CK95" i="72"/>
  <c r="CI97" i="72" l="1"/>
  <c r="CI98" i="72" l="1"/>
  <c r="CK98" i="72" s="1"/>
  <c r="CK97" i="72"/>
  <c r="CI99" i="72" l="1"/>
  <c r="CI100" i="72" l="1"/>
  <c r="CK100" i="72" s="1"/>
  <c r="CK99" i="72"/>
  <c r="CI101" i="72" l="1"/>
  <c r="CI102" i="72" l="1"/>
  <c r="CK102" i="72" s="1"/>
  <c r="CK101" i="72"/>
  <c r="CI103" i="72" l="1"/>
  <c r="CI104" i="72" l="1"/>
  <c r="CK104" i="72" s="1"/>
  <c r="CK103" i="72"/>
  <c r="CI105" i="72" l="1"/>
  <c r="CI106" i="72" l="1"/>
  <c r="CK106" i="72" s="1"/>
  <c r="CK105" i="72"/>
  <c r="CI107" i="72" l="1"/>
  <c r="CI108" i="72" l="1"/>
  <c r="CK108" i="72" s="1"/>
  <c r="CK107" i="72"/>
  <c r="CI109" i="72" l="1"/>
  <c r="CI110" i="72" l="1"/>
  <c r="CK110" i="72" s="1"/>
  <c r="CK109" i="72"/>
  <c r="CI111" i="72" l="1"/>
  <c r="CI112" i="72" l="1"/>
  <c r="CK112" i="72" s="1"/>
  <c r="CK111" i="72"/>
  <c r="CI113" i="72" l="1"/>
  <c r="CI114" i="72" l="1"/>
  <c r="CK114" i="72" s="1"/>
  <c r="CK113" i="72"/>
  <c r="CI115" i="72" l="1"/>
  <c r="CI116" i="72" l="1"/>
  <c r="CK116" i="72" s="1"/>
  <c r="CK115" i="72"/>
  <c r="CI117" i="72" l="1"/>
  <c r="CI118" i="72" l="1"/>
  <c r="CK118" i="72" s="1"/>
  <c r="CK117" i="72"/>
  <c r="CI119" i="72" l="1"/>
  <c r="CI120" i="72" l="1"/>
  <c r="CK120" i="72" s="1"/>
  <c r="CK119" i="72"/>
  <c r="CI121" i="72" l="1"/>
  <c r="CI122" i="72" l="1"/>
  <c r="CK122" i="72" s="1"/>
  <c r="CK121" i="72"/>
  <c r="CI123" i="72" l="1"/>
  <c r="CI124" i="72" l="1"/>
  <c r="CK124" i="72" s="1"/>
  <c r="CK123" i="72"/>
  <c r="CI125" i="72" l="1"/>
  <c r="CI126" i="72" l="1"/>
  <c r="CK126" i="72" s="1"/>
  <c r="CK125" i="72"/>
  <c r="CI127" i="72" l="1"/>
  <c r="CI128" i="72" l="1"/>
  <c r="CK128" i="72" s="1"/>
  <c r="CK127" i="72"/>
  <c r="CI129" i="72" l="1"/>
  <c r="CI130" i="72" l="1"/>
  <c r="CK130" i="72" s="1"/>
  <c r="CK129" i="72"/>
  <c r="CI131" i="72" l="1"/>
  <c r="CI132" i="72" l="1"/>
  <c r="CK132" i="72" s="1"/>
  <c r="CK131" i="72"/>
  <c r="H30" i="65" l="1"/>
  <c r="CR31" i="72" l="1"/>
  <c r="E13" i="65"/>
  <c r="A13" i="65"/>
  <c r="CS55" i="72" l="1"/>
  <c r="CS57" i="72"/>
  <c r="CS58" i="72" s="1"/>
  <c r="CS75" i="72"/>
  <c r="CS76" i="72" s="1"/>
  <c r="CS59" i="72"/>
  <c r="CA49" i="72"/>
  <c r="CA50" i="72" s="1"/>
  <c r="CA31" i="72"/>
  <c r="CB131" i="72" s="1"/>
  <c r="CB132" i="72" s="1"/>
  <c r="CS61" i="72" l="1"/>
  <c r="CS62" i="72" s="1"/>
  <c r="CS63" i="72" s="1"/>
  <c r="CS60" i="72"/>
  <c r="CS56" i="72"/>
  <c r="CT56" i="72" s="1"/>
  <c r="CR57" i="72" s="1"/>
  <c r="CT55" i="72"/>
  <c r="CB49" i="72"/>
  <c r="CB50" i="72" s="1"/>
  <c r="CC50" i="72" s="1"/>
  <c r="CB51" i="72"/>
  <c r="CB52" i="72" s="1"/>
  <c r="CB53" i="72"/>
  <c r="CB54" i="72" s="1"/>
  <c r="CB55" i="72"/>
  <c r="CB56" i="72" s="1"/>
  <c r="CB57" i="72"/>
  <c r="CB58" i="72" s="1"/>
  <c r="CB59" i="72"/>
  <c r="CB60" i="72" s="1"/>
  <c r="CB61" i="72"/>
  <c r="CB62" i="72" s="1"/>
  <c r="CB63" i="72"/>
  <c r="CB64" i="72" s="1"/>
  <c r="CB65" i="72"/>
  <c r="CB66" i="72" s="1"/>
  <c r="CB67" i="72"/>
  <c r="CB68" i="72" s="1"/>
  <c r="CB69" i="72"/>
  <c r="CB70" i="72" s="1"/>
  <c r="CB71" i="72"/>
  <c r="CB72" i="72" s="1"/>
  <c r="CB73" i="72"/>
  <c r="CB74" i="72" s="1"/>
  <c r="CB75" i="72"/>
  <c r="CB76" i="72" s="1"/>
  <c r="CB77" i="72"/>
  <c r="CB78" i="72" s="1"/>
  <c r="CB79" i="72"/>
  <c r="CB80" i="72" s="1"/>
  <c r="CB81" i="72"/>
  <c r="CB82" i="72" s="1"/>
  <c r="CB83" i="72"/>
  <c r="CB84" i="72" s="1"/>
  <c r="CB85" i="72"/>
  <c r="CB86" i="72" s="1"/>
  <c r="CB87" i="72"/>
  <c r="CB88" i="72" s="1"/>
  <c r="CB89" i="72"/>
  <c r="CB90" i="72" s="1"/>
  <c r="CB91" i="72"/>
  <c r="CB92" i="72" s="1"/>
  <c r="CB93" i="72"/>
  <c r="CB94" i="72" s="1"/>
  <c r="CB95" i="72"/>
  <c r="CB96" i="72" s="1"/>
  <c r="CB97" i="72"/>
  <c r="CB98" i="72" s="1"/>
  <c r="CB99" i="72"/>
  <c r="CB100" i="72" s="1"/>
  <c r="CB101" i="72"/>
  <c r="CB102" i="72" s="1"/>
  <c r="CB103" i="72"/>
  <c r="CB104" i="72" s="1"/>
  <c r="CB105" i="72"/>
  <c r="CB106" i="72" s="1"/>
  <c r="CB107" i="72"/>
  <c r="CB108" i="72" s="1"/>
  <c r="CB109" i="72"/>
  <c r="CB110" i="72" s="1"/>
  <c r="CB111" i="72"/>
  <c r="CB112" i="72" s="1"/>
  <c r="CB113" i="72"/>
  <c r="CB114" i="72" s="1"/>
  <c r="CB115" i="72"/>
  <c r="CB116" i="72" s="1"/>
  <c r="CB117" i="72"/>
  <c r="CB118" i="72" s="1"/>
  <c r="CB119" i="72"/>
  <c r="CB120" i="72" s="1"/>
  <c r="CB121" i="72"/>
  <c r="CB122" i="72" s="1"/>
  <c r="CB123" i="72"/>
  <c r="CB124" i="72" s="1"/>
  <c r="CB125" i="72"/>
  <c r="CB126" i="72" s="1"/>
  <c r="CB127" i="72"/>
  <c r="CB128" i="72" s="1"/>
  <c r="CB129" i="72"/>
  <c r="CB130" i="72" s="1"/>
  <c r="CC49" i="72"/>
  <c r="CT57" i="72" l="1"/>
  <c r="CR58" i="72"/>
  <c r="CT58" i="72" s="1"/>
  <c r="CR59" i="72" s="1"/>
  <c r="CS65" i="72"/>
  <c r="CS66" i="72" s="1"/>
  <c r="CS67" i="72" s="1"/>
  <c r="CS68" i="72" s="1"/>
  <c r="CS69" i="72" s="1"/>
  <c r="CS70" i="72" s="1"/>
  <c r="CS71" i="72" s="1"/>
  <c r="CS72" i="72" s="1"/>
  <c r="CS73" i="72" s="1"/>
  <c r="CS74" i="72" s="1"/>
  <c r="CS64" i="72"/>
  <c r="CA51" i="72"/>
  <c r="CR60" i="72" l="1"/>
  <c r="CT60" i="72" s="1"/>
  <c r="CR61" i="72" s="1"/>
  <c r="CT59" i="72"/>
  <c r="CA52" i="72"/>
  <c r="CC52" i="72" s="1"/>
  <c r="CC51" i="72"/>
  <c r="CR62" i="72" l="1"/>
  <c r="CT62" i="72" s="1"/>
  <c r="CR63" i="72" s="1"/>
  <c r="CT61" i="72"/>
  <c r="CA53" i="72"/>
  <c r="CT63" i="72" l="1"/>
  <c r="CR64" i="72"/>
  <c r="CT64" i="72" s="1"/>
  <c r="CR65" i="72" s="1"/>
  <c r="CA54" i="72"/>
  <c r="CC54" i="72" s="1"/>
  <c r="CC53" i="72"/>
  <c r="CT65" i="72" l="1"/>
  <c r="CR66" i="72"/>
  <c r="CT66" i="72" s="1"/>
  <c r="CR67" i="72" s="1"/>
  <c r="CA55" i="72"/>
  <c r="CT67" i="72" l="1"/>
  <c r="CR68" i="72"/>
  <c r="CT68" i="72" s="1"/>
  <c r="CR69" i="72" s="1"/>
  <c r="CA56" i="72"/>
  <c r="CC56" i="72" s="1"/>
  <c r="CC55" i="72"/>
  <c r="CT69" i="72" l="1"/>
  <c r="CR70" i="72"/>
  <c r="CT70" i="72" s="1"/>
  <c r="CR71" i="72" s="1"/>
  <c r="CA57" i="72"/>
  <c r="CT71" i="72" l="1"/>
  <c r="CR72" i="72"/>
  <c r="CT72" i="72" s="1"/>
  <c r="CR73" i="72" s="1"/>
  <c r="CA58" i="72"/>
  <c r="CC58" i="72" s="1"/>
  <c r="CC57" i="72"/>
  <c r="CT73" i="72" l="1"/>
  <c r="CR74" i="72"/>
  <c r="CT74" i="72" s="1"/>
  <c r="CR75" i="72" s="1"/>
  <c r="CA59" i="72"/>
  <c r="CT75" i="72" l="1"/>
  <c r="CR76" i="72"/>
  <c r="CT76" i="72" s="1"/>
  <c r="CA60" i="72"/>
  <c r="CC60" i="72" s="1"/>
  <c r="CC59" i="72"/>
  <c r="CA61" i="72" l="1"/>
  <c r="CA62" i="72" l="1"/>
  <c r="CC62" i="72" s="1"/>
  <c r="CC61" i="72"/>
  <c r="CA63" i="72" l="1"/>
  <c r="CA64" i="72" l="1"/>
  <c r="CC64" i="72" s="1"/>
  <c r="CC63" i="72"/>
  <c r="CA65" i="72" l="1"/>
  <c r="CA66" i="72" l="1"/>
  <c r="CC66" i="72" s="1"/>
  <c r="CC65" i="72"/>
  <c r="CA67" i="72" l="1"/>
  <c r="CA68" i="72" l="1"/>
  <c r="CC68" i="72" s="1"/>
  <c r="CC67" i="72"/>
  <c r="CA69" i="72" l="1"/>
  <c r="CA70" i="72" l="1"/>
  <c r="CC70" i="72" s="1"/>
  <c r="CC69" i="72"/>
  <c r="CA71" i="72" l="1"/>
  <c r="CA72" i="72" l="1"/>
  <c r="CC72" i="72" s="1"/>
  <c r="CC71" i="72"/>
  <c r="CA73" i="72" l="1"/>
  <c r="CA74" i="72" l="1"/>
  <c r="CC74" i="72" s="1"/>
  <c r="CC73" i="72"/>
  <c r="CA75" i="72" l="1"/>
  <c r="CA76" i="72" l="1"/>
  <c r="CC76" i="72" s="1"/>
  <c r="CC75" i="72"/>
  <c r="CA77" i="72" l="1"/>
  <c r="CA78" i="72" l="1"/>
  <c r="CC78" i="72" s="1"/>
  <c r="CC77" i="72"/>
  <c r="CA79" i="72" l="1"/>
  <c r="CA80" i="72" l="1"/>
  <c r="CC80" i="72" s="1"/>
  <c r="CC79" i="72"/>
  <c r="CA81" i="72" l="1"/>
  <c r="CA82" i="72" l="1"/>
  <c r="CC82" i="72" s="1"/>
  <c r="CC81" i="72"/>
  <c r="CA83" i="72" l="1"/>
  <c r="CA84" i="72" l="1"/>
  <c r="CC84" i="72" s="1"/>
  <c r="CC83" i="72"/>
  <c r="CA85" i="72" l="1"/>
  <c r="CA86" i="72" l="1"/>
  <c r="CC86" i="72" s="1"/>
  <c r="CC85" i="72"/>
  <c r="CA87" i="72" l="1"/>
  <c r="CA88" i="72" l="1"/>
  <c r="CC88" i="72" s="1"/>
  <c r="CC87" i="72"/>
  <c r="CA89" i="72" l="1"/>
  <c r="CA90" i="72" l="1"/>
  <c r="CC90" i="72" s="1"/>
  <c r="CC89" i="72"/>
  <c r="CA91" i="72" l="1"/>
  <c r="CA92" i="72" l="1"/>
  <c r="CC92" i="72" s="1"/>
  <c r="CC91" i="72"/>
  <c r="CA93" i="72" l="1"/>
  <c r="CA94" i="72" l="1"/>
  <c r="CC94" i="72" s="1"/>
  <c r="CC93" i="72"/>
  <c r="CA95" i="72" l="1"/>
  <c r="CA96" i="72" l="1"/>
  <c r="CC96" i="72" s="1"/>
  <c r="CC95" i="72"/>
  <c r="CA97" i="72" l="1"/>
  <c r="CA98" i="72" l="1"/>
  <c r="CC98" i="72" s="1"/>
  <c r="CC97" i="72"/>
  <c r="CA99" i="72" l="1"/>
  <c r="CA100" i="72" l="1"/>
  <c r="CC100" i="72" s="1"/>
  <c r="CC99" i="72"/>
  <c r="CA101" i="72" l="1"/>
  <c r="CA102" i="72" l="1"/>
  <c r="CC102" i="72" s="1"/>
  <c r="CC101" i="72"/>
  <c r="CA103" i="72" l="1"/>
  <c r="CA104" i="72" l="1"/>
  <c r="CC104" i="72" s="1"/>
  <c r="CC103" i="72"/>
  <c r="CA105" i="72" l="1"/>
  <c r="CA106" i="72" l="1"/>
  <c r="CC106" i="72" s="1"/>
  <c r="CC105" i="72"/>
  <c r="CA107" i="72" l="1"/>
  <c r="CA108" i="72" l="1"/>
  <c r="CC108" i="72" s="1"/>
  <c r="CC107" i="72"/>
  <c r="CA109" i="72" l="1"/>
  <c r="CA110" i="72" l="1"/>
  <c r="CC110" i="72" s="1"/>
  <c r="CC109" i="72"/>
  <c r="CA111" i="72" l="1"/>
  <c r="CA112" i="72" l="1"/>
  <c r="CC112" i="72" s="1"/>
  <c r="CC111" i="72"/>
  <c r="CA113" i="72" l="1"/>
  <c r="CA114" i="72" l="1"/>
  <c r="CC114" i="72" s="1"/>
  <c r="CC113" i="72"/>
  <c r="CA115" i="72" l="1"/>
  <c r="CA116" i="72" l="1"/>
  <c r="CC116" i="72" s="1"/>
  <c r="CC115" i="72"/>
  <c r="CA117" i="72" l="1"/>
  <c r="CA118" i="72" l="1"/>
  <c r="CC118" i="72" s="1"/>
  <c r="CC117" i="72"/>
  <c r="CA119" i="72" l="1"/>
  <c r="CA120" i="72" l="1"/>
  <c r="CC120" i="72" s="1"/>
  <c r="CC119" i="72"/>
  <c r="CA121" i="72" l="1"/>
  <c r="CA122" i="72" l="1"/>
  <c r="CC122" i="72" s="1"/>
  <c r="CC121" i="72"/>
  <c r="CA123" i="72" l="1"/>
  <c r="CA124" i="72" l="1"/>
  <c r="CC124" i="72" s="1"/>
  <c r="CC123" i="72"/>
  <c r="CA125" i="72" l="1"/>
  <c r="CA126" i="72" l="1"/>
  <c r="CC126" i="72" s="1"/>
  <c r="CC125" i="72"/>
  <c r="CA127" i="72" l="1"/>
  <c r="CA128" i="72" l="1"/>
  <c r="CC128" i="72" s="1"/>
  <c r="CC127" i="72"/>
  <c r="CA129" i="72" l="1"/>
  <c r="CA130" i="72" l="1"/>
  <c r="CC130" i="72" s="1"/>
  <c r="CC129" i="72"/>
  <c r="CA131" i="72" l="1"/>
  <c r="CA132" i="72" l="1"/>
  <c r="CC132" i="72" s="1"/>
  <c r="CC131" i="72"/>
  <c r="E116" i="68" l="1"/>
  <c r="E117" i="68" s="1"/>
  <c r="E118" i="68" s="1"/>
  <c r="E119" i="68" s="1"/>
  <c r="E120" i="68" s="1"/>
  <c r="E121" i="68" s="1"/>
  <c r="E122" i="68" s="1"/>
  <c r="E123" i="68" s="1"/>
  <c r="E124" i="68" s="1"/>
  <c r="E125" i="68" s="1"/>
  <c r="E126" i="68" s="1"/>
  <c r="CF23" i="72"/>
  <c r="CG23" i="72" s="1"/>
  <c r="CH23" i="72" s="1"/>
  <c r="BW49" i="72"/>
  <c r="BW50" i="72" s="1"/>
  <c r="BW31" i="72"/>
  <c r="BX131" i="72" s="1"/>
  <c r="BX132" i="72" s="1"/>
  <c r="BX23" i="72"/>
  <c r="BY23" i="72" s="1"/>
  <c r="BZ23" i="72" s="1"/>
  <c r="CE31" i="72"/>
  <c r="BX49" i="72" l="1"/>
  <c r="BX50" i="72" s="1"/>
  <c r="BY50" i="72" s="1"/>
  <c r="BX51" i="72"/>
  <c r="BX52" i="72" s="1"/>
  <c r="BX53" i="72"/>
  <c r="BX54" i="72" s="1"/>
  <c r="BX55" i="72"/>
  <c r="BX56" i="72" s="1"/>
  <c r="BX57" i="72"/>
  <c r="BX58" i="72" s="1"/>
  <c r="BX59" i="72"/>
  <c r="BX60" i="72" s="1"/>
  <c r="BX61" i="72"/>
  <c r="BX62" i="72" s="1"/>
  <c r="BX63" i="72"/>
  <c r="BX64" i="72" s="1"/>
  <c r="BX65" i="72"/>
  <c r="BX66" i="72" s="1"/>
  <c r="BX67" i="72"/>
  <c r="BX68" i="72" s="1"/>
  <c r="BX69" i="72"/>
  <c r="BX70" i="72" s="1"/>
  <c r="BX71" i="72"/>
  <c r="BX72" i="72" s="1"/>
  <c r="BX73" i="72"/>
  <c r="BX74" i="72" s="1"/>
  <c r="BX75" i="72"/>
  <c r="BX76" i="72" s="1"/>
  <c r="BX77" i="72"/>
  <c r="BX78" i="72" s="1"/>
  <c r="BX79" i="72"/>
  <c r="BX80" i="72" s="1"/>
  <c r="BX81" i="72"/>
  <c r="BX82" i="72" s="1"/>
  <c r="BX83" i="72"/>
  <c r="BX84" i="72" s="1"/>
  <c r="BX85" i="72"/>
  <c r="BX86" i="72" s="1"/>
  <c r="BX87" i="72"/>
  <c r="BX88" i="72" s="1"/>
  <c r="BX89" i="72"/>
  <c r="BX90" i="72" s="1"/>
  <c r="BX91" i="72"/>
  <c r="BX92" i="72" s="1"/>
  <c r="BX93" i="72"/>
  <c r="BX94" i="72" s="1"/>
  <c r="BX95" i="72"/>
  <c r="BX96" i="72" s="1"/>
  <c r="BX97" i="72"/>
  <c r="BX98" i="72" s="1"/>
  <c r="BX99" i="72"/>
  <c r="BX100" i="72" s="1"/>
  <c r="BX101" i="72"/>
  <c r="BX102" i="72" s="1"/>
  <c r="BX103" i="72"/>
  <c r="BX104" i="72" s="1"/>
  <c r="BX105" i="72"/>
  <c r="BX106" i="72" s="1"/>
  <c r="BX107" i="72"/>
  <c r="BX108" i="72" s="1"/>
  <c r="BX109" i="72"/>
  <c r="BX110" i="72" s="1"/>
  <c r="BX111" i="72"/>
  <c r="BX112" i="72" s="1"/>
  <c r="BX113" i="72"/>
  <c r="BX114" i="72" s="1"/>
  <c r="BX115" i="72"/>
  <c r="BX116" i="72" s="1"/>
  <c r="BX117" i="72"/>
  <c r="BX118" i="72" s="1"/>
  <c r="BX119" i="72"/>
  <c r="BX120" i="72" s="1"/>
  <c r="BX121" i="72"/>
  <c r="BX122" i="72" s="1"/>
  <c r="BX123" i="72"/>
  <c r="BX124" i="72" s="1"/>
  <c r="BX125" i="72"/>
  <c r="BX126" i="72" s="1"/>
  <c r="BX127" i="72"/>
  <c r="BX128" i="72" s="1"/>
  <c r="BX129" i="72"/>
  <c r="BX130" i="72" s="1"/>
  <c r="BY49" i="72"/>
  <c r="BW51" i="72" l="1"/>
  <c r="BW52" i="72" l="1"/>
  <c r="BY52" i="72" s="1"/>
  <c r="BY51" i="72"/>
  <c r="BW53" i="72" l="1"/>
  <c r="BW54" i="72" l="1"/>
  <c r="BY54" i="72" s="1"/>
  <c r="BY53" i="72"/>
  <c r="BW55" i="72" l="1"/>
  <c r="BW56" i="72" l="1"/>
  <c r="BY56" i="72" s="1"/>
  <c r="BY55" i="72"/>
  <c r="BW57" i="72" l="1"/>
  <c r="BW58" i="72" l="1"/>
  <c r="BY58" i="72" s="1"/>
  <c r="BY57" i="72"/>
  <c r="BW59" i="72" l="1"/>
  <c r="BW60" i="72" l="1"/>
  <c r="BY60" i="72" s="1"/>
  <c r="BY59" i="72"/>
  <c r="BW61" i="72" l="1"/>
  <c r="BW62" i="72" l="1"/>
  <c r="BY62" i="72" s="1"/>
  <c r="BY61" i="72"/>
  <c r="BW63" i="72" l="1"/>
  <c r="BW64" i="72" l="1"/>
  <c r="BY64" i="72" s="1"/>
  <c r="BY63" i="72"/>
  <c r="BW65" i="72" l="1"/>
  <c r="BW66" i="72" l="1"/>
  <c r="BY66" i="72" s="1"/>
  <c r="BY65" i="72"/>
  <c r="BW67" i="72" l="1"/>
  <c r="BW68" i="72" l="1"/>
  <c r="BY68" i="72" s="1"/>
  <c r="BY67" i="72"/>
  <c r="BW69" i="72" l="1"/>
  <c r="BW70" i="72" l="1"/>
  <c r="BY70" i="72" s="1"/>
  <c r="BY69" i="72"/>
  <c r="BW71" i="72" l="1"/>
  <c r="BW72" i="72" l="1"/>
  <c r="BY72" i="72" s="1"/>
  <c r="BY71" i="72"/>
  <c r="BW73" i="72" l="1"/>
  <c r="BW74" i="72" l="1"/>
  <c r="BY74" i="72" s="1"/>
  <c r="BY73" i="72"/>
  <c r="BW75" i="72" l="1"/>
  <c r="BW76" i="72" l="1"/>
  <c r="BY76" i="72" s="1"/>
  <c r="BY75" i="72"/>
  <c r="BW77" i="72" l="1"/>
  <c r="BW78" i="72" l="1"/>
  <c r="BY78" i="72" s="1"/>
  <c r="BY77" i="72"/>
  <c r="BW79" i="72" l="1"/>
  <c r="BW80" i="72" l="1"/>
  <c r="BY80" i="72" s="1"/>
  <c r="BY79" i="72"/>
  <c r="BW81" i="72" l="1"/>
  <c r="BW82" i="72" l="1"/>
  <c r="BY82" i="72" s="1"/>
  <c r="BY81" i="72"/>
  <c r="BW83" i="72" l="1"/>
  <c r="BW84" i="72" l="1"/>
  <c r="BY84" i="72" s="1"/>
  <c r="BY83" i="72"/>
  <c r="BW85" i="72" l="1"/>
  <c r="BW86" i="72" l="1"/>
  <c r="BY86" i="72" s="1"/>
  <c r="BY85" i="72"/>
  <c r="BW87" i="72" l="1"/>
  <c r="BW88" i="72" l="1"/>
  <c r="BY88" i="72" s="1"/>
  <c r="BY87" i="72"/>
  <c r="BW89" i="72" l="1"/>
  <c r="BW90" i="72" l="1"/>
  <c r="BY90" i="72" s="1"/>
  <c r="BY89" i="72"/>
  <c r="BW91" i="72" l="1"/>
  <c r="BW92" i="72" l="1"/>
  <c r="BY92" i="72" s="1"/>
  <c r="BY91" i="72"/>
  <c r="BW93" i="72" l="1"/>
  <c r="BW94" i="72" l="1"/>
  <c r="BY94" i="72" s="1"/>
  <c r="BY93" i="72"/>
  <c r="BW95" i="72" l="1"/>
  <c r="BW96" i="72" l="1"/>
  <c r="BY96" i="72" s="1"/>
  <c r="BY95" i="72"/>
  <c r="BW97" i="72" l="1"/>
  <c r="BW98" i="72" l="1"/>
  <c r="BY98" i="72" s="1"/>
  <c r="BY97" i="72"/>
  <c r="BW99" i="72" l="1"/>
  <c r="BW100" i="72" l="1"/>
  <c r="BY100" i="72" s="1"/>
  <c r="BY99" i="72"/>
  <c r="BW101" i="72" l="1"/>
  <c r="BW102" i="72" l="1"/>
  <c r="BY102" i="72" s="1"/>
  <c r="BY101" i="72"/>
  <c r="BW103" i="72" l="1"/>
  <c r="BW104" i="72" l="1"/>
  <c r="BY104" i="72" s="1"/>
  <c r="BY103" i="72"/>
  <c r="BW105" i="72" l="1"/>
  <c r="BW106" i="72" l="1"/>
  <c r="BY106" i="72" s="1"/>
  <c r="BY105" i="72"/>
  <c r="BW107" i="72" l="1"/>
  <c r="BW108" i="72" l="1"/>
  <c r="BY108" i="72" s="1"/>
  <c r="BY107" i="72"/>
  <c r="BW109" i="72" l="1"/>
  <c r="BW110" i="72" l="1"/>
  <c r="BY110" i="72" s="1"/>
  <c r="BY109" i="72"/>
  <c r="BW111" i="72" l="1"/>
  <c r="BW112" i="72" l="1"/>
  <c r="BY112" i="72" s="1"/>
  <c r="BY111" i="72"/>
  <c r="BW113" i="72" l="1"/>
  <c r="BW114" i="72" l="1"/>
  <c r="BY114" i="72" s="1"/>
  <c r="BY113" i="72"/>
  <c r="BW115" i="72" l="1"/>
  <c r="BW116" i="72" l="1"/>
  <c r="BY116" i="72" s="1"/>
  <c r="BY115" i="72"/>
  <c r="BW117" i="72" l="1"/>
  <c r="BW118" i="72" l="1"/>
  <c r="BY118" i="72" s="1"/>
  <c r="BY117" i="72"/>
  <c r="BW119" i="72" l="1"/>
  <c r="BW120" i="72" l="1"/>
  <c r="BY120" i="72" s="1"/>
  <c r="BY119" i="72"/>
  <c r="BW121" i="72" l="1"/>
  <c r="BW122" i="72" l="1"/>
  <c r="BY122" i="72" s="1"/>
  <c r="BY121" i="72"/>
  <c r="BW123" i="72" l="1"/>
  <c r="BW124" i="72" l="1"/>
  <c r="BY124" i="72" s="1"/>
  <c r="BY123" i="72"/>
  <c r="BW125" i="72" l="1"/>
  <c r="BW126" i="72" l="1"/>
  <c r="BY126" i="72" s="1"/>
  <c r="BY125" i="72"/>
  <c r="BW127" i="72" l="1"/>
  <c r="BW128" i="72" l="1"/>
  <c r="BY128" i="72" s="1"/>
  <c r="BY127" i="72"/>
  <c r="BW129" i="72" l="1"/>
  <c r="BW130" i="72" l="1"/>
  <c r="BY130" i="72" s="1"/>
  <c r="BY129" i="72"/>
  <c r="BW131" i="72" l="1"/>
  <c r="BW132" i="72" l="1"/>
  <c r="BY132" i="72" s="1"/>
  <c r="BY131" i="72"/>
  <c r="H16" i="65" l="1"/>
  <c r="CE49" i="72" l="1"/>
  <c r="CF131" i="72"/>
  <c r="CF132" i="72" s="1"/>
  <c r="CF49" i="72" l="1"/>
  <c r="CG49" i="72" s="1"/>
  <c r="CF51" i="72"/>
  <c r="CF52" i="72" s="1"/>
  <c r="CF53" i="72"/>
  <c r="CF54" i="72" s="1"/>
  <c r="CF55" i="72"/>
  <c r="CF56" i="72" s="1"/>
  <c r="CF57" i="72"/>
  <c r="CF58" i="72" s="1"/>
  <c r="CF59" i="72"/>
  <c r="CF60" i="72" s="1"/>
  <c r="CF61" i="72"/>
  <c r="CF62" i="72" s="1"/>
  <c r="CF63" i="72"/>
  <c r="CF64" i="72" s="1"/>
  <c r="CF65" i="72"/>
  <c r="CF66" i="72" s="1"/>
  <c r="CF67" i="72"/>
  <c r="CF68" i="72" s="1"/>
  <c r="CF69" i="72"/>
  <c r="CF70" i="72" s="1"/>
  <c r="CF71" i="72"/>
  <c r="CF72" i="72" s="1"/>
  <c r="CF73" i="72"/>
  <c r="CF74" i="72" s="1"/>
  <c r="CF75" i="72"/>
  <c r="CF76" i="72" s="1"/>
  <c r="CF77" i="72"/>
  <c r="CF78" i="72" s="1"/>
  <c r="CF79" i="72"/>
  <c r="CF80" i="72" s="1"/>
  <c r="CF81" i="72"/>
  <c r="CF82" i="72" s="1"/>
  <c r="CF83" i="72"/>
  <c r="CF84" i="72" s="1"/>
  <c r="CF85" i="72"/>
  <c r="CF86" i="72" s="1"/>
  <c r="CF87" i="72"/>
  <c r="CF88" i="72" s="1"/>
  <c r="CF89" i="72"/>
  <c r="CF90" i="72" s="1"/>
  <c r="CF91" i="72"/>
  <c r="CF92" i="72" s="1"/>
  <c r="CF93" i="72"/>
  <c r="CF94" i="72" s="1"/>
  <c r="CF95" i="72"/>
  <c r="CF96" i="72" s="1"/>
  <c r="CF97" i="72"/>
  <c r="CF98" i="72" s="1"/>
  <c r="CF99" i="72"/>
  <c r="CF100" i="72" s="1"/>
  <c r="CF101" i="72"/>
  <c r="CF102" i="72" s="1"/>
  <c r="CF103" i="72"/>
  <c r="CF104" i="72" s="1"/>
  <c r="CF105" i="72"/>
  <c r="CF106" i="72" s="1"/>
  <c r="CF107" i="72"/>
  <c r="CF108" i="72" s="1"/>
  <c r="CF109" i="72"/>
  <c r="CF110" i="72" s="1"/>
  <c r="CF111" i="72"/>
  <c r="CF112" i="72" s="1"/>
  <c r="CF113" i="72"/>
  <c r="CF114" i="72" s="1"/>
  <c r="CF115" i="72"/>
  <c r="CF116" i="72" s="1"/>
  <c r="CF117" i="72"/>
  <c r="CF118" i="72" s="1"/>
  <c r="CF119" i="72"/>
  <c r="CF120" i="72" s="1"/>
  <c r="CF121" i="72"/>
  <c r="CF122" i="72" s="1"/>
  <c r="CF123" i="72"/>
  <c r="CF124" i="72" s="1"/>
  <c r="CF125" i="72"/>
  <c r="CF126" i="72" s="1"/>
  <c r="CF127" i="72"/>
  <c r="CF128" i="72" s="1"/>
  <c r="CF129" i="72"/>
  <c r="CF130" i="72" s="1"/>
  <c r="CF50" i="72" l="1"/>
  <c r="CE50" i="72"/>
  <c r="CG50" i="72" l="1"/>
  <c r="CE51" i="72" s="1"/>
  <c r="CE52" i="72" l="1"/>
  <c r="CG52" i="72" s="1"/>
  <c r="CG51" i="72"/>
  <c r="CE53" i="72" l="1"/>
  <c r="CE54" i="72" l="1"/>
  <c r="CG54" i="72" s="1"/>
  <c r="CG53" i="72"/>
  <c r="CE55" i="72" l="1"/>
  <c r="CE56" i="72" l="1"/>
  <c r="CG56" i="72" s="1"/>
  <c r="CG55" i="72"/>
  <c r="CE57" i="72" l="1"/>
  <c r="CE58" i="72" l="1"/>
  <c r="CG58" i="72" s="1"/>
  <c r="CG57" i="72"/>
  <c r="CE59" i="72" l="1"/>
  <c r="CE60" i="72" l="1"/>
  <c r="CG60" i="72" s="1"/>
  <c r="CG59" i="72"/>
  <c r="CE61" i="72" l="1"/>
  <c r="CE62" i="72" l="1"/>
  <c r="CG62" i="72" s="1"/>
  <c r="CG61" i="72"/>
  <c r="CE63" i="72" l="1"/>
  <c r="CE64" i="72" l="1"/>
  <c r="CG64" i="72" s="1"/>
  <c r="CG63" i="72"/>
  <c r="CE65" i="72" l="1"/>
  <c r="CE66" i="72" l="1"/>
  <c r="CG66" i="72" s="1"/>
  <c r="CG65" i="72"/>
  <c r="CE67" i="72" l="1"/>
  <c r="CE68" i="72" l="1"/>
  <c r="CG68" i="72" s="1"/>
  <c r="CG67" i="72"/>
  <c r="CE69" i="72" l="1"/>
  <c r="CE70" i="72" l="1"/>
  <c r="CG70" i="72" s="1"/>
  <c r="CG69" i="72"/>
  <c r="CE71" i="72" l="1"/>
  <c r="CE72" i="72" l="1"/>
  <c r="CG72" i="72" s="1"/>
  <c r="CG71" i="72"/>
  <c r="CE73" i="72" l="1"/>
  <c r="CE74" i="72" l="1"/>
  <c r="CG74" i="72" s="1"/>
  <c r="CG73" i="72"/>
  <c r="CE75" i="72" l="1"/>
  <c r="CE76" i="72" l="1"/>
  <c r="CG76" i="72" s="1"/>
  <c r="CG75" i="72"/>
  <c r="CE77" i="72" l="1"/>
  <c r="CE78" i="72" l="1"/>
  <c r="CG78" i="72" s="1"/>
  <c r="CG77" i="72"/>
  <c r="CE79" i="72" l="1"/>
  <c r="CE80" i="72" l="1"/>
  <c r="CG80" i="72" s="1"/>
  <c r="CG79" i="72"/>
  <c r="CE81" i="72" l="1"/>
  <c r="CE82" i="72" l="1"/>
  <c r="CG82" i="72" s="1"/>
  <c r="CG81" i="72"/>
  <c r="CE83" i="72" l="1"/>
  <c r="CE84" i="72" l="1"/>
  <c r="CG84" i="72" s="1"/>
  <c r="CG83" i="72"/>
  <c r="CE85" i="72" l="1"/>
  <c r="CE86" i="72" l="1"/>
  <c r="CG86" i="72" s="1"/>
  <c r="CG85" i="72"/>
  <c r="CE87" i="72" l="1"/>
  <c r="CE88" i="72" l="1"/>
  <c r="CG88" i="72" s="1"/>
  <c r="CG87" i="72"/>
  <c r="CE89" i="72" l="1"/>
  <c r="CE90" i="72" l="1"/>
  <c r="CG90" i="72" s="1"/>
  <c r="CG89" i="72"/>
  <c r="CE91" i="72" l="1"/>
  <c r="CE92" i="72" l="1"/>
  <c r="CG92" i="72" s="1"/>
  <c r="CG91" i="72"/>
  <c r="CE93" i="72" l="1"/>
  <c r="CE94" i="72" l="1"/>
  <c r="CG94" i="72" s="1"/>
  <c r="CG93" i="72"/>
  <c r="CE95" i="72" l="1"/>
  <c r="CE96" i="72" l="1"/>
  <c r="CG96" i="72" s="1"/>
  <c r="CG95" i="72"/>
  <c r="CE97" i="72" l="1"/>
  <c r="CE98" i="72" l="1"/>
  <c r="CG98" i="72" s="1"/>
  <c r="CG97" i="72"/>
  <c r="CE99" i="72" l="1"/>
  <c r="CE100" i="72" l="1"/>
  <c r="CG100" i="72" s="1"/>
  <c r="CG99" i="72"/>
  <c r="CE101" i="72" l="1"/>
  <c r="CE102" i="72" l="1"/>
  <c r="CG102" i="72" s="1"/>
  <c r="CG101" i="72"/>
  <c r="CE103" i="72" l="1"/>
  <c r="CE104" i="72" l="1"/>
  <c r="CG104" i="72" s="1"/>
  <c r="CG103" i="72"/>
  <c r="CE105" i="72" l="1"/>
  <c r="CE106" i="72" l="1"/>
  <c r="CG106" i="72" s="1"/>
  <c r="CG105" i="72"/>
  <c r="CE107" i="72" l="1"/>
  <c r="CE108" i="72" l="1"/>
  <c r="CG108" i="72" s="1"/>
  <c r="CG107" i="72"/>
  <c r="CE109" i="72" l="1"/>
  <c r="CE110" i="72" l="1"/>
  <c r="CG110" i="72" s="1"/>
  <c r="CG109" i="72"/>
  <c r="CE111" i="72" l="1"/>
  <c r="CE112" i="72" l="1"/>
  <c r="CG112" i="72" s="1"/>
  <c r="CG111" i="72"/>
  <c r="CE113" i="72" l="1"/>
  <c r="CE114" i="72" l="1"/>
  <c r="CG114" i="72" s="1"/>
  <c r="CG113" i="72"/>
  <c r="CE115" i="72" l="1"/>
  <c r="CE116" i="72" l="1"/>
  <c r="CG116" i="72" s="1"/>
  <c r="CG115" i="72"/>
  <c r="CE117" i="72" l="1"/>
  <c r="CE118" i="72" l="1"/>
  <c r="CG118" i="72" s="1"/>
  <c r="CG117" i="72"/>
  <c r="CE119" i="72" l="1"/>
  <c r="CE120" i="72" l="1"/>
  <c r="CG120" i="72" s="1"/>
  <c r="CG119" i="72"/>
  <c r="CE121" i="72" l="1"/>
  <c r="CE122" i="72" l="1"/>
  <c r="CG122" i="72" s="1"/>
  <c r="CG121" i="72"/>
  <c r="CE123" i="72" l="1"/>
  <c r="CE124" i="72" l="1"/>
  <c r="CG124" i="72" s="1"/>
  <c r="CG123" i="72"/>
  <c r="CE125" i="72" l="1"/>
  <c r="CE126" i="72" l="1"/>
  <c r="CG126" i="72" s="1"/>
  <c r="CG125" i="72"/>
  <c r="CE127" i="72" l="1"/>
  <c r="CE128" i="72" l="1"/>
  <c r="CG128" i="72" s="1"/>
  <c r="CG127" i="72"/>
  <c r="CE129" i="72" l="1"/>
  <c r="CE130" i="72" l="1"/>
  <c r="CG130" i="72" s="1"/>
  <c r="CG129" i="72"/>
  <c r="CE131" i="72" l="1"/>
  <c r="CE132" i="72" l="1"/>
  <c r="CG132" i="72" s="1"/>
  <c r="CG131" i="72"/>
  <c r="I47" i="65" l="1"/>
  <c r="AQ30" i="72" l="1"/>
  <c r="BT23" i="72"/>
  <c r="BU23" i="72" s="1"/>
  <c r="BV23" i="72" s="1"/>
  <c r="BS47" i="72"/>
  <c r="BS48" i="72" l="1"/>
  <c r="BS31" i="72"/>
  <c r="BT47" i="72" s="1"/>
  <c r="BT131" i="72" l="1"/>
  <c r="BT132" i="72" s="1"/>
  <c r="BT129" i="72"/>
  <c r="BT130" i="72" s="1"/>
  <c r="BT127" i="72"/>
  <c r="BT128" i="72" s="1"/>
  <c r="BT125" i="72"/>
  <c r="BT126" i="72" s="1"/>
  <c r="BT123" i="72"/>
  <c r="BT124" i="72" s="1"/>
  <c r="BT121" i="72"/>
  <c r="BT122" i="72" s="1"/>
  <c r="BT119" i="72"/>
  <c r="BT120" i="72" s="1"/>
  <c r="BT117" i="72"/>
  <c r="BT118" i="72" s="1"/>
  <c r="BT115" i="72"/>
  <c r="BT116" i="72" s="1"/>
  <c r="BT113" i="72"/>
  <c r="BT114" i="72" s="1"/>
  <c r="BT111" i="72"/>
  <c r="BT112" i="72" s="1"/>
  <c r="BT109" i="72"/>
  <c r="BT110" i="72" s="1"/>
  <c r="BT107" i="72"/>
  <c r="BT108" i="72" s="1"/>
  <c r="BT105" i="72"/>
  <c r="BT106" i="72" s="1"/>
  <c r="BT103" i="72"/>
  <c r="BT104" i="72" s="1"/>
  <c r="BT101" i="72"/>
  <c r="BT102" i="72" s="1"/>
  <c r="BT99" i="72"/>
  <c r="BT100" i="72" s="1"/>
  <c r="BT97" i="72"/>
  <c r="BT98" i="72" s="1"/>
  <c r="BT95" i="72"/>
  <c r="BT96" i="72" s="1"/>
  <c r="BT93" i="72"/>
  <c r="BT94" i="72" s="1"/>
  <c r="BT91" i="72"/>
  <c r="BT92" i="72" s="1"/>
  <c r="BT89" i="72"/>
  <c r="BT90" i="72" s="1"/>
  <c r="BT87" i="72"/>
  <c r="BT88" i="72" s="1"/>
  <c r="BT85" i="72"/>
  <c r="BT86" i="72" s="1"/>
  <c r="BT83" i="72"/>
  <c r="BT84" i="72" s="1"/>
  <c r="BT81" i="72"/>
  <c r="BT82" i="72" s="1"/>
  <c r="BT79" i="72"/>
  <c r="BT80" i="72" s="1"/>
  <c r="BT77" i="72"/>
  <c r="BT78" i="72" s="1"/>
  <c r="BT75" i="72"/>
  <c r="BT76" i="72" s="1"/>
  <c r="BT73" i="72"/>
  <c r="BT74" i="72" s="1"/>
  <c r="BT71" i="72"/>
  <c r="BT72" i="72" s="1"/>
  <c r="BT69" i="72"/>
  <c r="BT70" i="72" s="1"/>
  <c r="BT67" i="72"/>
  <c r="BT68" i="72" s="1"/>
  <c r="BT65" i="72"/>
  <c r="BT66" i="72" s="1"/>
  <c r="BT63" i="72"/>
  <c r="BT64" i="72" s="1"/>
  <c r="BT61" i="72"/>
  <c r="BT62" i="72" s="1"/>
  <c r="BT59" i="72"/>
  <c r="BT60" i="72" s="1"/>
  <c r="BT57" i="72"/>
  <c r="BT58" i="72" s="1"/>
  <c r="BT55" i="72"/>
  <c r="BT56" i="72" s="1"/>
  <c r="BT53" i="72"/>
  <c r="BT54" i="72" s="1"/>
  <c r="BT51" i="72"/>
  <c r="BT52" i="72" s="1"/>
  <c r="BT49" i="72"/>
  <c r="BT50" i="72" s="1"/>
  <c r="BT48" i="72" l="1"/>
  <c r="BU48" i="72" s="1"/>
  <c r="BU47" i="72"/>
  <c r="BS49" i="72" l="1"/>
  <c r="BS50" i="72" l="1"/>
  <c r="BU50" i="72" s="1"/>
  <c r="BU49" i="72"/>
  <c r="BS51" i="72" l="1"/>
  <c r="BS52" i="72" l="1"/>
  <c r="BU52" i="72" s="1"/>
  <c r="BU51" i="72"/>
  <c r="BS53" i="72" l="1"/>
  <c r="BS54" i="72" l="1"/>
  <c r="BU54" i="72" s="1"/>
  <c r="BU53" i="72"/>
  <c r="BS55" i="72" l="1"/>
  <c r="BS56" i="72" l="1"/>
  <c r="BU56" i="72" s="1"/>
  <c r="BU55" i="72"/>
  <c r="BS57" i="72" l="1"/>
  <c r="BS58" i="72" l="1"/>
  <c r="BU58" i="72" s="1"/>
  <c r="BU57" i="72"/>
  <c r="BS59" i="72" l="1"/>
  <c r="BS60" i="72" l="1"/>
  <c r="BU60" i="72" s="1"/>
  <c r="BU59" i="72"/>
  <c r="BS61" i="72" l="1"/>
  <c r="BS62" i="72" l="1"/>
  <c r="BU62" i="72" s="1"/>
  <c r="BU61" i="72"/>
  <c r="BS63" i="72" l="1"/>
  <c r="BS64" i="72" l="1"/>
  <c r="BU64" i="72" s="1"/>
  <c r="BU63" i="72"/>
  <c r="BS65" i="72" l="1"/>
  <c r="BS66" i="72" l="1"/>
  <c r="BU66" i="72" s="1"/>
  <c r="BU65" i="72"/>
  <c r="BS67" i="72" l="1"/>
  <c r="BS68" i="72" l="1"/>
  <c r="BU68" i="72" s="1"/>
  <c r="BU67" i="72"/>
  <c r="BS69" i="72" l="1"/>
  <c r="BS70" i="72" l="1"/>
  <c r="BU70" i="72" s="1"/>
  <c r="BU69" i="72"/>
  <c r="BS71" i="72" l="1"/>
  <c r="BS72" i="72" l="1"/>
  <c r="BU72" i="72" s="1"/>
  <c r="BU71" i="72"/>
  <c r="BS73" i="72" l="1"/>
  <c r="BS74" i="72" l="1"/>
  <c r="BU74" i="72" s="1"/>
  <c r="BU73" i="72"/>
  <c r="BS75" i="72" l="1"/>
  <c r="BS76" i="72" l="1"/>
  <c r="BU76" i="72" s="1"/>
  <c r="BU75" i="72"/>
  <c r="BS77" i="72" l="1"/>
  <c r="BS78" i="72" l="1"/>
  <c r="BU78" i="72" s="1"/>
  <c r="BU77" i="72"/>
  <c r="BS79" i="72" l="1"/>
  <c r="BS80" i="72" l="1"/>
  <c r="BU80" i="72" s="1"/>
  <c r="BU79" i="72"/>
  <c r="BS81" i="72" l="1"/>
  <c r="BS82" i="72" l="1"/>
  <c r="BU82" i="72" s="1"/>
  <c r="BU81" i="72"/>
  <c r="BS83" i="72" l="1"/>
  <c r="BS84" i="72" l="1"/>
  <c r="BU84" i="72" s="1"/>
  <c r="BU83" i="72"/>
  <c r="BS85" i="72" l="1"/>
  <c r="BS86" i="72" l="1"/>
  <c r="BU86" i="72" s="1"/>
  <c r="BU85" i="72"/>
  <c r="BS87" i="72" l="1"/>
  <c r="BS88" i="72" l="1"/>
  <c r="BU88" i="72" s="1"/>
  <c r="BU87" i="72"/>
  <c r="BS89" i="72" l="1"/>
  <c r="BS90" i="72" l="1"/>
  <c r="BU90" i="72" s="1"/>
  <c r="BU89" i="72"/>
  <c r="BS91" i="72" l="1"/>
  <c r="BS92" i="72" l="1"/>
  <c r="BU92" i="72" s="1"/>
  <c r="BU91" i="72"/>
  <c r="BS93" i="72" l="1"/>
  <c r="BS94" i="72" l="1"/>
  <c r="BU94" i="72" s="1"/>
  <c r="BU93" i="72"/>
  <c r="BS95" i="72" l="1"/>
  <c r="BS96" i="72" l="1"/>
  <c r="BU96" i="72" s="1"/>
  <c r="BU95" i="72"/>
  <c r="BS97" i="72" l="1"/>
  <c r="BS98" i="72" l="1"/>
  <c r="BU98" i="72" s="1"/>
  <c r="BU97" i="72"/>
  <c r="BS99" i="72" l="1"/>
  <c r="BS100" i="72" l="1"/>
  <c r="BU100" i="72" s="1"/>
  <c r="BU99" i="72"/>
  <c r="BS101" i="72" l="1"/>
  <c r="BS102" i="72" l="1"/>
  <c r="BU102" i="72" s="1"/>
  <c r="BU101" i="72"/>
  <c r="BS103" i="72" l="1"/>
  <c r="BS104" i="72" l="1"/>
  <c r="BU104" i="72" s="1"/>
  <c r="BU103" i="72"/>
  <c r="BS105" i="72" l="1"/>
  <c r="BS106" i="72" l="1"/>
  <c r="BU106" i="72" s="1"/>
  <c r="BU105" i="72"/>
  <c r="BS107" i="72" l="1"/>
  <c r="BS108" i="72" l="1"/>
  <c r="BU108" i="72" s="1"/>
  <c r="BU107" i="72"/>
  <c r="BS109" i="72" l="1"/>
  <c r="BS110" i="72" l="1"/>
  <c r="BU110" i="72" s="1"/>
  <c r="BU109" i="72"/>
  <c r="BS111" i="72" l="1"/>
  <c r="BS112" i="72" l="1"/>
  <c r="BU112" i="72" s="1"/>
  <c r="BU111" i="72"/>
  <c r="BS113" i="72" l="1"/>
  <c r="BS114" i="72" l="1"/>
  <c r="BU114" i="72" s="1"/>
  <c r="BU113" i="72"/>
  <c r="BS115" i="72" l="1"/>
  <c r="BS116" i="72" l="1"/>
  <c r="BU116" i="72" s="1"/>
  <c r="BU115" i="72"/>
  <c r="BS117" i="72" l="1"/>
  <c r="BS118" i="72" l="1"/>
  <c r="BU118" i="72" s="1"/>
  <c r="BU117" i="72"/>
  <c r="BS119" i="72" l="1"/>
  <c r="BS120" i="72" l="1"/>
  <c r="BU120" i="72" s="1"/>
  <c r="BU119" i="72"/>
  <c r="BS121" i="72" l="1"/>
  <c r="BS122" i="72" l="1"/>
  <c r="BU122" i="72" s="1"/>
  <c r="BU121" i="72"/>
  <c r="BS123" i="72" l="1"/>
  <c r="BS124" i="72" l="1"/>
  <c r="BU124" i="72" s="1"/>
  <c r="BU123" i="72"/>
  <c r="BS125" i="72" l="1"/>
  <c r="BS126" i="72" l="1"/>
  <c r="BU126" i="72" s="1"/>
  <c r="BU125" i="72"/>
  <c r="BS127" i="72" l="1"/>
  <c r="BS128" i="72" l="1"/>
  <c r="BU128" i="72" s="1"/>
  <c r="BU127" i="72"/>
  <c r="BS129" i="72" l="1"/>
  <c r="BS130" i="72" l="1"/>
  <c r="BU130" i="72" s="1"/>
  <c r="BU129" i="72"/>
  <c r="BS131" i="72" l="1"/>
  <c r="BS132" i="72" l="1"/>
  <c r="BU132" i="72" s="1"/>
  <c r="BU131" i="72"/>
  <c r="F161" i="69" l="1"/>
  <c r="F165" i="69" s="1"/>
  <c r="E161" i="69"/>
  <c r="E165" i="69" s="1"/>
  <c r="H23" i="65" l="1"/>
  <c r="H57" i="48" s="1"/>
  <c r="H15" i="65"/>
  <c r="H40" i="48" s="1"/>
  <c r="H41" i="65" l="1"/>
  <c r="H154" i="48" s="1"/>
  <c r="O30" i="72" l="1"/>
  <c r="AE30" i="72" l="1"/>
  <c r="H24" i="65" l="1"/>
  <c r="H60" i="48" l="1"/>
  <c r="AQ47" i="72"/>
  <c r="AM47" i="72"/>
  <c r="AI47" i="72"/>
  <c r="AM31" i="72"/>
  <c r="AI31" i="72"/>
  <c r="AJ131" i="72" l="1"/>
  <c r="AJ132" i="72" s="1"/>
  <c r="AJ47" i="72"/>
  <c r="AK47" i="72" s="1"/>
  <c r="AN131" i="72"/>
  <c r="AN132" i="72" s="1"/>
  <c r="AN47" i="72"/>
  <c r="AN48" i="72" s="1"/>
  <c r="AQ31" i="72"/>
  <c r="AN49" i="72"/>
  <c r="AN50" i="72" s="1"/>
  <c r="AN51" i="72"/>
  <c r="AN52" i="72" s="1"/>
  <c r="AN53" i="72"/>
  <c r="AN54" i="72" s="1"/>
  <c r="AN55" i="72"/>
  <c r="AN56" i="72" s="1"/>
  <c r="AN57" i="72"/>
  <c r="AN58" i="72" s="1"/>
  <c r="AN59" i="72"/>
  <c r="AN60" i="72" s="1"/>
  <c r="AN61" i="72"/>
  <c r="AN62" i="72" s="1"/>
  <c r="AN63" i="72"/>
  <c r="AN64" i="72" s="1"/>
  <c r="AN65" i="72"/>
  <c r="AN66" i="72" s="1"/>
  <c r="AN67" i="72"/>
  <c r="AN68" i="72" s="1"/>
  <c r="AN69" i="72"/>
  <c r="AN70" i="72" s="1"/>
  <c r="AN71" i="72"/>
  <c r="AN72" i="72" s="1"/>
  <c r="AN73" i="72"/>
  <c r="AN74" i="72" s="1"/>
  <c r="AN75" i="72"/>
  <c r="AN76" i="72" s="1"/>
  <c r="AN77" i="72"/>
  <c r="AN78" i="72" s="1"/>
  <c r="AN79" i="72"/>
  <c r="AN80" i="72" s="1"/>
  <c r="AN81" i="72"/>
  <c r="AN82" i="72" s="1"/>
  <c r="AN83" i="72"/>
  <c r="AN84" i="72" s="1"/>
  <c r="AN85" i="72"/>
  <c r="AN86" i="72" s="1"/>
  <c r="AN87" i="72"/>
  <c r="AN88" i="72" s="1"/>
  <c r="AN89" i="72"/>
  <c r="AN90" i="72" s="1"/>
  <c r="AN91" i="72"/>
  <c r="AN92" i="72" s="1"/>
  <c r="AN93" i="72"/>
  <c r="AN94" i="72" s="1"/>
  <c r="AN95" i="72"/>
  <c r="AN96" i="72" s="1"/>
  <c r="AN97" i="72"/>
  <c r="AN98" i="72" s="1"/>
  <c r="AN99" i="72"/>
  <c r="AN100" i="72" s="1"/>
  <c r="AN101" i="72"/>
  <c r="AN102" i="72" s="1"/>
  <c r="AN103" i="72"/>
  <c r="AN104" i="72" s="1"/>
  <c r="AN105" i="72"/>
  <c r="AN106" i="72" s="1"/>
  <c r="AN107" i="72"/>
  <c r="AN108" i="72" s="1"/>
  <c r="AN109" i="72"/>
  <c r="AN110" i="72" s="1"/>
  <c r="AN111" i="72"/>
  <c r="AN112" i="72" s="1"/>
  <c r="AN113" i="72"/>
  <c r="AN114" i="72" s="1"/>
  <c r="AN115" i="72"/>
  <c r="AN116" i="72" s="1"/>
  <c r="AN117" i="72"/>
  <c r="AN118" i="72" s="1"/>
  <c r="AN119" i="72"/>
  <c r="AN120" i="72" s="1"/>
  <c r="AN121" i="72"/>
  <c r="AN122" i="72" s="1"/>
  <c r="AN123" i="72"/>
  <c r="AN124" i="72" s="1"/>
  <c r="AN125" i="72"/>
  <c r="AN126" i="72" s="1"/>
  <c r="AN127" i="72"/>
  <c r="AN128" i="72" s="1"/>
  <c r="AN129" i="72"/>
  <c r="AN130" i="72" s="1"/>
  <c r="AJ48" i="72"/>
  <c r="AJ49" i="72"/>
  <c r="AJ50" i="72" s="1"/>
  <c r="AJ51" i="72"/>
  <c r="AJ52" i="72" s="1"/>
  <c r="AJ53" i="72"/>
  <c r="AJ54" i="72" s="1"/>
  <c r="AJ55" i="72"/>
  <c r="AJ56" i="72" s="1"/>
  <c r="AJ57" i="72"/>
  <c r="AJ58" i="72" s="1"/>
  <c r="AJ59" i="72"/>
  <c r="AJ60" i="72" s="1"/>
  <c r="AJ61" i="72"/>
  <c r="AJ62" i="72" s="1"/>
  <c r="AJ63" i="72"/>
  <c r="AJ64" i="72" s="1"/>
  <c r="AJ65" i="72"/>
  <c r="AJ66" i="72" s="1"/>
  <c r="AJ67" i="72"/>
  <c r="AJ68" i="72" s="1"/>
  <c r="AJ69" i="72"/>
  <c r="AJ70" i="72" s="1"/>
  <c r="AJ71" i="72"/>
  <c r="AJ72" i="72" s="1"/>
  <c r="AJ73" i="72"/>
  <c r="AJ74" i="72" s="1"/>
  <c r="AJ75" i="72"/>
  <c r="AJ76" i="72" s="1"/>
  <c r="AJ77" i="72"/>
  <c r="AJ78" i="72" s="1"/>
  <c r="AJ79" i="72"/>
  <c r="AJ80" i="72" s="1"/>
  <c r="AJ81" i="72"/>
  <c r="AJ82" i="72" s="1"/>
  <c r="AJ83" i="72"/>
  <c r="AJ84" i="72" s="1"/>
  <c r="AJ85" i="72"/>
  <c r="AJ86" i="72" s="1"/>
  <c r="AJ87" i="72"/>
  <c r="AJ88" i="72" s="1"/>
  <c r="AJ89" i="72"/>
  <c r="AJ90" i="72" s="1"/>
  <c r="AJ91" i="72"/>
  <c r="AJ92" i="72" s="1"/>
  <c r="AJ93" i="72"/>
  <c r="AJ94" i="72" s="1"/>
  <c r="AJ95" i="72"/>
  <c r="AJ96" i="72" s="1"/>
  <c r="AJ97" i="72"/>
  <c r="AJ98" i="72" s="1"/>
  <c r="AJ99" i="72"/>
  <c r="AJ100" i="72" s="1"/>
  <c r="AJ101" i="72"/>
  <c r="AJ102" i="72" s="1"/>
  <c r="AJ103" i="72"/>
  <c r="AJ104" i="72" s="1"/>
  <c r="AJ105" i="72"/>
  <c r="AJ106" i="72" s="1"/>
  <c r="AJ107" i="72"/>
  <c r="AJ108" i="72" s="1"/>
  <c r="AJ109" i="72"/>
  <c r="AJ110" i="72" s="1"/>
  <c r="AJ111" i="72"/>
  <c r="AJ112" i="72" s="1"/>
  <c r="AJ113" i="72"/>
  <c r="AJ114" i="72" s="1"/>
  <c r="AJ115" i="72"/>
  <c r="AJ116" i="72" s="1"/>
  <c r="AJ117" i="72"/>
  <c r="AJ118" i="72" s="1"/>
  <c r="AJ119" i="72"/>
  <c r="AJ120" i="72" s="1"/>
  <c r="AJ121" i="72"/>
  <c r="AJ122" i="72" s="1"/>
  <c r="AJ123" i="72"/>
  <c r="AJ124" i="72" s="1"/>
  <c r="AJ125" i="72"/>
  <c r="AJ126" i="72" s="1"/>
  <c r="AJ127" i="72"/>
  <c r="AJ128" i="72" s="1"/>
  <c r="AJ129" i="72"/>
  <c r="AJ130" i="72" s="1"/>
  <c r="AR47" i="72" l="1"/>
  <c r="AR48" i="72" s="1"/>
  <c r="AR131" i="72"/>
  <c r="AR132" i="72" s="1"/>
  <c r="AR129" i="72"/>
  <c r="AR130" i="72" s="1"/>
  <c r="AR127" i="72"/>
  <c r="AR128" i="72" s="1"/>
  <c r="AR125" i="72"/>
  <c r="AR126" i="72" s="1"/>
  <c r="AR123" i="72"/>
  <c r="AR124" i="72" s="1"/>
  <c r="AR121" i="72"/>
  <c r="AR122" i="72" s="1"/>
  <c r="AR119" i="72"/>
  <c r="AR120" i="72" s="1"/>
  <c r="AR117" i="72"/>
  <c r="AR118" i="72" s="1"/>
  <c r="AR115" i="72"/>
  <c r="AR116" i="72" s="1"/>
  <c r="AR113" i="72"/>
  <c r="AR114" i="72" s="1"/>
  <c r="AR111" i="72"/>
  <c r="AR112" i="72" s="1"/>
  <c r="AR109" i="72"/>
  <c r="AR110" i="72" s="1"/>
  <c r="AR107" i="72"/>
  <c r="AR108" i="72" s="1"/>
  <c r="AR105" i="72"/>
  <c r="AR106" i="72" s="1"/>
  <c r="AR103" i="72"/>
  <c r="AR104" i="72" s="1"/>
  <c r="AR101" i="72"/>
  <c r="AR102" i="72" s="1"/>
  <c r="AR99" i="72"/>
  <c r="AR100" i="72" s="1"/>
  <c r="AR97" i="72"/>
  <c r="AR98" i="72" s="1"/>
  <c r="AR95" i="72"/>
  <c r="AR96" i="72" s="1"/>
  <c r="AR93" i="72"/>
  <c r="AR94" i="72" s="1"/>
  <c r="AR91" i="72"/>
  <c r="AR92" i="72" s="1"/>
  <c r="AR89" i="72"/>
  <c r="AR90" i="72" s="1"/>
  <c r="AR87" i="72"/>
  <c r="AR88" i="72" s="1"/>
  <c r="AR85" i="72"/>
  <c r="AR86" i="72" s="1"/>
  <c r="AR83" i="72"/>
  <c r="AR84" i="72" s="1"/>
  <c r="AR81" i="72"/>
  <c r="AR82" i="72" s="1"/>
  <c r="AR79" i="72"/>
  <c r="AR80" i="72" s="1"/>
  <c r="AR77" i="72"/>
  <c r="AR78" i="72" s="1"/>
  <c r="AR75" i="72"/>
  <c r="AR76" i="72" s="1"/>
  <c r="AR73" i="72"/>
  <c r="AR74" i="72" s="1"/>
  <c r="AR71" i="72"/>
  <c r="AR72" i="72" s="1"/>
  <c r="AR69" i="72"/>
  <c r="AR70" i="72" s="1"/>
  <c r="AR67" i="72"/>
  <c r="AR68" i="72" s="1"/>
  <c r="AR65" i="72"/>
  <c r="AR66" i="72" s="1"/>
  <c r="AR63" i="72"/>
  <c r="AR64" i="72" s="1"/>
  <c r="AR61" i="72"/>
  <c r="AR62" i="72" s="1"/>
  <c r="AR59" i="72"/>
  <c r="AR60" i="72" s="1"/>
  <c r="AR57" i="72"/>
  <c r="AR58" i="72" s="1"/>
  <c r="AR55" i="72"/>
  <c r="AR56" i="72" s="1"/>
  <c r="AR53" i="72"/>
  <c r="AR54" i="72" s="1"/>
  <c r="AR51" i="72"/>
  <c r="AR52" i="72" s="1"/>
  <c r="AR49" i="72"/>
  <c r="AR50" i="72" s="1"/>
  <c r="AM48" i="72" l="1"/>
  <c r="AO48" i="72" s="1"/>
  <c r="AO47" i="72"/>
  <c r="AI48" i="72"/>
  <c r="AK48" i="72" s="1"/>
  <c r="AM49" i="72" l="1"/>
  <c r="AI49" i="72"/>
  <c r="AQ48" i="72" l="1"/>
  <c r="AS48" i="72" s="1"/>
  <c r="AS47" i="72"/>
  <c r="AM50" i="72"/>
  <c r="AO50" i="72" s="1"/>
  <c r="AO49" i="72"/>
  <c r="AI50" i="72"/>
  <c r="AK50" i="72" s="1"/>
  <c r="AK49" i="72"/>
  <c r="AQ49" i="72" l="1"/>
  <c r="AM51" i="72"/>
  <c r="AI51" i="72"/>
  <c r="H45" i="48"/>
  <c r="H25" i="48"/>
  <c r="H112" i="48"/>
  <c r="H190" i="48"/>
  <c r="I38" i="54" s="1"/>
  <c r="H173" i="48"/>
  <c r="I21" i="54" s="1"/>
  <c r="I158" i="65"/>
  <c r="G82" i="69"/>
  <c r="G85" i="69" s="1"/>
  <c r="F10" i="69" s="1"/>
  <c r="G132" i="69"/>
  <c r="G135" i="69" s="1"/>
  <c r="I139" i="65"/>
  <c r="I142" i="65"/>
  <c r="D150" i="65"/>
  <c r="D151" i="65"/>
  <c r="H88" i="48"/>
  <c r="H100" i="48"/>
  <c r="H249" i="48"/>
  <c r="H257" i="48"/>
  <c r="I35" i="54"/>
  <c r="I36" i="54"/>
  <c r="I27" i="54"/>
  <c r="I40" i="54"/>
  <c r="I28" i="54" s="1"/>
  <c r="I30" i="54"/>
  <c r="I29" i="54"/>
  <c r="I24" i="54"/>
  <c r="I50" i="54"/>
  <c r="I62" i="54"/>
  <c r="I63" i="54"/>
  <c r="I64" i="54"/>
  <c r="I69" i="54"/>
  <c r="E130" i="68"/>
  <c r="AE45" i="72"/>
  <c r="AE46" i="72" s="1"/>
  <c r="E42" i="70"/>
  <c r="W45" i="72"/>
  <c r="W31" i="72"/>
  <c r="X45" i="72" s="1"/>
  <c r="X46" i="72" s="1"/>
  <c r="AA45" i="72"/>
  <c r="AA46" i="72" s="1"/>
  <c r="AA31" i="72"/>
  <c r="AB45" i="72" s="1"/>
  <c r="O45" i="72"/>
  <c r="O46" i="72" s="1"/>
  <c r="H133" i="48"/>
  <c r="O31" i="72"/>
  <c r="P45" i="72" s="1"/>
  <c r="P46" i="72" s="1"/>
  <c r="C43" i="72"/>
  <c r="C44" i="72" s="1"/>
  <c r="C31" i="72"/>
  <c r="D43" i="72" s="1"/>
  <c r="G43" i="72"/>
  <c r="G44" i="72" s="1"/>
  <c r="G31" i="72"/>
  <c r="H43" i="72" s="1"/>
  <c r="H44" i="72" s="1"/>
  <c r="S30" i="72"/>
  <c r="S43" i="72" s="1"/>
  <c r="F132" i="69"/>
  <c r="F135" i="69" s="1"/>
  <c r="H16" i="48"/>
  <c r="F50" i="69"/>
  <c r="K30" i="72"/>
  <c r="G50" i="69"/>
  <c r="H135" i="48"/>
  <c r="H137" i="48" s="1"/>
  <c r="E33" i="70"/>
  <c r="E22" i="70"/>
  <c r="H156" i="48"/>
  <c r="H248" i="48"/>
  <c r="H250" i="48" s="1"/>
  <c r="H251" i="48" s="1"/>
  <c r="H263" i="48"/>
  <c r="H273" i="48" s="1"/>
  <c r="K41" i="72"/>
  <c r="K42" i="72" s="1"/>
  <c r="K31" i="72"/>
  <c r="L41" i="72" s="1"/>
  <c r="H280" i="48"/>
  <c r="L49" i="72"/>
  <c r="L50" i="72" s="1"/>
  <c r="L53" i="72"/>
  <c r="L54" i="72" s="1"/>
  <c r="L55" i="72"/>
  <c r="L56" i="72" s="1"/>
  <c r="L57" i="72"/>
  <c r="L58" i="72" s="1"/>
  <c r="L59" i="72"/>
  <c r="L60" i="72" s="1"/>
  <c r="L61" i="72"/>
  <c r="L62" i="72" s="1"/>
  <c r="L63" i="72"/>
  <c r="L64" i="72" s="1"/>
  <c r="L65" i="72"/>
  <c r="L66" i="72" s="1"/>
  <c r="L67" i="72"/>
  <c r="L68" i="72" s="1"/>
  <c r="L69" i="72"/>
  <c r="L70" i="72" s="1"/>
  <c r="L71" i="72"/>
  <c r="L72" i="72" s="1"/>
  <c r="L73" i="72"/>
  <c r="L74" i="72" s="1"/>
  <c r="L75" i="72"/>
  <c r="L76" i="72" s="1"/>
  <c r="L77" i="72"/>
  <c r="L78" i="72" s="1"/>
  <c r="L79" i="72"/>
  <c r="L80" i="72" s="1"/>
  <c r="L81" i="72"/>
  <c r="L82" i="72" s="1"/>
  <c r="L83" i="72"/>
  <c r="L84" i="72" s="1"/>
  <c r="L85" i="72"/>
  <c r="L86" i="72" s="1"/>
  <c r="L87" i="72"/>
  <c r="L88" i="72" s="1"/>
  <c r="L89" i="72"/>
  <c r="L90" i="72" s="1"/>
  <c r="L91" i="72"/>
  <c r="L92" i="72" s="1"/>
  <c r="L93" i="72"/>
  <c r="L94" i="72" s="1"/>
  <c r="L95" i="72"/>
  <c r="L96" i="72" s="1"/>
  <c r="L97" i="72"/>
  <c r="L98" i="72" s="1"/>
  <c r="L99" i="72"/>
  <c r="L100" i="72" s="1"/>
  <c r="L101" i="72"/>
  <c r="L102" i="72" s="1"/>
  <c r="L103" i="72"/>
  <c r="L104" i="72" s="1"/>
  <c r="L105" i="72"/>
  <c r="L106" i="72" s="1"/>
  <c r="L107" i="72"/>
  <c r="L108" i="72" s="1"/>
  <c r="L109" i="72"/>
  <c r="L110" i="72" s="1"/>
  <c r="L111" i="72"/>
  <c r="L112" i="72" s="1"/>
  <c r="L113" i="72"/>
  <c r="L114" i="72" s="1"/>
  <c r="L115" i="72"/>
  <c r="L116" i="72" s="1"/>
  <c r="L117" i="72"/>
  <c r="L118" i="72" s="1"/>
  <c r="L119" i="72"/>
  <c r="L120" i="72" s="1"/>
  <c r="L121" i="72"/>
  <c r="L122" i="72" s="1"/>
  <c r="L123" i="72"/>
  <c r="L124" i="72" s="1"/>
  <c r="L125" i="72"/>
  <c r="L126" i="72" s="1"/>
  <c r="L127" i="72"/>
  <c r="L128" i="72" s="1"/>
  <c r="G203" i="65"/>
  <c r="G83" i="65"/>
  <c r="I83" i="65" s="1"/>
  <c r="E61" i="70"/>
  <c r="H42" i="65"/>
  <c r="H180" i="48"/>
  <c r="H183" i="48" s="1"/>
  <c r="H193" i="48" s="1"/>
  <c r="E82" i="69"/>
  <c r="E85" i="69" s="1"/>
  <c r="D10" i="69" s="1"/>
  <c r="E132" i="69"/>
  <c r="E135" i="69" s="1"/>
  <c r="D11" i="69" s="1"/>
  <c r="H217" i="48"/>
  <c r="H218" i="48" s="1"/>
  <c r="H222" i="48" s="1"/>
  <c r="P23" i="72"/>
  <c r="Q23" i="72" s="1"/>
  <c r="R23" i="72" s="1"/>
  <c r="B92" i="69"/>
  <c r="B142" i="69" s="1"/>
  <c r="D132" i="69"/>
  <c r="D50" i="69"/>
  <c r="B96" i="69"/>
  <c r="B24" i="69"/>
  <c r="B63" i="69" s="1"/>
  <c r="I76" i="65"/>
  <c r="H121" i="48" s="1"/>
  <c r="H126" i="48" s="1"/>
  <c r="G204" i="65"/>
  <c r="G115" i="68"/>
  <c r="G116" i="68" s="1"/>
  <c r="G117" i="68" s="1"/>
  <c r="G118" i="68" s="1"/>
  <c r="G119" i="68" s="1"/>
  <c r="G120" i="68" s="1"/>
  <c r="G121" i="68" s="1"/>
  <c r="G122" i="68" s="1"/>
  <c r="G123" i="68" s="1"/>
  <c r="G124" i="68" s="1"/>
  <c r="G125" i="68" s="1"/>
  <c r="G126" i="68" s="1"/>
  <c r="G130" i="68" s="1"/>
  <c r="G131" i="68" s="1"/>
  <c r="G132" i="68" s="1"/>
  <c r="G133" i="68" s="1"/>
  <c r="G134" i="68" s="1"/>
  <c r="G135" i="68" s="1"/>
  <c r="G136" i="68" s="1"/>
  <c r="G137" i="68" s="1"/>
  <c r="G138" i="68" s="1"/>
  <c r="G139" i="68" s="1"/>
  <c r="G140" i="68" s="1"/>
  <c r="G141" i="68" s="1"/>
  <c r="D52" i="68"/>
  <c r="E76" i="65"/>
  <c r="C76" i="65"/>
  <c r="H201" i="48"/>
  <c r="D11" i="54"/>
  <c r="D153" i="68"/>
  <c r="C16" i="68"/>
  <c r="C17" i="68" s="1"/>
  <c r="B21" i="68"/>
  <c r="B153" i="68" s="1"/>
  <c r="A153" i="68"/>
  <c r="D149" i="68"/>
  <c r="B20" i="68"/>
  <c r="B149" i="68" s="1"/>
  <c r="A149" i="68"/>
  <c r="D106" i="68"/>
  <c r="B15" i="68"/>
  <c r="B16" i="68" s="1"/>
  <c r="A106" i="68"/>
  <c r="C10" i="68"/>
  <c r="C11" i="68" s="1"/>
  <c r="C12" i="68" s="1"/>
  <c r="C13" i="68" s="1"/>
  <c r="C51" i="68" s="1"/>
  <c r="B10" i="68"/>
  <c r="A19" i="48"/>
  <c r="A20" i="48"/>
  <c r="G29" i="68"/>
  <c r="H29" i="68" s="1"/>
  <c r="F30" i="68"/>
  <c r="G30" i="68" s="1"/>
  <c r="H30" i="68" s="1"/>
  <c r="E41" i="68"/>
  <c r="H116" i="68"/>
  <c r="H117" i="68"/>
  <c r="C158" i="65"/>
  <c r="C157" i="65"/>
  <c r="E62" i="48"/>
  <c r="E46" i="48"/>
  <c r="E20" i="48"/>
  <c r="E42" i="48"/>
  <c r="B15" i="70"/>
  <c r="B16" i="70"/>
  <c r="B17" i="70" s="1"/>
  <c r="B18" i="70" s="1"/>
  <c r="B19" i="70" s="1"/>
  <c r="B28" i="70" s="1"/>
  <c r="B29" i="70" s="1"/>
  <c r="B38" i="70" s="1"/>
  <c r="B39" i="70" s="1"/>
  <c r="B50" i="70" s="1"/>
  <c r="B51" i="70" s="1"/>
  <c r="B52" i="70" s="1"/>
  <c r="B53" i="70" s="1"/>
  <c r="B54" i="70" s="1"/>
  <c r="B55" i="70" s="1"/>
  <c r="B56" i="70" s="1"/>
  <c r="B57" i="70" s="1"/>
  <c r="B58" i="70" s="1"/>
  <c r="B59" i="70" s="1"/>
  <c r="B61" i="70" s="1"/>
  <c r="E63" i="70"/>
  <c r="A1" i="70"/>
  <c r="A12" i="71"/>
  <c r="A13" i="71" s="1"/>
  <c r="A14" i="71" s="1"/>
  <c r="A15" i="71" s="1"/>
  <c r="A16" i="71" s="1"/>
  <c r="A17" i="71" s="1"/>
  <c r="A18" i="71" s="1"/>
  <c r="A19" i="71" s="1"/>
  <c r="A21" i="71" s="1"/>
  <c r="A1" i="71"/>
  <c r="G62" i="54"/>
  <c r="G63" i="54"/>
  <c r="G64" i="54"/>
  <c r="G69" i="54"/>
  <c r="G72" i="54"/>
  <c r="C19" i="54"/>
  <c r="D20" i="54"/>
  <c r="G20" i="54"/>
  <c r="D21" i="54"/>
  <c r="G21" i="54"/>
  <c r="D22" i="54"/>
  <c r="C24" i="54"/>
  <c r="E24" i="54"/>
  <c r="G24" i="54"/>
  <c r="C26" i="54"/>
  <c r="D27" i="54"/>
  <c r="G27" i="54"/>
  <c r="D28" i="54"/>
  <c r="E28" i="54"/>
  <c r="D29" i="54"/>
  <c r="E29" i="54"/>
  <c r="D30" i="54"/>
  <c r="E30" i="54"/>
  <c r="G30" i="54"/>
  <c r="D31" i="54"/>
  <c r="C33" i="54"/>
  <c r="D34" i="54"/>
  <c r="G34" i="54"/>
  <c r="D35" i="54"/>
  <c r="G35" i="54"/>
  <c r="D36" i="54"/>
  <c r="F36" i="54"/>
  <c r="G36" i="54"/>
  <c r="D38" i="54"/>
  <c r="F38" i="54"/>
  <c r="D39" i="54"/>
  <c r="D40" i="54"/>
  <c r="G40" i="54"/>
  <c r="D41" i="54"/>
  <c r="D42" i="54"/>
  <c r="D44" i="54"/>
  <c r="F44" i="54"/>
  <c r="D45" i="54"/>
  <c r="F45" i="54"/>
  <c r="D46" i="54"/>
  <c r="F46" i="54"/>
  <c r="D48" i="54"/>
  <c r="F48" i="54"/>
  <c r="D49" i="54"/>
  <c r="F49" i="54"/>
  <c r="D50" i="54"/>
  <c r="F50" i="54"/>
  <c r="D52" i="54"/>
  <c r="F52" i="54"/>
  <c r="D53" i="54"/>
  <c r="F53" i="54"/>
  <c r="D54" i="54"/>
  <c r="F54" i="54"/>
  <c r="C55" i="54"/>
  <c r="C57" i="54"/>
  <c r="C16" i="54"/>
  <c r="A1" i="54"/>
  <c r="E187" i="48"/>
  <c r="F35" i="54"/>
  <c r="F37" i="54" s="1"/>
  <c r="E202" i="48"/>
  <c r="F190" i="48"/>
  <c r="G38" i="54" s="1"/>
  <c r="F181" i="48"/>
  <c r="G29" i="54" s="1"/>
  <c r="E173" i="48"/>
  <c r="E21" i="54" s="1"/>
  <c r="G28" i="54"/>
  <c r="G143" i="65"/>
  <c r="I150" i="65"/>
  <c r="I151" i="65"/>
  <c r="C192" i="65"/>
  <c r="B191" i="65"/>
  <c r="A189" i="65"/>
  <c r="F109" i="65"/>
  <c r="C109" i="65"/>
  <c r="G107" i="65" s="1"/>
  <c r="F126" i="65"/>
  <c r="C126" i="65"/>
  <c r="G124" i="65" s="1"/>
  <c r="C131" i="65"/>
  <c r="D119" i="65"/>
  <c r="G115" i="65"/>
  <c r="C170" i="65"/>
  <c r="C33" i="65"/>
  <c r="F33" i="65"/>
  <c r="G206" i="65"/>
  <c r="B180" i="65"/>
  <c r="G56" i="65"/>
  <c r="G69" i="65" s="1"/>
  <c r="G74" i="65" s="1"/>
  <c r="G1" i="65"/>
  <c r="E249" i="48"/>
  <c r="E109" i="65" s="1"/>
  <c r="F101" i="48"/>
  <c r="F131" i="65" s="1"/>
  <c r="E100" i="48"/>
  <c r="E126" i="65" s="1"/>
  <c r="E116" i="48"/>
  <c r="E33" i="65" s="1"/>
  <c r="F16" i="64"/>
  <c r="F58" i="65" s="1"/>
  <c r="C16" i="64"/>
  <c r="C58" i="65" s="1"/>
  <c r="F52" i="64"/>
  <c r="C52" i="64"/>
  <c r="C65" i="65" s="1"/>
  <c r="C40" i="64"/>
  <c r="C63" i="65" s="1"/>
  <c r="C38" i="64"/>
  <c r="C62" i="65" s="1"/>
  <c r="F37" i="64"/>
  <c r="C37" i="64"/>
  <c r="C61" i="65" s="1"/>
  <c r="C17" i="64"/>
  <c r="C59" i="65" s="1"/>
  <c r="B36" i="64"/>
  <c r="B60" i="65" s="1"/>
  <c r="B15" i="64"/>
  <c r="B57" i="65" s="1"/>
  <c r="F45" i="64"/>
  <c r="F47" i="65" s="1"/>
  <c r="C45" i="64"/>
  <c r="C47" i="65" s="1"/>
  <c r="F272" i="64"/>
  <c r="F198" i="65" s="1"/>
  <c r="F247" i="64"/>
  <c r="F181" i="65" s="1"/>
  <c r="F94" i="64"/>
  <c r="F165" i="65" s="1"/>
  <c r="C123" i="64"/>
  <c r="C102" i="65" s="1"/>
  <c r="F123" i="64"/>
  <c r="F102" i="65" s="1"/>
  <c r="C205" i="64"/>
  <c r="C96" i="65" s="1"/>
  <c r="C127" i="64"/>
  <c r="C89" i="65" s="1"/>
  <c r="F127" i="64"/>
  <c r="F89" i="65" s="1"/>
  <c r="B121" i="64"/>
  <c r="B88" i="65" s="1"/>
  <c r="C122" i="64"/>
  <c r="C83" i="65" s="1"/>
  <c r="F122" i="64"/>
  <c r="F83" i="65" s="1"/>
  <c r="C114" i="64"/>
  <c r="C81" i="65" s="1"/>
  <c r="F114" i="64"/>
  <c r="F81" i="65" s="1"/>
  <c r="B110" i="64"/>
  <c r="B80" i="65" s="1"/>
  <c r="C116" i="64"/>
  <c r="C71" i="65" s="1"/>
  <c r="F116" i="64"/>
  <c r="F71" i="65" s="1"/>
  <c r="C145" i="64"/>
  <c r="C41" i="65" s="1"/>
  <c r="F145" i="64"/>
  <c r="C146" i="64"/>
  <c r="C42" i="65" s="1"/>
  <c r="F146" i="64"/>
  <c r="C140" i="64"/>
  <c r="F140" i="64"/>
  <c r="C111" i="64"/>
  <c r="C34" i="65" s="1"/>
  <c r="C82" i="64"/>
  <c r="C30" i="65" s="1"/>
  <c r="F82" i="64"/>
  <c r="C71" i="64"/>
  <c r="C27" i="65" s="1"/>
  <c r="F71" i="64"/>
  <c r="F27" i="65" s="1"/>
  <c r="C56" i="64"/>
  <c r="C20" i="65" s="1"/>
  <c r="C17" i="65"/>
  <c r="C21" i="64"/>
  <c r="F21" i="64"/>
  <c r="C22" i="64"/>
  <c r="C12" i="65" s="1"/>
  <c r="F22" i="64"/>
  <c r="F12" i="65" s="1"/>
  <c r="C23" i="64"/>
  <c r="F23" i="64"/>
  <c r="C8" i="65"/>
  <c r="C247" i="64"/>
  <c r="C181" i="65" s="1"/>
  <c r="G179" i="65" s="1"/>
  <c r="C272" i="64"/>
  <c r="C198" i="65" s="1"/>
  <c r="G196" i="65" s="1"/>
  <c r="C94" i="64"/>
  <c r="C165" i="65" s="1"/>
  <c r="G163" i="65" s="1"/>
  <c r="E16" i="64"/>
  <c r="E58" i="65" s="1"/>
  <c r="E52" i="64"/>
  <c r="E65" i="65" s="1"/>
  <c r="E40" i="64"/>
  <c r="E63" i="65" s="1"/>
  <c r="E37" i="64"/>
  <c r="E61" i="65" s="1"/>
  <c r="A16" i="64"/>
  <c r="A58" i="65" s="1"/>
  <c r="E51" i="48"/>
  <c r="E45" i="64" s="1"/>
  <c r="E47" i="65" s="1"/>
  <c r="E257" i="48"/>
  <c r="E247" i="64" s="1"/>
  <c r="E181" i="65" s="1"/>
  <c r="E94" i="64"/>
  <c r="E165" i="65" s="1"/>
  <c r="E132" i="48"/>
  <c r="E123" i="64" s="1"/>
  <c r="E102" i="65" s="1"/>
  <c r="E215" i="48"/>
  <c r="E205" i="64" s="1"/>
  <c r="E96" i="65" s="1"/>
  <c r="E136" i="48"/>
  <c r="E127" i="64"/>
  <c r="E89" i="65" s="1"/>
  <c r="E131" i="48"/>
  <c r="E122" i="64" s="1"/>
  <c r="E83" i="65" s="1"/>
  <c r="E123" i="48"/>
  <c r="E114" i="64" s="1"/>
  <c r="E81" i="65" s="1"/>
  <c r="E125" i="48"/>
  <c r="E116" i="64"/>
  <c r="E71" i="65" s="1"/>
  <c r="E145" i="64"/>
  <c r="E41" i="65" s="1"/>
  <c r="E155" i="48"/>
  <c r="E146" i="64" s="1"/>
  <c r="E42" i="65" s="1"/>
  <c r="E140" i="64"/>
  <c r="E120" i="48"/>
  <c r="E111" i="64"/>
  <c r="E34" i="65" s="1"/>
  <c r="E88" i="48"/>
  <c r="E82" i="64" s="1"/>
  <c r="E30" i="65" s="1"/>
  <c r="E75" i="48"/>
  <c r="E71" i="64" s="1"/>
  <c r="E27" i="65" s="1"/>
  <c r="C61" i="48"/>
  <c r="C55" i="64" s="1"/>
  <c r="C19" i="65" s="1"/>
  <c r="E24" i="48"/>
  <c r="E21" i="64" s="1"/>
  <c r="E25" i="48"/>
  <c r="E22" i="64"/>
  <c r="E12" i="65" s="1"/>
  <c r="E23" i="64"/>
  <c r="F40" i="64"/>
  <c r="E17" i="64"/>
  <c r="E59" i="65" s="1"/>
  <c r="E55" i="64"/>
  <c r="E19" i="65" s="1"/>
  <c r="E56" i="64"/>
  <c r="E20" i="65" s="1"/>
  <c r="F42" i="48"/>
  <c r="E38" i="64"/>
  <c r="E62" i="65" s="1"/>
  <c r="F205" i="64"/>
  <c r="F96" i="65" s="1"/>
  <c r="E284" i="48"/>
  <c r="E272" i="64" s="1"/>
  <c r="E198" i="65" s="1"/>
  <c r="A1" i="73"/>
  <c r="F86" i="68"/>
  <c r="F87" i="68"/>
  <c r="F88" i="68" s="1"/>
  <c r="F63" i="68"/>
  <c r="F64" i="68" s="1"/>
  <c r="G62" i="68"/>
  <c r="H62" i="68" s="1"/>
  <c r="A78" i="68"/>
  <c r="E97" i="68"/>
  <c r="H81" i="68" s="1"/>
  <c r="D78" i="68"/>
  <c r="D45" i="68"/>
  <c r="G85" i="68"/>
  <c r="H85" i="68" s="1"/>
  <c r="G86" i="68"/>
  <c r="H86" i="68" s="1"/>
  <c r="D60" i="68"/>
  <c r="E131" i="68"/>
  <c r="E132" i="68" s="1"/>
  <c r="E133" i="68" s="1"/>
  <c r="E134" i="68" s="1"/>
  <c r="E135" i="68" s="1"/>
  <c r="E136" i="68" s="1"/>
  <c r="E137" i="68" s="1"/>
  <c r="E138" i="68" s="1"/>
  <c r="E139" i="68" s="1"/>
  <c r="E140" i="68" s="1"/>
  <c r="E141" i="68" s="1"/>
  <c r="D56" i="68"/>
  <c r="D51" i="68"/>
  <c r="D27" i="68"/>
  <c r="D24" i="68"/>
  <c r="E150" i="68"/>
  <c r="D141" i="68"/>
  <c r="D140" i="68"/>
  <c r="D139" i="68"/>
  <c r="D138" i="68"/>
  <c r="D137" i="68"/>
  <c r="D136" i="68"/>
  <c r="D135" i="68"/>
  <c r="D134" i="68"/>
  <c r="D133" i="68"/>
  <c r="D132" i="68"/>
  <c r="D131" i="68"/>
  <c r="D130" i="68"/>
  <c r="E74" i="68"/>
  <c r="C60" i="68"/>
  <c r="A60" i="68"/>
  <c r="C56" i="68"/>
  <c r="B56" i="68"/>
  <c r="A56" i="68"/>
  <c r="B51" i="68"/>
  <c r="A51" i="68"/>
  <c r="C24" i="68"/>
  <c r="C27" i="68" s="1"/>
  <c r="C45" i="68" s="1"/>
  <c r="C48" i="68" s="1"/>
  <c r="B48" i="68"/>
  <c r="B24" i="68"/>
  <c r="B27" i="68" s="1"/>
  <c r="B45" i="68" s="1"/>
  <c r="A24" i="68"/>
  <c r="A1" i="68"/>
  <c r="C17" i="72"/>
  <c r="C12" i="72"/>
  <c r="C11" i="72"/>
  <c r="A1" i="72"/>
  <c r="BO31" i="72"/>
  <c r="BP45" i="72" s="1"/>
  <c r="BK31" i="72"/>
  <c r="BL45" i="72" s="1"/>
  <c r="BG31" i="72"/>
  <c r="BH43" i="72" s="1"/>
  <c r="BC31" i="72"/>
  <c r="BD43" i="72" s="1"/>
  <c r="AY31" i="72"/>
  <c r="AZ41" i="72" s="1"/>
  <c r="AU31" i="72"/>
  <c r="AV41" i="72" s="1"/>
  <c r="AY41" i="72"/>
  <c r="AU41" i="72"/>
  <c r="BG43" i="72"/>
  <c r="BC43" i="72"/>
  <c r="AY42" i="72"/>
  <c r="AU42" i="72"/>
  <c r="BO45" i="72"/>
  <c r="BK45" i="72"/>
  <c r="BG44" i="72"/>
  <c r="BC44" i="72"/>
  <c r="AZ45" i="72"/>
  <c r="BO46" i="72"/>
  <c r="BP47" i="72"/>
  <c r="BP48" i="72" s="1"/>
  <c r="BK46" i="72"/>
  <c r="AZ46" i="72"/>
  <c r="BP49" i="72"/>
  <c r="BP50" i="72" s="1"/>
  <c r="BP51" i="72"/>
  <c r="BP52" i="72" s="1"/>
  <c r="AV51" i="72"/>
  <c r="AV52" i="72" s="1"/>
  <c r="BP53" i="72"/>
  <c r="BP54" i="72" s="1"/>
  <c r="BD53" i="72"/>
  <c r="BD54" i="72" s="1"/>
  <c r="BP55" i="72"/>
  <c r="BP56" i="72"/>
  <c r="BP57" i="72"/>
  <c r="BP58" i="72"/>
  <c r="BP59" i="72"/>
  <c r="BP60" i="72"/>
  <c r="BP61" i="72"/>
  <c r="BP62" i="72"/>
  <c r="BP63" i="72"/>
  <c r="BP64" i="72"/>
  <c r="AV63" i="72"/>
  <c r="AV64" i="72" s="1"/>
  <c r="BP65" i="72"/>
  <c r="BP66" i="72" s="1"/>
  <c r="BL65" i="72"/>
  <c r="BL66" i="72" s="1"/>
  <c r="AZ65" i="72"/>
  <c r="AZ66" i="72" s="1"/>
  <c r="AV65" i="72"/>
  <c r="AV66" i="72" s="1"/>
  <c r="BP67" i="72"/>
  <c r="BP68" i="72" s="1"/>
  <c r="BL67" i="72"/>
  <c r="BL68" i="72" s="1"/>
  <c r="BH67" i="72"/>
  <c r="BH68" i="72" s="1"/>
  <c r="AZ67" i="72"/>
  <c r="AZ68" i="72" s="1"/>
  <c r="AV67" i="72"/>
  <c r="AV68" i="72" s="1"/>
  <c r="BP69" i="72"/>
  <c r="BP70" i="72" s="1"/>
  <c r="BH69" i="72"/>
  <c r="BH70" i="72" s="1"/>
  <c r="BD69" i="72"/>
  <c r="BD70" i="72" s="1"/>
  <c r="AZ69" i="72"/>
  <c r="AZ70" i="72" s="1"/>
  <c r="BP71" i="72"/>
  <c r="BP72" i="72" s="1"/>
  <c r="BL71" i="72"/>
  <c r="BL72" i="72" s="1"/>
  <c r="BH71" i="72"/>
  <c r="BH72" i="72" s="1"/>
  <c r="AZ71" i="72"/>
  <c r="AZ72" i="72" s="1"/>
  <c r="AV71" i="72"/>
  <c r="AV72" i="72" s="1"/>
  <c r="BP73" i="72"/>
  <c r="BP74" i="72" s="1"/>
  <c r="BH73" i="72"/>
  <c r="BH74" i="72" s="1"/>
  <c r="BD73" i="72"/>
  <c r="BD74" i="72" s="1"/>
  <c r="AZ73" i="72"/>
  <c r="AZ74" i="72" s="1"/>
  <c r="BP75" i="72"/>
  <c r="BP76" i="72" s="1"/>
  <c r="BL75" i="72"/>
  <c r="BH75" i="72"/>
  <c r="BH76" i="72" s="1"/>
  <c r="AZ75" i="72"/>
  <c r="AZ76" i="72" s="1"/>
  <c r="AV75" i="72"/>
  <c r="AV76" i="72" s="1"/>
  <c r="BL76" i="72"/>
  <c r="BP23" i="72"/>
  <c r="BQ23" i="72" s="1"/>
  <c r="BR23" i="72" s="1"/>
  <c r="BL23" i="72"/>
  <c r="BM23" i="72" s="1"/>
  <c r="BN23" i="72" s="1"/>
  <c r="BH23" i="72"/>
  <c r="BI23" i="72" s="1"/>
  <c r="BJ23" i="72" s="1"/>
  <c r="BD23" i="72"/>
  <c r="BE23" i="72" s="1"/>
  <c r="BF23" i="72" s="1"/>
  <c r="AZ23" i="72"/>
  <c r="BA23" i="72" s="1"/>
  <c r="BB23" i="72" s="1"/>
  <c r="AV23" i="72"/>
  <c r="AW23" i="72" s="1"/>
  <c r="AX23" i="72" s="1"/>
  <c r="B40" i="72"/>
  <c r="B42" i="72" s="1"/>
  <c r="B44" i="72" s="1"/>
  <c r="B46" i="72" s="1"/>
  <c r="B48" i="72" s="1"/>
  <c r="B50" i="72" s="1"/>
  <c r="B52" i="72" s="1"/>
  <c r="B54" i="72" s="1"/>
  <c r="B56" i="72" s="1"/>
  <c r="B58" i="72" s="1"/>
  <c r="B60" i="72" s="1"/>
  <c r="B62" i="72" s="1"/>
  <c r="B64" i="72" s="1"/>
  <c r="B66" i="72" s="1"/>
  <c r="B68" i="72" s="1"/>
  <c r="B70" i="72" s="1"/>
  <c r="B72" i="72" s="1"/>
  <c r="B39" i="72"/>
  <c r="B41" i="72" s="1"/>
  <c r="B43" i="72" s="1"/>
  <c r="B45" i="72" s="1"/>
  <c r="B47" i="72" s="1"/>
  <c r="B49" i="72" s="1"/>
  <c r="B51" i="72" s="1"/>
  <c r="B53" i="72" s="1"/>
  <c r="B55" i="72" s="1"/>
  <c r="B57" i="72" s="1"/>
  <c r="B59" i="72" s="1"/>
  <c r="B61" i="72" s="1"/>
  <c r="B63" i="72" s="1"/>
  <c r="B65" i="72" s="1"/>
  <c r="B67" i="72" s="1"/>
  <c r="B69" i="72" s="1"/>
  <c r="B71" i="72" s="1"/>
  <c r="CN134" i="72"/>
  <c r="CO133" i="72"/>
  <c r="C18" i="53"/>
  <c r="C14" i="53"/>
  <c r="B14" i="53"/>
  <c r="A1" i="53"/>
  <c r="A12" i="48"/>
  <c r="A13" i="48"/>
  <c r="F21" i="48"/>
  <c r="F48" i="48"/>
  <c r="C60" i="48"/>
  <c r="C64" i="48"/>
  <c r="F64" i="48"/>
  <c r="F89" i="48"/>
  <c r="F127" i="48"/>
  <c r="F157" i="48"/>
  <c r="C248" i="48"/>
  <c r="C273" i="48"/>
  <c r="E220" i="48"/>
  <c r="C262" i="48"/>
  <c r="E84" i="48"/>
  <c r="E189" i="48"/>
  <c r="D190" i="48"/>
  <c r="E115" i="48"/>
  <c r="C32" i="55"/>
  <c r="C33" i="55" s="1"/>
  <c r="C28" i="55"/>
  <c r="D32" i="55"/>
  <c r="K34" i="55"/>
  <c r="L16" i="55"/>
  <c r="K25" i="55" s="1"/>
  <c r="K28" i="55"/>
  <c r="L34" i="55"/>
  <c r="G34" i="55"/>
  <c r="L10" i="55"/>
  <c r="G25" i="55" s="1"/>
  <c r="G28" i="55"/>
  <c r="H34" i="55"/>
  <c r="L36" i="55"/>
  <c r="L37" i="55" s="1"/>
  <c r="H36" i="55"/>
  <c r="H37" i="55" s="1"/>
  <c r="L38" i="55"/>
  <c r="L39" i="55" s="1"/>
  <c r="H38" i="55"/>
  <c r="H39" i="55" s="1"/>
  <c r="L40" i="55"/>
  <c r="L41" i="55" s="1"/>
  <c r="H40" i="55"/>
  <c r="H41" i="55" s="1"/>
  <c r="L42" i="55"/>
  <c r="L43" i="55" s="1"/>
  <c r="H42" i="55"/>
  <c r="H43" i="55" s="1"/>
  <c r="L44" i="55"/>
  <c r="L45" i="55" s="1"/>
  <c r="H44" i="55"/>
  <c r="H45" i="55" s="1"/>
  <c r="L46" i="55"/>
  <c r="H46" i="55"/>
  <c r="H47" i="55"/>
  <c r="D46" i="55"/>
  <c r="D47" i="55" s="1"/>
  <c r="L47" i="55"/>
  <c r="L48" i="55"/>
  <c r="H48" i="55"/>
  <c r="H49" i="55" s="1"/>
  <c r="D48" i="55"/>
  <c r="L49" i="55"/>
  <c r="D49" i="55"/>
  <c r="L50" i="55"/>
  <c r="H50" i="55"/>
  <c r="H51" i="55"/>
  <c r="D50" i="55"/>
  <c r="D51" i="55" s="1"/>
  <c r="L51" i="55"/>
  <c r="L52" i="55"/>
  <c r="H52" i="55"/>
  <c r="H53" i="55" s="1"/>
  <c r="D52" i="55"/>
  <c r="L53" i="55"/>
  <c r="D53" i="55"/>
  <c r="L54" i="55"/>
  <c r="H54" i="55"/>
  <c r="H55" i="55"/>
  <c r="D54" i="55"/>
  <c r="D55" i="55" s="1"/>
  <c r="L55" i="55"/>
  <c r="L56" i="55"/>
  <c r="H56" i="55"/>
  <c r="H57" i="55" s="1"/>
  <c r="D56" i="55"/>
  <c r="L57" i="55"/>
  <c r="D57" i="55"/>
  <c r="L58" i="55"/>
  <c r="H58" i="55"/>
  <c r="H59" i="55"/>
  <c r="D58" i="55"/>
  <c r="D59" i="55" s="1"/>
  <c r="L59" i="55"/>
  <c r="L60" i="55"/>
  <c r="H60" i="55"/>
  <c r="H61" i="55" s="1"/>
  <c r="D60" i="55"/>
  <c r="L61" i="55"/>
  <c r="D61" i="55"/>
  <c r="L62" i="55"/>
  <c r="H62" i="55"/>
  <c r="H63" i="55"/>
  <c r="D62" i="55"/>
  <c r="D63" i="55" s="1"/>
  <c r="L63" i="55"/>
  <c r="L64" i="55"/>
  <c r="H64" i="55"/>
  <c r="H65" i="55" s="1"/>
  <c r="D64" i="55"/>
  <c r="L65" i="55"/>
  <c r="D65" i="55"/>
  <c r="L66" i="55"/>
  <c r="H66" i="55"/>
  <c r="H67" i="55"/>
  <c r="D66" i="55"/>
  <c r="D67" i="55" s="1"/>
  <c r="L67" i="55"/>
  <c r="L68" i="55"/>
  <c r="H68" i="55"/>
  <c r="H69" i="55" s="1"/>
  <c r="D68" i="55"/>
  <c r="L69" i="55"/>
  <c r="D69" i="55"/>
  <c r="L70" i="55"/>
  <c r="H70" i="55"/>
  <c r="H71" i="55"/>
  <c r="D70" i="55"/>
  <c r="D71" i="55" s="1"/>
  <c r="E71" i="55" s="1"/>
  <c r="L71" i="55"/>
  <c r="AI28" i="55"/>
  <c r="AJ40" i="55" s="1"/>
  <c r="AE28" i="55"/>
  <c r="AF40" i="55"/>
  <c r="AF41" i="55" s="1"/>
  <c r="AA28" i="55"/>
  <c r="AB38" i="55" s="1"/>
  <c r="W28" i="55"/>
  <c r="X38" i="55"/>
  <c r="S28" i="55"/>
  <c r="T36" i="55" s="1"/>
  <c r="O28" i="55"/>
  <c r="P38" i="55" s="1"/>
  <c r="P36" i="55"/>
  <c r="P37" i="55" s="1"/>
  <c r="C16" i="55"/>
  <c r="C11" i="55"/>
  <c r="C10" i="55"/>
  <c r="S36" i="55"/>
  <c r="O36" i="55"/>
  <c r="Q36" i="55" s="1"/>
  <c r="AA38" i="55"/>
  <c r="W38" i="55"/>
  <c r="S37" i="55"/>
  <c r="T38" i="55"/>
  <c r="AI40" i="55"/>
  <c r="AE40" i="55"/>
  <c r="AG40" i="55" s="1"/>
  <c r="AA39" i="55"/>
  <c r="W39" i="55"/>
  <c r="X40" i="55"/>
  <c r="X41" i="55" s="1"/>
  <c r="T39" i="55"/>
  <c r="P40" i="55"/>
  <c r="P41" i="55" s="1"/>
  <c r="AI41" i="55"/>
  <c r="AF42" i="55"/>
  <c r="AF43" i="55" s="1"/>
  <c r="X42" i="55"/>
  <c r="X43" i="55" s="1"/>
  <c r="P42" i="55"/>
  <c r="P43" i="55" s="1"/>
  <c r="AF44" i="55"/>
  <c r="AF45" i="55" s="1"/>
  <c r="X44" i="55"/>
  <c r="X45" i="55" s="1"/>
  <c r="P44" i="55"/>
  <c r="P45" i="55" s="1"/>
  <c r="AF46" i="55"/>
  <c r="AF47" i="55" s="1"/>
  <c r="X46" i="55"/>
  <c r="X47" i="55" s="1"/>
  <c r="P46" i="55"/>
  <c r="P47" i="55" s="1"/>
  <c r="AF48" i="55"/>
  <c r="AF49" i="55" s="1"/>
  <c r="X48" i="55"/>
  <c r="X49" i="55" s="1"/>
  <c r="P48" i="55"/>
  <c r="P49" i="55" s="1"/>
  <c r="AF50" i="55"/>
  <c r="AF51" i="55" s="1"/>
  <c r="X50" i="55"/>
  <c r="X51" i="55" s="1"/>
  <c r="P50" i="55"/>
  <c r="P51" i="55" s="1"/>
  <c r="AF52" i="55"/>
  <c r="AF53" i="55" s="1"/>
  <c r="X52" i="55"/>
  <c r="P52" i="55"/>
  <c r="AJ54" i="55"/>
  <c r="AF54" i="55"/>
  <c r="AB54" i="55"/>
  <c r="X53" i="55"/>
  <c r="X54" i="55"/>
  <c r="T54" i="55"/>
  <c r="P53" i="55"/>
  <c r="P54" i="55"/>
  <c r="AJ55" i="55"/>
  <c r="AJ56" i="55"/>
  <c r="AF55" i="55"/>
  <c r="AF56" i="55"/>
  <c r="AB55" i="55"/>
  <c r="AB56" i="55"/>
  <c r="X55" i="55"/>
  <c r="X56" i="55"/>
  <c r="T55" i="55"/>
  <c r="T56" i="55"/>
  <c r="P55" i="55"/>
  <c r="P56" i="55"/>
  <c r="AJ57" i="55"/>
  <c r="AJ58" i="55"/>
  <c r="AF57" i="55"/>
  <c r="AF58" i="55"/>
  <c r="AB57" i="55"/>
  <c r="AB58" i="55"/>
  <c r="X57" i="55"/>
  <c r="X58" i="55"/>
  <c r="T57" i="55"/>
  <c r="T58" i="55"/>
  <c r="P57" i="55"/>
  <c r="P58" i="55"/>
  <c r="AJ59" i="55"/>
  <c r="AJ60" i="55"/>
  <c r="AF59" i="55"/>
  <c r="AF60" i="55"/>
  <c r="AB59" i="55"/>
  <c r="AB60" i="55"/>
  <c r="X59" i="55"/>
  <c r="X60" i="55"/>
  <c r="T59" i="55"/>
  <c r="T60" i="55"/>
  <c r="P59" i="55"/>
  <c r="P60" i="55"/>
  <c r="AJ61" i="55"/>
  <c r="AJ62" i="55"/>
  <c r="AF61" i="55"/>
  <c r="AF62" i="55"/>
  <c r="AB61" i="55"/>
  <c r="AB62" i="55"/>
  <c r="X61" i="55"/>
  <c r="X62" i="55"/>
  <c r="T61" i="55"/>
  <c r="T62" i="55"/>
  <c r="P61" i="55"/>
  <c r="P62" i="55"/>
  <c r="AJ63" i="55"/>
  <c r="AJ64" i="55"/>
  <c r="AF63" i="55"/>
  <c r="AF64" i="55"/>
  <c r="AB63" i="55"/>
  <c r="AB64" i="55"/>
  <c r="X63" i="55"/>
  <c r="X64" i="55"/>
  <c r="T63" i="55"/>
  <c r="T64" i="55"/>
  <c r="P63" i="55"/>
  <c r="P64" i="55"/>
  <c r="AJ65" i="55"/>
  <c r="AJ66" i="55"/>
  <c r="AF65" i="55"/>
  <c r="AF66" i="55"/>
  <c r="AB65" i="55"/>
  <c r="AB66" i="55"/>
  <c r="X65" i="55"/>
  <c r="X66" i="55"/>
  <c r="T65" i="55"/>
  <c r="T66" i="55"/>
  <c r="P65" i="55"/>
  <c r="P66" i="55"/>
  <c r="AJ67" i="55"/>
  <c r="AJ68" i="55"/>
  <c r="AF67" i="55"/>
  <c r="AF68" i="55"/>
  <c r="AB67" i="55"/>
  <c r="AB68" i="55"/>
  <c r="X67" i="55"/>
  <c r="X68" i="55"/>
  <c r="T67" i="55"/>
  <c r="T68" i="55"/>
  <c r="P67" i="55"/>
  <c r="P68" i="55"/>
  <c r="AJ69" i="55"/>
  <c r="AJ70" i="55"/>
  <c r="AF69" i="55"/>
  <c r="AF70" i="55"/>
  <c r="AF71" i="55" s="1"/>
  <c r="AB69" i="55"/>
  <c r="AB70" i="55"/>
  <c r="X69" i="55"/>
  <c r="X70" i="55"/>
  <c r="T69" i="55"/>
  <c r="T70" i="55"/>
  <c r="P69" i="55"/>
  <c r="P70" i="55"/>
  <c r="P71" i="55" s="1"/>
  <c r="AJ71" i="55"/>
  <c r="AB71" i="55"/>
  <c r="X71" i="55"/>
  <c r="T71" i="55"/>
  <c r="AO72" i="55"/>
  <c r="AN73" i="55"/>
  <c r="AJ21" i="55"/>
  <c r="AK21" i="55" s="1"/>
  <c r="AL21" i="55" s="1"/>
  <c r="AF21" i="55"/>
  <c r="AG21" i="55"/>
  <c r="AH21" i="55" s="1"/>
  <c r="AB21" i="55"/>
  <c r="AC21" i="55" s="1"/>
  <c r="AD21" i="55" s="1"/>
  <c r="X21" i="55"/>
  <c r="Y21" i="55" s="1"/>
  <c r="Z21" i="55" s="1"/>
  <c r="T21" i="55"/>
  <c r="U21" i="55" s="1"/>
  <c r="V21" i="55" s="1"/>
  <c r="P21" i="55"/>
  <c r="Q21" i="55"/>
  <c r="R21" i="55" s="1"/>
  <c r="L21" i="55"/>
  <c r="M21" i="55" s="1"/>
  <c r="N21" i="55" s="1"/>
  <c r="D21" i="55"/>
  <c r="E21" i="55" s="1"/>
  <c r="F21" i="55" s="1"/>
  <c r="B35" i="55"/>
  <c r="B37" i="55" s="1"/>
  <c r="B39" i="55" s="1"/>
  <c r="B41" i="55" s="1"/>
  <c r="B43" i="55" s="1"/>
  <c r="B45" i="55" s="1"/>
  <c r="B47" i="55" s="1"/>
  <c r="B49" i="55" s="1"/>
  <c r="B51" i="55" s="1"/>
  <c r="B53" i="55" s="1"/>
  <c r="B55" i="55" s="1"/>
  <c r="B57" i="55" s="1"/>
  <c r="B59" i="55" s="1"/>
  <c r="B61" i="55" s="1"/>
  <c r="B63" i="55" s="1"/>
  <c r="B65" i="55" s="1"/>
  <c r="B67" i="55" s="1"/>
  <c r="B69" i="55" s="1"/>
  <c r="B71" i="55" s="1"/>
  <c r="B34" i="55"/>
  <c r="B36" i="55"/>
  <c r="B38" i="55" s="1"/>
  <c r="B40" i="55" s="1"/>
  <c r="B42" i="55" s="1"/>
  <c r="B44" i="55" s="1"/>
  <c r="B46" i="55" s="1"/>
  <c r="B48" i="55" s="1"/>
  <c r="B50" i="55" s="1"/>
  <c r="B52" i="55" s="1"/>
  <c r="B54" i="55" s="1"/>
  <c r="B56" i="55" s="1"/>
  <c r="B58" i="55" s="1"/>
  <c r="B60" i="55" s="1"/>
  <c r="B62" i="55" s="1"/>
  <c r="B64" i="55" s="1"/>
  <c r="B66" i="55" s="1"/>
  <c r="B68" i="55" s="1"/>
  <c r="B70" i="55" s="1"/>
  <c r="AE26" i="55"/>
  <c r="AA25" i="55"/>
  <c r="AI25" i="55"/>
  <c r="K26" i="55"/>
  <c r="L11" i="55"/>
  <c r="F111" i="64"/>
  <c r="C77" i="64"/>
  <c r="F77" i="64"/>
  <c r="C239" i="64"/>
  <c r="E239" i="64"/>
  <c r="E77" i="64"/>
  <c r="F239" i="64"/>
  <c r="O3" i="64"/>
  <c r="Q3" i="64"/>
  <c r="P3" i="64"/>
  <c r="N3" i="64"/>
  <c r="M3" i="64"/>
  <c r="K3" i="64"/>
  <c r="L3" i="64"/>
  <c r="J3" i="64"/>
  <c r="I3" i="64"/>
  <c r="H3" i="64"/>
  <c r="B245" i="64"/>
  <c r="B389" i="64" s="1"/>
  <c r="F390" i="64"/>
  <c r="I408" i="64"/>
  <c r="G406" i="64"/>
  <c r="C374" i="64"/>
  <c r="G372" i="64" s="1"/>
  <c r="G354" i="64"/>
  <c r="G313" i="64"/>
  <c r="G323" i="64"/>
  <c r="B5" i="64"/>
  <c r="A6" i="64"/>
  <c r="C6" i="64"/>
  <c r="F6" i="64"/>
  <c r="C8" i="64"/>
  <c r="F8" i="64"/>
  <c r="C9" i="64"/>
  <c r="F9" i="64"/>
  <c r="C10" i="64"/>
  <c r="A12" i="64"/>
  <c r="B12" i="64"/>
  <c r="C18" i="64"/>
  <c r="C20" i="64"/>
  <c r="F20" i="64"/>
  <c r="C24" i="64"/>
  <c r="C26" i="64"/>
  <c r="C28" i="64"/>
  <c r="B29" i="64"/>
  <c r="C31" i="64"/>
  <c r="B32" i="64"/>
  <c r="A34" i="64"/>
  <c r="A35" i="64"/>
  <c r="C39" i="64"/>
  <c r="F39" i="64"/>
  <c r="C41" i="64"/>
  <c r="C42" i="64"/>
  <c r="C43" i="64"/>
  <c r="B47" i="64"/>
  <c r="B49" i="64"/>
  <c r="C51" i="64"/>
  <c r="F51" i="64"/>
  <c r="C53" i="64"/>
  <c r="F53" i="64"/>
  <c r="C57" i="64"/>
  <c r="C59" i="64"/>
  <c r="B61" i="64"/>
  <c r="B63" i="64"/>
  <c r="A65" i="64"/>
  <c r="B67" i="64"/>
  <c r="C68" i="64"/>
  <c r="F68" i="64"/>
  <c r="C69" i="64"/>
  <c r="F69" i="64"/>
  <c r="C70" i="64"/>
  <c r="C73" i="64"/>
  <c r="B76" i="64"/>
  <c r="C78" i="64"/>
  <c r="C79" i="64"/>
  <c r="B81" i="64"/>
  <c r="C83" i="64"/>
  <c r="C84" i="64"/>
  <c r="C85" i="64"/>
  <c r="F85" i="64"/>
  <c r="C86" i="64"/>
  <c r="B88" i="64"/>
  <c r="C89" i="64"/>
  <c r="C90" i="64"/>
  <c r="F90" i="64"/>
  <c r="C91" i="64"/>
  <c r="B93" i="64"/>
  <c r="C95" i="64"/>
  <c r="C96" i="64"/>
  <c r="B98" i="64"/>
  <c r="B100" i="64"/>
  <c r="A102" i="64"/>
  <c r="B104" i="64"/>
  <c r="C105" i="64"/>
  <c r="F105" i="64"/>
  <c r="C106" i="64"/>
  <c r="F106" i="64"/>
  <c r="C107" i="64"/>
  <c r="F107" i="64"/>
  <c r="C108" i="64"/>
  <c r="C112" i="64"/>
  <c r="F112" i="64"/>
  <c r="C113" i="64"/>
  <c r="F113" i="64"/>
  <c r="C115" i="64"/>
  <c r="F115" i="64"/>
  <c r="C117" i="64"/>
  <c r="C118" i="64"/>
  <c r="C119" i="64"/>
  <c r="C124" i="64"/>
  <c r="C126" i="64"/>
  <c r="F126" i="64"/>
  <c r="C128" i="64"/>
  <c r="C129" i="64"/>
  <c r="C130" i="64"/>
  <c r="C132" i="64"/>
  <c r="A134" i="64"/>
  <c r="B136" i="64"/>
  <c r="C137" i="64"/>
  <c r="F137" i="64"/>
  <c r="C139" i="64"/>
  <c r="F139" i="64"/>
  <c r="C141" i="64"/>
  <c r="C142" i="64"/>
  <c r="C143" i="64"/>
  <c r="C147" i="64"/>
  <c r="C148" i="64"/>
  <c r="C149" i="64"/>
  <c r="B152" i="64"/>
  <c r="A154" i="64"/>
  <c r="B156" i="64"/>
  <c r="F156" i="64"/>
  <c r="B158" i="64"/>
  <c r="A160" i="64"/>
  <c r="B162" i="64"/>
  <c r="C163" i="64"/>
  <c r="F163" i="64"/>
  <c r="C164" i="64"/>
  <c r="F164" i="64"/>
  <c r="C165" i="64"/>
  <c r="B167" i="64"/>
  <c r="E167" i="64"/>
  <c r="F167" i="64"/>
  <c r="B169" i="64"/>
  <c r="C170" i="64"/>
  <c r="F170" i="64"/>
  <c r="C171" i="64"/>
  <c r="E171" i="64"/>
  <c r="C172" i="64"/>
  <c r="C173" i="64"/>
  <c r="E173" i="64"/>
  <c r="F173" i="64"/>
  <c r="C174" i="64"/>
  <c r="B176" i="64"/>
  <c r="C177" i="64"/>
  <c r="F177" i="64"/>
  <c r="C178" i="64"/>
  <c r="F178" i="64"/>
  <c r="C179" i="64"/>
  <c r="E179" i="64"/>
  <c r="F179" i="64"/>
  <c r="C180" i="64"/>
  <c r="E180" i="64"/>
  <c r="C181" i="64"/>
  <c r="C182" i="64"/>
  <c r="F182" i="64"/>
  <c r="C183" i="64"/>
  <c r="C184" i="64"/>
  <c r="C186" i="64"/>
  <c r="D186" i="64"/>
  <c r="C187" i="64"/>
  <c r="D187" i="64"/>
  <c r="C188" i="64"/>
  <c r="D188" i="64"/>
  <c r="C190" i="64"/>
  <c r="D190" i="64"/>
  <c r="C191" i="64"/>
  <c r="D191" i="64"/>
  <c r="C192" i="64"/>
  <c r="D192" i="64"/>
  <c r="F192" i="64"/>
  <c r="C194" i="64"/>
  <c r="D194" i="64"/>
  <c r="C195" i="64"/>
  <c r="D195" i="64"/>
  <c r="C196" i="64"/>
  <c r="D196" i="64"/>
  <c r="B197" i="64"/>
  <c r="B199" i="64"/>
  <c r="A201" i="64"/>
  <c r="A203" i="64"/>
  <c r="B203" i="64"/>
  <c r="C204" i="64"/>
  <c r="F204" i="64"/>
  <c r="C206" i="64"/>
  <c r="D206" i="64"/>
  <c r="F206" i="64"/>
  <c r="C207" i="64"/>
  <c r="D207" i="64"/>
  <c r="C208" i="64"/>
  <c r="B210" i="64"/>
  <c r="C211" i="64"/>
  <c r="F211" i="64"/>
  <c r="C212" i="64"/>
  <c r="C213" i="64"/>
  <c r="C214" i="64"/>
  <c r="B218" i="64"/>
  <c r="D218" i="64"/>
  <c r="B220" i="64"/>
  <c r="A222" i="64"/>
  <c r="B224" i="64"/>
  <c r="C225" i="64"/>
  <c r="C226" i="64"/>
  <c r="C227" i="64"/>
  <c r="C229" i="64"/>
  <c r="C230" i="64"/>
  <c r="C231" i="64"/>
  <c r="C232" i="64"/>
  <c r="C233" i="64"/>
  <c r="C235" i="64"/>
  <c r="B237" i="64"/>
  <c r="C240" i="64"/>
  <c r="C241" i="64"/>
  <c r="C242" i="64"/>
  <c r="C243" i="64"/>
  <c r="C246" i="64"/>
  <c r="F246" i="64"/>
  <c r="C249" i="64"/>
  <c r="B251" i="64"/>
  <c r="C253" i="64"/>
  <c r="C254" i="64"/>
  <c r="C255" i="64"/>
  <c r="C256" i="64"/>
  <c r="B259" i="64"/>
  <c r="C260" i="64"/>
  <c r="C261" i="64"/>
  <c r="F261" i="64"/>
  <c r="C262" i="64"/>
  <c r="C264" i="64"/>
  <c r="C265" i="64"/>
  <c r="C267" i="64"/>
  <c r="C268" i="64"/>
  <c r="F268" i="64"/>
  <c r="C269" i="64"/>
  <c r="B271" i="64"/>
  <c r="C273" i="64"/>
  <c r="D273" i="64"/>
  <c r="C275" i="64"/>
  <c r="E214" i="64"/>
  <c r="A69" i="64"/>
  <c r="A70" i="64"/>
  <c r="F70" i="64"/>
  <c r="A104" i="64"/>
  <c r="A8" i="64"/>
  <c r="F18" i="64"/>
  <c r="F42" i="64"/>
  <c r="C54" i="64"/>
  <c r="C58" i="64"/>
  <c r="F58" i="64"/>
  <c r="F78" i="64"/>
  <c r="F83" i="64"/>
  <c r="F118" i="64"/>
  <c r="F142" i="64"/>
  <c r="F148" i="64"/>
  <c r="E178" i="64"/>
  <c r="C238" i="64"/>
  <c r="C263" i="64"/>
  <c r="E211" i="64"/>
  <c r="E192" i="64"/>
  <c r="E374" i="64"/>
  <c r="C252" i="64"/>
  <c r="F95" i="64"/>
  <c r="A78" i="64"/>
  <c r="F214" i="64"/>
  <c r="F171" i="64"/>
  <c r="A268" i="64"/>
  <c r="F180" i="64"/>
  <c r="F172" i="64"/>
  <c r="E32" i="55"/>
  <c r="D33" i="55"/>
  <c r="W25" i="55"/>
  <c r="D44" i="55"/>
  <c r="D45" i="55" s="1"/>
  <c r="D42" i="55"/>
  <c r="D43" i="55"/>
  <c r="D40" i="55"/>
  <c r="D41" i="55" s="1"/>
  <c r="D38" i="55"/>
  <c r="D39" i="55"/>
  <c r="D36" i="55"/>
  <c r="D37" i="55" s="1"/>
  <c r="K35" i="55"/>
  <c r="D34" i="55"/>
  <c r="D35" i="55" s="1"/>
  <c r="AV49" i="72"/>
  <c r="AV50" i="72" s="1"/>
  <c r="BD49" i="72"/>
  <c r="BD50" i="72" s="1"/>
  <c r="BL49" i="72"/>
  <c r="BL50" i="72" s="1"/>
  <c r="AV47" i="72"/>
  <c r="AV48" i="72" s="1"/>
  <c r="BD47" i="72"/>
  <c r="BD48" i="72" s="1"/>
  <c r="BL47" i="72"/>
  <c r="BL48" i="72" s="1"/>
  <c r="AV45" i="72"/>
  <c r="AV46" i="72" s="1"/>
  <c r="BD45" i="72"/>
  <c r="BD46" i="72" s="1"/>
  <c r="AV43" i="72"/>
  <c r="AV44" i="72" s="1"/>
  <c r="G87" i="68"/>
  <c r="G63" i="68"/>
  <c r="S44" i="72"/>
  <c r="Q45" i="72"/>
  <c r="H118" i="68"/>
  <c r="H119" i="68" s="1"/>
  <c r="F31" i="68"/>
  <c r="L43" i="72"/>
  <c r="L44" i="72" s="1"/>
  <c r="S31" i="72"/>
  <c r="T45" i="72" s="1"/>
  <c r="T46" i="72" s="1"/>
  <c r="I44" i="72"/>
  <c r="G45" i="72" s="1"/>
  <c r="G46" i="72" s="1"/>
  <c r="H47" i="72"/>
  <c r="H48" i="72" s="1"/>
  <c r="D47" i="72"/>
  <c r="D48" i="72" s="1"/>
  <c r="X53" i="72"/>
  <c r="X54" i="72" s="1"/>
  <c r="X49" i="72"/>
  <c r="X50" i="72" s="1"/>
  <c r="H63" i="68"/>
  <c r="T43" i="72"/>
  <c r="T123" i="72"/>
  <c r="T124" i="72" s="1"/>
  <c r="T125" i="72"/>
  <c r="T126" i="72"/>
  <c r="T127" i="72"/>
  <c r="T128" i="72" s="1"/>
  <c r="T129" i="72"/>
  <c r="T130" i="72"/>
  <c r="T131" i="72"/>
  <c r="T132" i="72" s="1"/>
  <c r="G31" i="68"/>
  <c r="F32" i="68"/>
  <c r="F33" i="68" s="1"/>
  <c r="H87" i="68"/>
  <c r="G32" i="68"/>
  <c r="H32" i="68" s="1"/>
  <c r="T44" i="72"/>
  <c r="U44" i="72" s="1"/>
  <c r="S45" i="72" s="1"/>
  <c r="U43" i="72"/>
  <c r="H31" i="68"/>
  <c r="X39" i="55"/>
  <c r="Y38" i="55"/>
  <c r="M34" i="55"/>
  <c r="L35" i="55"/>
  <c r="M35" i="55" s="1"/>
  <c r="A14" i="48"/>
  <c r="F14" i="48"/>
  <c r="F10" i="64" s="1"/>
  <c r="A9" i="64"/>
  <c r="BL46" i="72"/>
  <c r="BM46" i="72" s="1"/>
  <c r="BK47" i="72" s="1"/>
  <c r="BM45" i="72"/>
  <c r="BH44" i="72"/>
  <c r="BI44" i="72" s="1"/>
  <c r="BG45" i="72" s="1"/>
  <c r="BI43" i="72"/>
  <c r="Y39" i="55"/>
  <c r="C19" i="68"/>
  <c r="C78" i="68"/>
  <c r="D44" i="72"/>
  <c r="E44" i="72" s="1"/>
  <c r="C45" i="72" s="1"/>
  <c r="E43" i="72"/>
  <c r="O37" i="55"/>
  <c r="Q37" i="55"/>
  <c r="G35" i="55"/>
  <c r="A21" i="48"/>
  <c r="A17" i="64"/>
  <c r="A8" i="65" s="1"/>
  <c r="I34" i="54"/>
  <c r="E17" i="65"/>
  <c r="D45" i="72"/>
  <c r="D46" i="72" s="1"/>
  <c r="I20" i="54"/>
  <c r="AB47" i="72"/>
  <c r="AB48" i="72" s="1"/>
  <c r="AB49" i="72"/>
  <c r="AB50" i="72" s="1"/>
  <c r="AB51" i="72"/>
  <c r="AB52" i="72" s="1"/>
  <c r="AB53" i="72"/>
  <c r="AB54" i="72" s="1"/>
  <c r="AB55" i="72"/>
  <c r="AB56" i="72" s="1"/>
  <c r="AB57" i="72"/>
  <c r="AB58" i="72" s="1"/>
  <c r="AB59" i="72"/>
  <c r="AB60" i="72" s="1"/>
  <c r="AB61" i="72"/>
  <c r="AB62" i="72" s="1"/>
  <c r="AB63" i="72"/>
  <c r="AB64" i="72" s="1"/>
  <c r="AB65" i="72"/>
  <c r="AB66" i="72" s="1"/>
  <c r="AB67" i="72"/>
  <c r="AB68" i="72" s="1"/>
  <c r="AB69" i="72"/>
  <c r="AB70" i="72" s="1"/>
  <c r="AB71" i="72"/>
  <c r="AB72" i="72" s="1"/>
  <c r="AB73" i="72"/>
  <c r="AB74" i="72" s="1"/>
  <c r="AB75" i="72"/>
  <c r="AB76" i="72" s="1"/>
  <c r="AB77" i="72"/>
  <c r="AB78" i="72" s="1"/>
  <c r="AB79" i="72"/>
  <c r="AB80" i="72" s="1"/>
  <c r="AB81" i="72"/>
  <c r="AB82" i="72" s="1"/>
  <c r="AB83" i="72"/>
  <c r="AB84" i="72" s="1"/>
  <c r="AB85" i="72"/>
  <c r="AB86" i="72" s="1"/>
  <c r="AB87" i="72"/>
  <c r="AB88" i="72" s="1"/>
  <c r="AB89" i="72"/>
  <c r="AB90" i="72" s="1"/>
  <c r="AB91" i="72"/>
  <c r="AB92" i="72" s="1"/>
  <c r="AB93" i="72"/>
  <c r="AB94" i="72" s="1"/>
  <c r="AB95" i="72"/>
  <c r="AB96" i="72" s="1"/>
  <c r="AB97" i="72"/>
  <c r="AB98" i="72" s="1"/>
  <c r="AB99" i="72"/>
  <c r="AB100" i="72" s="1"/>
  <c r="AB101" i="72"/>
  <c r="AB102" i="72" s="1"/>
  <c r="AB103" i="72"/>
  <c r="AB104" i="72" s="1"/>
  <c r="AB105" i="72"/>
  <c r="AB106" i="72" s="1"/>
  <c r="AB107" i="72"/>
  <c r="AB108" i="72" s="1"/>
  <c r="AB109" i="72"/>
  <c r="AB110" i="72" s="1"/>
  <c r="AB111" i="72"/>
  <c r="AB112" i="72" s="1"/>
  <c r="AB113" i="72"/>
  <c r="AB114" i="72" s="1"/>
  <c r="AB115" i="72"/>
  <c r="AB116" i="72" s="1"/>
  <c r="AB117" i="72"/>
  <c r="AB118" i="72" s="1"/>
  <c r="AB119" i="72"/>
  <c r="AB120" i="72" s="1"/>
  <c r="AB121" i="72"/>
  <c r="AB122" i="72" s="1"/>
  <c r="AB123" i="72"/>
  <c r="AB124" i="72" s="1"/>
  <c r="AB125" i="72"/>
  <c r="AB126" i="72" s="1"/>
  <c r="AB127" i="72"/>
  <c r="AB128" i="72" s="1"/>
  <c r="AB129" i="72"/>
  <c r="AB130" i="72" s="1"/>
  <c r="AB131" i="72"/>
  <c r="AB132" i="72" s="1"/>
  <c r="W46" i="72"/>
  <c r="Y46" i="72" s="1"/>
  <c r="W47" i="72" s="1"/>
  <c r="Y45" i="72"/>
  <c r="AB46" i="72"/>
  <c r="AC45" i="72"/>
  <c r="W40" i="55"/>
  <c r="A23" i="48"/>
  <c r="A18" i="64"/>
  <c r="O38" i="55"/>
  <c r="C106" i="68"/>
  <c r="C20" i="68"/>
  <c r="F16" i="48"/>
  <c r="F12" i="64" s="1"/>
  <c r="A10" i="64"/>
  <c r="C21" i="68"/>
  <c r="C153" i="68" s="1"/>
  <c r="C149" i="68"/>
  <c r="O39" i="55"/>
  <c r="A24" i="48"/>
  <c r="A25" i="48" s="1"/>
  <c r="A20" i="64"/>
  <c r="W41" i="55"/>
  <c r="Y40" i="55"/>
  <c r="F54" i="64"/>
  <c r="E53" i="69" l="1"/>
  <c r="D12" i="69" s="1"/>
  <c r="D13" i="69" s="1"/>
  <c r="D16" i="69" s="1"/>
  <c r="AJ41" i="55"/>
  <c r="AK41" i="55" s="1"/>
  <c r="AI42" i="55" s="1"/>
  <c r="AK40" i="55"/>
  <c r="G33" i="68"/>
  <c r="F34" i="68"/>
  <c r="G34" i="68" s="1"/>
  <c r="H34" i="68" s="1"/>
  <c r="P39" i="55"/>
  <c r="Q38" i="55"/>
  <c r="AB39" i="55"/>
  <c r="AC39" i="55" s="1"/>
  <c r="AC38" i="55"/>
  <c r="T37" i="55"/>
  <c r="U37" i="55" s="1"/>
  <c r="S38" i="55" s="1"/>
  <c r="U36" i="55"/>
  <c r="A21" i="64"/>
  <c r="AL40" i="55"/>
  <c r="T52" i="55"/>
  <c r="T53" i="55" s="1"/>
  <c r="AB52" i="55"/>
  <c r="AB53" i="55" s="1"/>
  <c r="AJ52" i="55"/>
  <c r="AJ53" i="55" s="1"/>
  <c r="T50" i="55"/>
  <c r="T51" i="55" s="1"/>
  <c r="AB50" i="55"/>
  <c r="AB51" i="55" s="1"/>
  <c r="AJ50" i="55"/>
  <c r="AJ51" i="55" s="1"/>
  <c r="T48" i="55"/>
  <c r="T49" i="55" s="1"/>
  <c r="AB48" i="55"/>
  <c r="AB49" i="55" s="1"/>
  <c r="AJ48" i="55"/>
  <c r="AJ49" i="55" s="1"/>
  <c r="T46" i="55"/>
  <c r="T47" i="55" s="1"/>
  <c r="AB46" i="55"/>
  <c r="AB47" i="55" s="1"/>
  <c r="AJ46" i="55"/>
  <c r="AJ47" i="55" s="1"/>
  <c r="T44" i="55"/>
  <c r="T45" i="55" s="1"/>
  <c r="AB44" i="55"/>
  <c r="AB45" i="55" s="1"/>
  <c r="AJ44" i="55"/>
  <c r="AJ45" i="55" s="1"/>
  <c r="T42" i="55"/>
  <c r="T43" i="55" s="1"/>
  <c r="AB42" i="55"/>
  <c r="AB43" i="55" s="1"/>
  <c r="AJ42" i="55"/>
  <c r="AJ43" i="55" s="1"/>
  <c r="T40" i="55"/>
  <c r="T41" i="55" s="1"/>
  <c r="AB40" i="55"/>
  <c r="AB41" i="55" s="1"/>
  <c r="BD75" i="72"/>
  <c r="BD76" i="72" s="1"/>
  <c r="AV73" i="72"/>
  <c r="AV74" i="72" s="1"/>
  <c r="BL73" i="72"/>
  <c r="BL74" i="72" s="1"/>
  <c r="BD71" i="72"/>
  <c r="BD72" i="72" s="1"/>
  <c r="AV69" i="72"/>
  <c r="AV70" i="72" s="1"/>
  <c r="BL69" i="72"/>
  <c r="BL70" i="72" s="1"/>
  <c r="BD67" i="72"/>
  <c r="BD68" i="72" s="1"/>
  <c r="BH65" i="72"/>
  <c r="BH66" i="72" s="1"/>
  <c r="BD63" i="72"/>
  <c r="BD64" i="72" s="1"/>
  <c r="AV61" i="72"/>
  <c r="AV62" i="72" s="1"/>
  <c r="AV59" i="72"/>
  <c r="AV60" i="72" s="1"/>
  <c r="AV57" i="72"/>
  <c r="AV58" i="72" s="1"/>
  <c r="AV55" i="72"/>
  <c r="AV56" i="72" s="1"/>
  <c r="AV53" i="72"/>
  <c r="AV54" i="72" s="1"/>
  <c r="BL51" i="72"/>
  <c r="BL52" i="72" s="1"/>
  <c r="L51" i="72"/>
  <c r="L52" i="72" s="1"/>
  <c r="Q39" i="55"/>
  <c r="O40" i="55" s="1"/>
  <c r="Y41" i="55"/>
  <c r="W42" i="55" s="1"/>
  <c r="T121" i="72"/>
  <c r="T122" i="72" s="1"/>
  <c r="E33" i="55"/>
  <c r="C34" i="55" s="1"/>
  <c r="AE41" i="55"/>
  <c r="AG41" i="55" s="1"/>
  <c r="AE42" i="55" s="1"/>
  <c r="I34" i="55"/>
  <c r="J34" i="55" s="1"/>
  <c r="BD65" i="72"/>
  <c r="BD66" i="72" s="1"/>
  <c r="F170" i="65"/>
  <c r="I65" i="54"/>
  <c r="I66" i="54" s="1"/>
  <c r="I70" i="54" s="1"/>
  <c r="F11" i="69"/>
  <c r="AV42" i="72"/>
  <c r="AW42" i="72" s="1"/>
  <c r="AU43" i="72" s="1"/>
  <c r="AW41" i="72"/>
  <c r="E11" i="69"/>
  <c r="E390" i="64"/>
  <c r="G53" i="69"/>
  <c r="F12" i="69" s="1"/>
  <c r="F13" i="69" s="1"/>
  <c r="A59" i="65"/>
  <c r="H174" i="48"/>
  <c r="AD38" i="55"/>
  <c r="S25" i="55"/>
  <c r="F374" i="64"/>
  <c r="C390" i="64"/>
  <c r="G388" i="64" s="1"/>
  <c r="L12" i="55"/>
  <c r="G26" i="55" s="1"/>
  <c r="C25" i="55"/>
  <c r="F32" i="55" s="1"/>
  <c r="AM32" i="55" s="1"/>
  <c r="AO32" i="55" s="1"/>
  <c r="AO74" i="55" s="1"/>
  <c r="AE25" i="55"/>
  <c r="O25" i="55"/>
  <c r="R38" i="55" s="1"/>
  <c r="AA26" i="55"/>
  <c r="E8" i="65"/>
  <c r="I22" i="54"/>
  <c r="L47" i="72"/>
  <c r="L48" i="72" s="1"/>
  <c r="L45" i="72"/>
  <c r="L46" i="72" s="1"/>
  <c r="A26" i="48"/>
  <c r="A22" i="64"/>
  <c r="A12" i="65" s="1"/>
  <c r="F61" i="48"/>
  <c r="F55" i="64" s="1"/>
  <c r="F19" i="65" s="1"/>
  <c r="E101" i="48"/>
  <c r="D135" i="69"/>
  <c r="D53" i="69"/>
  <c r="H189" i="48"/>
  <c r="H191" i="48" s="1"/>
  <c r="H194" i="48" s="1"/>
  <c r="H197" i="48" s="1"/>
  <c r="H205" i="48" s="1"/>
  <c r="Q46" i="72"/>
  <c r="O47" i="72" s="1"/>
  <c r="AC46" i="72"/>
  <c r="AA47" i="72" s="1"/>
  <c r="H102" i="48"/>
  <c r="H61" i="48"/>
  <c r="AQ50" i="72"/>
  <c r="AS50" i="72" s="1"/>
  <c r="AS49" i="72"/>
  <c r="AM52" i="72"/>
  <c r="AO52" i="72" s="1"/>
  <c r="AO51" i="72"/>
  <c r="AI52" i="72"/>
  <c r="AK52" i="72" s="1"/>
  <c r="AK51" i="72"/>
  <c r="F82" i="69"/>
  <c r="F85" i="69" s="1"/>
  <c r="E10" i="69" s="1"/>
  <c r="D82" i="69"/>
  <c r="F115" i="68"/>
  <c r="I115" i="68" s="1"/>
  <c r="J115" i="68" s="1"/>
  <c r="F14" i="69"/>
  <c r="E151" i="65"/>
  <c r="F151" i="65" s="1"/>
  <c r="H64" i="48"/>
  <c r="H151" i="48"/>
  <c r="H157" i="48"/>
  <c r="H158" i="48" s="1"/>
  <c r="F33" i="70"/>
  <c r="G33" i="70" s="1"/>
  <c r="H140" i="65"/>
  <c r="I140" i="65" s="1"/>
  <c r="H48" i="48"/>
  <c r="H127" i="48"/>
  <c r="H128" i="48" s="1"/>
  <c r="H89" i="48"/>
  <c r="H90" i="48" s="1"/>
  <c r="Z40" i="55"/>
  <c r="BP46" i="72"/>
  <c r="BQ46" i="72" s="1"/>
  <c r="BO47" i="72" s="1"/>
  <c r="BQ45" i="72"/>
  <c r="L42" i="72"/>
  <c r="M42" i="72" s="1"/>
  <c r="M41" i="72"/>
  <c r="K43" i="72" s="1"/>
  <c r="Z38" i="55"/>
  <c r="I31" i="54"/>
  <c r="I41" i="54" s="1"/>
  <c r="Y42" i="55"/>
  <c r="Z42" i="55" s="1"/>
  <c r="W43" i="55"/>
  <c r="Y43" i="55" s="1"/>
  <c r="W44" i="55" s="1"/>
  <c r="AC47" i="72"/>
  <c r="AA48" i="72"/>
  <c r="AC48" i="72" s="1"/>
  <c r="AA49" i="72" s="1"/>
  <c r="BG46" i="72"/>
  <c r="AD39" i="55"/>
  <c r="AA40" i="55"/>
  <c r="N35" i="55"/>
  <c r="K36" i="55"/>
  <c r="U45" i="72"/>
  <c r="S46" i="72"/>
  <c r="U46" i="72" s="1"/>
  <c r="S47" i="72" s="1"/>
  <c r="H33" i="68"/>
  <c r="O48" i="72"/>
  <c r="H120" i="68"/>
  <c r="Q40" i="55"/>
  <c r="R40" i="55" s="1"/>
  <c r="O41" i="55"/>
  <c r="Q41" i="55" s="1"/>
  <c r="O42" i="55" s="1"/>
  <c r="W48" i="72"/>
  <c r="C46" i="72"/>
  <c r="E46" i="72" s="1"/>
  <c r="C47" i="72" s="1"/>
  <c r="E45" i="72"/>
  <c r="BM47" i="72"/>
  <c r="BK48" i="72"/>
  <c r="BM48" i="72" s="1"/>
  <c r="BK49" i="72" s="1"/>
  <c r="AU44" i="72"/>
  <c r="AW44" i="72" s="1"/>
  <c r="AU45" i="72" s="1"/>
  <c r="AW43" i="72"/>
  <c r="BD44" i="72"/>
  <c r="BE44" i="72" s="1"/>
  <c r="BC45" i="72" s="1"/>
  <c r="BE43" i="72"/>
  <c r="G88" i="68"/>
  <c r="F89" i="68"/>
  <c r="B17" i="68"/>
  <c r="B60" i="68"/>
  <c r="S26" i="55"/>
  <c r="W26" i="55"/>
  <c r="AZ42" i="72"/>
  <c r="BA42" i="72" s="1"/>
  <c r="AY43" i="72" s="1"/>
  <c r="BA41" i="72"/>
  <c r="G64" i="68"/>
  <c r="F65" i="68"/>
  <c r="F35" i="68"/>
  <c r="T119" i="72"/>
  <c r="T120" i="72" s="1"/>
  <c r="T117" i="72"/>
  <c r="T118" i="72" s="1"/>
  <c r="T115" i="72"/>
  <c r="T116" i="72" s="1"/>
  <c r="T113" i="72"/>
  <c r="T114" i="72" s="1"/>
  <c r="T111" i="72"/>
  <c r="T112" i="72" s="1"/>
  <c r="T109" i="72"/>
  <c r="T110" i="72" s="1"/>
  <c r="T107" i="72"/>
  <c r="T108" i="72" s="1"/>
  <c r="T105" i="72"/>
  <c r="T106" i="72" s="1"/>
  <c r="T103" i="72"/>
  <c r="T104" i="72" s="1"/>
  <c r="T101" i="72"/>
  <c r="T102" i="72" s="1"/>
  <c r="T99" i="72"/>
  <c r="T100" i="72" s="1"/>
  <c r="T97" i="72"/>
  <c r="T98" i="72" s="1"/>
  <c r="T95" i="72"/>
  <c r="T96" i="72" s="1"/>
  <c r="T93" i="72"/>
  <c r="T94" i="72" s="1"/>
  <c r="T91" i="72"/>
  <c r="T92" i="72" s="1"/>
  <c r="T89" i="72"/>
  <c r="T90" i="72" s="1"/>
  <c r="T87" i="72"/>
  <c r="T88" i="72" s="1"/>
  <c r="T85" i="72"/>
  <c r="T86" i="72" s="1"/>
  <c r="T83" i="72"/>
  <c r="T84" i="72" s="1"/>
  <c r="T81" i="72"/>
  <c r="T82" i="72" s="1"/>
  <c r="T79" i="72"/>
  <c r="T80" i="72" s="1"/>
  <c r="T77" i="72"/>
  <c r="T78" i="72" s="1"/>
  <c r="T75" i="72"/>
  <c r="T76" i="72" s="1"/>
  <c r="T73" i="72"/>
  <c r="T74" i="72" s="1"/>
  <c r="T71" i="72"/>
  <c r="T72" i="72" s="1"/>
  <c r="T69" i="72"/>
  <c r="T70" i="72" s="1"/>
  <c r="T67" i="72"/>
  <c r="T68" i="72" s="1"/>
  <c r="T65" i="72"/>
  <c r="T66" i="72" s="1"/>
  <c r="T63" i="72"/>
  <c r="T64" i="72" s="1"/>
  <c r="T61" i="72"/>
  <c r="T62" i="72" s="1"/>
  <c r="T59" i="72"/>
  <c r="T60" i="72" s="1"/>
  <c r="T57" i="72"/>
  <c r="T58" i="72" s="1"/>
  <c r="T55" i="72"/>
  <c r="T56" i="72" s="1"/>
  <c r="T53" i="72"/>
  <c r="T54" i="72" s="1"/>
  <c r="T51" i="72"/>
  <c r="T52" i="72" s="1"/>
  <c r="T49" i="72"/>
  <c r="T50" i="72" s="1"/>
  <c r="T47" i="72"/>
  <c r="T48" i="72" s="1"/>
  <c r="H35" i="55"/>
  <c r="I35" i="55" s="1"/>
  <c r="AZ63" i="72"/>
  <c r="AZ64" i="72" s="1"/>
  <c r="BH63" i="72"/>
  <c r="BH64" i="72" s="1"/>
  <c r="BL63" i="72"/>
  <c r="BL64" i="72" s="1"/>
  <c r="AZ61" i="72"/>
  <c r="AZ62" i="72" s="1"/>
  <c r="BD61" i="72"/>
  <c r="BD62" i="72" s="1"/>
  <c r="BH61" i="72"/>
  <c r="BH62" i="72" s="1"/>
  <c r="BL61" i="72"/>
  <c r="BL62" i="72" s="1"/>
  <c r="AZ59" i="72"/>
  <c r="AZ60" i="72" s="1"/>
  <c r="BD59" i="72"/>
  <c r="BD60" i="72" s="1"/>
  <c r="BH59" i="72"/>
  <c r="BH60" i="72" s="1"/>
  <c r="BL59" i="72"/>
  <c r="BL60" i="72" s="1"/>
  <c r="AZ57" i="72"/>
  <c r="AZ58" i="72" s="1"/>
  <c r="BD57" i="72"/>
  <c r="BD58" i="72" s="1"/>
  <c r="BH57" i="72"/>
  <c r="BH58" i="72" s="1"/>
  <c r="BL57" i="72"/>
  <c r="BL58" i="72" s="1"/>
  <c r="AZ55" i="72"/>
  <c r="AZ56" i="72" s="1"/>
  <c r="BD55" i="72"/>
  <c r="BD56" i="72" s="1"/>
  <c r="BH55" i="72"/>
  <c r="BH56" i="72" s="1"/>
  <c r="BL55" i="72"/>
  <c r="BL56" i="72" s="1"/>
  <c r="AZ53" i="72"/>
  <c r="AZ54" i="72" s="1"/>
  <c r="BH53" i="72"/>
  <c r="BH54" i="72" s="1"/>
  <c r="BL53" i="72"/>
  <c r="BL54" i="72" s="1"/>
  <c r="AZ51" i="72"/>
  <c r="AZ52" i="72" s="1"/>
  <c r="BD51" i="72"/>
  <c r="BD52" i="72" s="1"/>
  <c r="BH51" i="72"/>
  <c r="BH52" i="72" s="1"/>
  <c r="AZ49" i="72"/>
  <c r="AZ50" i="72" s="1"/>
  <c r="BH49" i="72"/>
  <c r="BH50" i="72" s="1"/>
  <c r="AZ47" i="72"/>
  <c r="AZ48" i="72" s="1"/>
  <c r="BH47" i="72"/>
  <c r="BH48" i="72" s="1"/>
  <c r="BH45" i="72"/>
  <c r="BH46" i="72" s="1"/>
  <c r="AZ43" i="72"/>
  <c r="AZ44" i="72" s="1"/>
  <c r="F63" i="65"/>
  <c r="B82" i="65"/>
  <c r="D33" i="71"/>
  <c r="D8" i="71"/>
  <c r="R36" i="55"/>
  <c r="F53" i="69"/>
  <c r="E12" i="69" s="1"/>
  <c r="I43" i="72"/>
  <c r="P131" i="72"/>
  <c r="P132" i="72" s="1"/>
  <c r="P129" i="72"/>
  <c r="P130" i="72" s="1"/>
  <c r="P127" i="72"/>
  <c r="P128" i="72" s="1"/>
  <c r="P125" i="72"/>
  <c r="P126" i="72" s="1"/>
  <c r="P123" i="72"/>
  <c r="P124" i="72" s="1"/>
  <c r="P121" i="72"/>
  <c r="P122" i="72" s="1"/>
  <c r="P119" i="72"/>
  <c r="P120" i="72" s="1"/>
  <c r="P117" i="72"/>
  <c r="P118" i="72" s="1"/>
  <c r="P115" i="72"/>
  <c r="P116" i="72" s="1"/>
  <c r="P113" i="72"/>
  <c r="P114" i="72" s="1"/>
  <c r="P111" i="72"/>
  <c r="P112" i="72" s="1"/>
  <c r="P109" i="72"/>
  <c r="P110" i="72" s="1"/>
  <c r="P107" i="72"/>
  <c r="P108" i="72" s="1"/>
  <c r="P105" i="72"/>
  <c r="P106" i="72" s="1"/>
  <c r="P103" i="72"/>
  <c r="P104" i="72" s="1"/>
  <c r="P101" i="72"/>
  <c r="P102" i="72" s="1"/>
  <c r="P99" i="72"/>
  <c r="P100" i="72" s="1"/>
  <c r="P97" i="72"/>
  <c r="P98" i="72" s="1"/>
  <c r="P95" i="72"/>
  <c r="P96" i="72" s="1"/>
  <c r="P93" i="72"/>
  <c r="P94" i="72" s="1"/>
  <c r="P91" i="72"/>
  <c r="P92" i="72" s="1"/>
  <c r="P89" i="72"/>
  <c r="P90" i="72" s="1"/>
  <c r="P87" i="72"/>
  <c r="P88" i="72" s="1"/>
  <c r="P85" i="72"/>
  <c r="P86" i="72" s="1"/>
  <c r="P83" i="72"/>
  <c r="P84" i="72" s="1"/>
  <c r="P81" i="72"/>
  <c r="P82" i="72" s="1"/>
  <c r="P79" i="72"/>
  <c r="P80" i="72" s="1"/>
  <c r="P77" i="72"/>
  <c r="P78" i="72" s="1"/>
  <c r="P75" i="72"/>
  <c r="P76" i="72" s="1"/>
  <c r="P73" i="72"/>
  <c r="P74" i="72" s="1"/>
  <c r="P71" i="72"/>
  <c r="P72" i="72" s="1"/>
  <c r="P69" i="72"/>
  <c r="P70" i="72" s="1"/>
  <c r="P67" i="72"/>
  <c r="P68" i="72" s="1"/>
  <c r="P65" i="72"/>
  <c r="P66" i="72" s="1"/>
  <c r="P63" i="72"/>
  <c r="P64" i="72" s="1"/>
  <c r="P61" i="72"/>
  <c r="P62" i="72" s="1"/>
  <c r="P59" i="72"/>
  <c r="P60" i="72" s="1"/>
  <c r="P57" i="72"/>
  <c r="P58" i="72" s="1"/>
  <c r="P55" i="72"/>
  <c r="P56" i="72" s="1"/>
  <c r="P53" i="72"/>
  <c r="P54" i="72" s="1"/>
  <c r="P51" i="72"/>
  <c r="P52" i="72" s="1"/>
  <c r="P49" i="72"/>
  <c r="P50" i="72" s="1"/>
  <c r="H131" i="72"/>
  <c r="H132" i="72" s="1"/>
  <c r="H129" i="72"/>
  <c r="H130" i="72" s="1"/>
  <c r="H127" i="72"/>
  <c r="H128" i="72" s="1"/>
  <c r="H125" i="72"/>
  <c r="H126" i="72" s="1"/>
  <c r="H123" i="72"/>
  <c r="H124" i="72" s="1"/>
  <c r="H121" i="72"/>
  <c r="H122" i="72" s="1"/>
  <c r="H119" i="72"/>
  <c r="H120" i="72" s="1"/>
  <c r="H117" i="72"/>
  <c r="H118" i="72" s="1"/>
  <c r="H115" i="72"/>
  <c r="H116" i="72" s="1"/>
  <c r="H113" i="72"/>
  <c r="H114" i="72" s="1"/>
  <c r="H111" i="72"/>
  <c r="H112" i="72" s="1"/>
  <c r="H109" i="72"/>
  <c r="H110" i="72" s="1"/>
  <c r="H107" i="72"/>
  <c r="H108" i="72" s="1"/>
  <c r="H105" i="72"/>
  <c r="H106" i="72" s="1"/>
  <c r="H103" i="72"/>
  <c r="H104" i="72" s="1"/>
  <c r="H101" i="72"/>
  <c r="H102" i="72" s="1"/>
  <c r="H99" i="72"/>
  <c r="H100" i="72" s="1"/>
  <c r="H97" i="72"/>
  <c r="H98" i="72" s="1"/>
  <c r="H95" i="72"/>
  <c r="H96" i="72" s="1"/>
  <c r="H93" i="72"/>
  <c r="H94" i="72" s="1"/>
  <c r="H91" i="72"/>
  <c r="H92" i="72" s="1"/>
  <c r="H89" i="72"/>
  <c r="H90" i="72" s="1"/>
  <c r="H87" i="72"/>
  <c r="H88" i="72" s="1"/>
  <c r="H85" i="72"/>
  <c r="H86" i="72" s="1"/>
  <c r="H83" i="72"/>
  <c r="H84" i="72" s="1"/>
  <c r="H81" i="72"/>
  <c r="H82" i="72" s="1"/>
  <c r="H79" i="72"/>
  <c r="H80" i="72" s="1"/>
  <c r="H77" i="72"/>
  <c r="H78" i="72" s="1"/>
  <c r="H75" i="72"/>
  <c r="H76" i="72" s="1"/>
  <c r="H73" i="72"/>
  <c r="H74" i="72" s="1"/>
  <c r="H71" i="72"/>
  <c r="H72" i="72" s="1"/>
  <c r="H69" i="72"/>
  <c r="H70" i="72" s="1"/>
  <c r="H67" i="72"/>
  <c r="H68" i="72" s="1"/>
  <c r="H65" i="72"/>
  <c r="H66" i="72" s="1"/>
  <c r="H63" i="72"/>
  <c r="H64" i="72" s="1"/>
  <c r="H61" i="72"/>
  <c r="H62" i="72" s="1"/>
  <c r="H59" i="72"/>
  <c r="H60" i="72" s="1"/>
  <c r="H57" i="72"/>
  <c r="H58" i="72" s="1"/>
  <c r="H55" i="72"/>
  <c r="H56" i="72" s="1"/>
  <c r="H53" i="72"/>
  <c r="H54" i="72" s="1"/>
  <c r="H51" i="72"/>
  <c r="H52" i="72" s="1"/>
  <c r="H49" i="72"/>
  <c r="H50" i="72" s="1"/>
  <c r="D131" i="72"/>
  <c r="D132" i="72" s="1"/>
  <c r="D129" i="72"/>
  <c r="D130" i="72" s="1"/>
  <c r="D127" i="72"/>
  <c r="D128" i="72" s="1"/>
  <c r="D125" i="72"/>
  <c r="D126" i="72" s="1"/>
  <c r="D123" i="72"/>
  <c r="D124" i="72" s="1"/>
  <c r="D121" i="72"/>
  <c r="D122" i="72" s="1"/>
  <c r="D119" i="72"/>
  <c r="D120" i="72" s="1"/>
  <c r="D117" i="72"/>
  <c r="D118" i="72" s="1"/>
  <c r="D115" i="72"/>
  <c r="D116" i="72" s="1"/>
  <c r="D113" i="72"/>
  <c r="D114" i="72" s="1"/>
  <c r="D111" i="72"/>
  <c r="D112" i="72" s="1"/>
  <c r="D109" i="72"/>
  <c r="D110" i="72" s="1"/>
  <c r="D107" i="72"/>
  <c r="D108" i="72" s="1"/>
  <c r="D105" i="72"/>
  <c r="D106" i="72" s="1"/>
  <c r="D103" i="72"/>
  <c r="D104" i="72" s="1"/>
  <c r="D101" i="72"/>
  <c r="D102" i="72" s="1"/>
  <c r="D99" i="72"/>
  <c r="D100" i="72" s="1"/>
  <c r="D97" i="72"/>
  <c r="D98" i="72" s="1"/>
  <c r="D95" i="72"/>
  <c r="D96" i="72" s="1"/>
  <c r="D93" i="72"/>
  <c r="D94" i="72" s="1"/>
  <c r="D91" i="72"/>
  <c r="D92" i="72" s="1"/>
  <c r="D89" i="72"/>
  <c r="D90" i="72" s="1"/>
  <c r="D87" i="72"/>
  <c r="D88" i="72" s="1"/>
  <c r="D85" i="72"/>
  <c r="D86" i="72" s="1"/>
  <c r="D83" i="72"/>
  <c r="D84" i="72" s="1"/>
  <c r="D81" i="72"/>
  <c r="D82" i="72" s="1"/>
  <c r="D79" i="72"/>
  <c r="D80" i="72" s="1"/>
  <c r="D77" i="72"/>
  <c r="D78" i="72" s="1"/>
  <c r="D75" i="72"/>
  <c r="D76" i="72" s="1"/>
  <c r="D73" i="72"/>
  <c r="D74" i="72" s="1"/>
  <c r="D71" i="72"/>
  <c r="D72" i="72" s="1"/>
  <c r="D69" i="72"/>
  <c r="D70" i="72" s="1"/>
  <c r="D67" i="72"/>
  <c r="D68" i="72" s="1"/>
  <c r="D65" i="72"/>
  <c r="D66" i="72" s="1"/>
  <c r="D63" i="72"/>
  <c r="D64" i="72" s="1"/>
  <c r="D61" i="72"/>
  <c r="D62" i="72" s="1"/>
  <c r="D59" i="72"/>
  <c r="D60" i="72" s="1"/>
  <c r="D57" i="72"/>
  <c r="D58" i="72" s="1"/>
  <c r="D55" i="72"/>
  <c r="D56" i="72" s="1"/>
  <c r="D53" i="72"/>
  <c r="D54" i="72" s="1"/>
  <c r="D51" i="72"/>
  <c r="D52" i="72" s="1"/>
  <c r="D49" i="72"/>
  <c r="D50" i="72" s="1"/>
  <c r="P47" i="72"/>
  <c r="P48" i="72" s="1"/>
  <c r="H45" i="72"/>
  <c r="AE31" i="72"/>
  <c r="X131" i="72"/>
  <c r="X132" i="72" s="1"/>
  <c r="X129" i="72"/>
  <c r="X130" i="72" s="1"/>
  <c r="X127" i="72"/>
  <c r="X128" i="72" s="1"/>
  <c r="X125" i="72"/>
  <c r="X126" i="72" s="1"/>
  <c r="X123" i="72"/>
  <c r="X124" i="72" s="1"/>
  <c r="X121" i="72"/>
  <c r="X122" i="72" s="1"/>
  <c r="X119" i="72"/>
  <c r="X120" i="72" s="1"/>
  <c r="X117" i="72"/>
  <c r="X118" i="72" s="1"/>
  <c r="X115" i="72"/>
  <c r="X116" i="72" s="1"/>
  <c r="X113" i="72"/>
  <c r="X114" i="72" s="1"/>
  <c r="X111" i="72"/>
  <c r="X112" i="72" s="1"/>
  <c r="X109" i="72"/>
  <c r="X110" i="72" s="1"/>
  <c r="X107" i="72"/>
  <c r="X108" i="72" s="1"/>
  <c r="X105" i="72"/>
  <c r="X106" i="72" s="1"/>
  <c r="X103" i="72"/>
  <c r="X104" i="72" s="1"/>
  <c r="X101" i="72"/>
  <c r="X102" i="72" s="1"/>
  <c r="X99" i="72"/>
  <c r="X100" i="72" s="1"/>
  <c r="X97" i="72"/>
  <c r="X98" i="72" s="1"/>
  <c r="X95" i="72"/>
  <c r="X96" i="72" s="1"/>
  <c r="X93" i="72"/>
  <c r="X94" i="72" s="1"/>
  <c r="X91" i="72"/>
  <c r="X92" i="72" s="1"/>
  <c r="X89" i="72"/>
  <c r="X90" i="72" s="1"/>
  <c r="X87" i="72"/>
  <c r="X88" i="72" s="1"/>
  <c r="X85" i="72"/>
  <c r="X86" i="72" s="1"/>
  <c r="X83" i="72"/>
  <c r="X84" i="72" s="1"/>
  <c r="X81" i="72"/>
  <c r="X82" i="72" s="1"/>
  <c r="X79" i="72"/>
  <c r="X80" i="72" s="1"/>
  <c r="X77" i="72"/>
  <c r="X78" i="72" s="1"/>
  <c r="X75" i="72"/>
  <c r="X76" i="72" s="1"/>
  <c r="X73" i="72"/>
  <c r="X74" i="72" s="1"/>
  <c r="X71" i="72"/>
  <c r="X72" i="72" s="1"/>
  <c r="X69" i="72"/>
  <c r="X70" i="72" s="1"/>
  <c r="X67" i="72"/>
  <c r="X68" i="72" s="1"/>
  <c r="X65" i="72"/>
  <c r="X66" i="72" s="1"/>
  <c r="X63" i="72"/>
  <c r="X64" i="72" s="1"/>
  <c r="X61" i="72"/>
  <c r="X62" i="72" s="1"/>
  <c r="X59" i="72"/>
  <c r="X60" i="72" s="1"/>
  <c r="X57" i="72"/>
  <c r="X58" i="72" s="1"/>
  <c r="X55" i="72"/>
  <c r="X56" i="72" s="1"/>
  <c r="X51" i="72"/>
  <c r="X52" i="72" s="1"/>
  <c r="X47" i="72"/>
  <c r="X48" i="72" s="1"/>
  <c r="I49" i="54"/>
  <c r="N34" i="55"/>
  <c r="E13" i="69" l="1"/>
  <c r="F16" i="69"/>
  <c r="F116" i="68"/>
  <c r="I116" i="68" s="1"/>
  <c r="J116" i="68" s="1"/>
  <c r="AE43" i="55"/>
  <c r="AG43" i="55" s="1"/>
  <c r="AG42" i="55"/>
  <c r="E34" i="55"/>
  <c r="C35" i="55"/>
  <c r="E35" i="55" s="1"/>
  <c r="C36" i="55" s="1"/>
  <c r="AH42" i="55"/>
  <c r="AH41" i="55"/>
  <c r="U38" i="55"/>
  <c r="S39" i="55"/>
  <c r="U39" i="55" s="1"/>
  <c r="S40" i="55" s="1"/>
  <c r="AK42" i="55"/>
  <c r="AL42" i="55" s="1"/>
  <c r="AI43" i="55"/>
  <c r="AK43" i="55" s="1"/>
  <c r="AI44" i="55" s="1"/>
  <c r="AI26" i="55"/>
  <c r="V36" i="55"/>
  <c r="V38" i="55"/>
  <c r="V37" i="55"/>
  <c r="AH40" i="55"/>
  <c r="O26" i="55"/>
  <c r="R41" i="55" s="1"/>
  <c r="C26" i="55"/>
  <c r="H200" i="48"/>
  <c r="F34" i="55"/>
  <c r="AM34" i="55" s="1"/>
  <c r="AO34" i="55" s="1"/>
  <c r="H198" i="48"/>
  <c r="H206" i="48" s="1"/>
  <c r="A27" i="48"/>
  <c r="F62" i="48"/>
  <c r="F56" i="64" s="1"/>
  <c r="F20" i="65" s="1"/>
  <c r="A23" i="64"/>
  <c r="F27" i="48"/>
  <c r="F24" i="64" s="1"/>
  <c r="E131" i="65"/>
  <c r="E170" i="65"/>
  <c r="D85" i="69"/>
  <c r="D35" i="71"/>
  <c r="D36" i="71" s="1"/>
  <c r="D38" i="71" s="1"/>
  <c r="D39" i="71" s="1"/>
  <c r="D22" i="71" s="1"/>
  <c r="I37" i="54"/>
  <c r="I39" i="54" s="1"/>
  <c r="AQ51" i="72"/>
  <c r="AM53" i="72"/>
  <c r="AI53" i="72"/>
  <c r="H92" i="48"/>
  <c r="H196" i="48"/>
  <c r="H204" i="48" s="1"/>
  <c r="BQ47" i="72"/>
  <c r="BO48" i="72"/>
  <c r="BQ48" i="72" s="1"/>
  <c r="BO49" i="72" s="1"/>
  <c r="K44" i="72"/>
  <c r="M44" i="72" s="1"/>
  <c r="K45" i="72" s="1"/>
  <c r="M43" i="72"/>
  <c r="BA43" i="72"/>
  <c r="AY44" i="72"/>
  <c r="BA44" i="72" s="1"/>
  <c r="AY45" i="72" s="1"/>
  <c r="H46" i="72"/>
  <c r="I46" i="72" s="1"/>
  <c r="G47" i="72" s="1"/>
  <c r="I45" i="72"/>
  <c r="F36" i="68"/>
  <c r="G35" i="68"/>
  <c r="F66" i="68"/>
  <c r="G65" i="68"/>
  <c r="H65" i="68" s="1"/>
  <c r="Z41" i="55"/>
  <c r="Z43" i="55"/>
  <c r="Z39" i="55"/>
  <c r="AL41" i="55"/>
  <c r="AL43" i="55"/>
  <c r="G89" i="68"/>
  <c r="H89" i="68" s="1"/>
  <c r="F90" i="68"/>
  <c r="BM49" i="72"/>
  <c r="BK50" i="72"/>
  <c r="BM50" i="72" s="1"/>
  <c r="BK51" i="72" s="1"/>
  <c r="O43" i="55"/>
  <c r="Q43" i="55" s="1"/>
  <c r="O44" i="55" s="1"/>
  <c r="Q42" i="55"/>
  <c r="R42" i="55" s="1"/>
  <c r="H121" i="68"/>
  <c r="Y48" i="72"/>
  <c r="W49" i="72" s="1"/>
  <c r="Q47" i="72"/>
  <c r="BI45" i="72"/>
  <c r="AF45" i="72"/>
  <c r="AF47" i="72"/>
  <c r="AF48" i="72" s="1"/>
  <c r="AF49" i="72"/>
  <c r="AF50" i="72" s="1"/>
  <c r="AF51" i="72"/>
  <c r="AF52" i="72" s="1"/>
  <c r="AF53" i="72"/>
  <c r="AF54" i="72" s="1"/>
  <c r="AF55" i="72"/>
  <c r="AF56" i="72" s="1"/>
  <c r="AF57" i="72"/>
  <c r="AF58" i="72" s="1"/>
  <c r="AF59" i="72"/>
  <c r="AF60" i="72" s="1"/>
  <c r="AF61" i="72"/>
  <c r="AF62" i="72" s="1"/>
  <c r="AF63" i="72"/>
  <c r="AF64" i="72" s="1"/>
  <c r="AF65" i="72"/>
  <c r="AF66" i="72" s="1"/>
  <c r="AF67" i="72"/>
  <c r="AF68" i="72" s="1"/>
  <c r="AF69" i="72"/>
  <c r="AF70" i="72" s="1"/>
  <c r="AF71" i="72"/>
  <c r="AF72" i="72" s="1"/>
  <c r="AF73" i="72"/>
  <c r="AF74" i="72" s="1"/>
  <c r="AF75" i="72"/>
  <c r="AF76" i="72" s="1"/>
  <c r="AF77" i="72"/>
  <c r="AF78" i="72" s="1"/>
  <c r="AF79" i="72"/>
  <c r="AF80" i="72" s="1"/>
  <c r="AF81" i="72"/>
  <c r="AF82" i="72" s="1"/>
  <c r="AF83" i="72"/>
  <c r="AF84" i="72" s="1"/>
  <c r="AF85" i="72"/>
  <c r="AF86" i="72" s="1"/>
  <c r="AF87" i="72"/>
  <c r="AF88" i="72" s="1"/>
  <c r="AF89" i="72"/>
  <c r="AF90" i="72" s="1"/>
  <c r="AF91" i="72"/>
  <c r="AF92" i="72" s="1"/>
  <c r="AF93" i="72"/>
  <c r="AF94" i="72" s="1"/>
  <c r="AF95" i="72"/>
  <c r="AF96" i="72" s="1"/>
  <c r="AF97" i="72"/>
  <c r="AF98" i="72" s="1"/>
  <c r="AF99" i="72"/>
  <c r="AF100" i="72" s="1"/>
  <c r="AF101" i="72"/>
  <c r="AF102" i="72" s="1"/>
  <c r="AF103" i="72"/>
  <c r="AF104" i="72" s="1"/>
  <c r="AF105" i="72"/>
  <c r="AF106" i="72" s="1"/>
  <c r="AF107" i="72"/>
  <c r="AF108" i="72" s="1"/>
  <c r="AF109" i="72"/>
  <c r="AF110" i="72" s="1"/>
  <c r="AF111" i="72"/>
  <c r="AF112" i="72" s="1"/>
  <c r="AF113" i="72"/>
  <c r="AF114" i="72" s="1"/>
  <c r="AF115" i="72"/>
  <c r="AF116" i="72" s="1"/>
  <c r="AF117" i="72"/>
  <c r="AF118" i="72" s="1"/>
  <c r="AF119" i="72"/>
  <c r="AF120" i="72" s="1"/>
  <c r="AF121" i="72"/>
  <c r="AF122" i="72" s="1"/>
  <c r="AF123" i="72"/>
  <c r="AF124" i="72" s="1"/>
  <c r="AF125" i="72"/>
  <c r="AF126" i="72" s="1"/>
  <c r="AF127" i="72"/>
  <c r="AF128" i="72" s="1"/>
  <c r="AF129" i="72"/>
  <c r="AF130" i="72" s="1"/>
  <c r="AF131" i="72"/>
  <c r="AF132" i="72" s="1"/>
  <c r="G36" i="55"/>
  <c r="J35" i="55"/>
  <c r="H64" i="68"/>
  <c r="R39" i="55"/>
  <c r="F71" i="55"/>
  <c r="F33" i="55"/>
  <c r="AM33" i="55" s="1"/>
  <c r="AN33" i="55" s="1"/>
  <c r="AN74" i="55" s="1"/>
  <c r="B19" i="68"/>
  <c r="B106" i="68" s="1"/>
  <c r="B78" i="68"/>
  <c r="H88" i="68"/>
  <c r="BC46" i="72"/>
  <c r="BE46" i="72" s="1"/>
  <c r="BC47" i="72" s="1"/>
  <c r="BE45" i="72"/>
  <c r="AW45" i="72"/>
  <c r="AU46" i="72"/>
  <c r="AW46" i="72" s="1"/>
  <c r="AU47" i="72" s="1"/>
  <c r="C48" i="72"/>
  <c r="E48" i="72" s="1"/>
  <c r="C49" i="72" s="1"/>
  <c r="E47" i="72"/>
  <c r="S48" i="72"/>
  <c r="U48" i="72" s="1"/>
  <c r="S49" i="72" s="1"/>
  <c r="U47" i="72"/>
  <c r="K37" i="55"/>
  <c r="M37" i="55" s="1"/>
  <c r="M36" i="55"/>
  <c r="N36" i="55" s="1"/>
  <c r="AC40" i="55"/>
  <c r="AD40" i="55" s="1"/>
  <c r="AA41" i="55"/>
  <c r="AC41" i="55" s="1"/>
  <c r="AA50" i="72"/>
  <c r="AC50" i="72" s="1"/>
  <c r="AA51" i="72" s="1"/>
  <c r="AC49" i="72"/>
  <c r="W45" i="55"/>
  <c r="Y45" i="55" s="1"/>
  <c r="W46" i="55" s="1"/>
  <c r="Y44" i="55"/>
  <c r="Z44" i="55" s="1"/>
  <c r="Y47" i="72"/>
  <c r="Q48" i="72"/>
  <c r="O49" i="72" s="1"/>
  <c r="BI46" i="72"/>
  <c r="BG47" i="72" s="1"/>
  <c r="F117" i="68" l="1"/>
  <c r="C37" i="55"/>
  <c r="E37" i="55" s="1"/>
  <c r="E36" i="55"/>
  <c r="F36" i="55" s="1"/>
  <c r="AI45" i="55"/>
  <c r="AK45" i="55" s="1"/>
  <c r="AK44" i="55"/>
  <c r="AL44" i="55" s="1"/>
  <c r="S41" i="55"/>
  <c r="U41" i="55" s="1"/>
  <c r="U40" i="55"/>
  <c r="V40" i="55" s="1"/>
  <c r="V39" i="55"/>
  <c r="AE44" i="55"/>
  <c r="AH43" i="55"/>
  <c r="F35" i="55"/>
  <c r="R37" i="55"/>
  <c r="R43" i="55"/>
  <c r="H207" i="48"/>
  <c r="J158" i="65" s="1"/>
  <c r="H113" i="48" s="1"/>
  <c r="H117" i="48" s="1"/>
  <c r="A24" i="64"/>
  <c r="A29" i="48"/>
  <c r="F29" i="48"/>
  <c r="F26" i="64" s="1"/>
  <c r="I48" i="54"/>
  <c r="I42" i="54"/>
  <c r="AQ52" i="72"/>
  <c r="AS52" i="72" s="1"/>
  <c r="AS51" i="72"/>
  <c r="AM54" i="72"/>
  <c r="AO54" i="72" s="1"/>
  <c r="AO53" i="72"/>
  <c r="AI54" i="72"/>
  <c r="AK54" i="72" s="1"/>
  <c r="AK53" i="72"/>
  <c r="M45" i="72"/>
  <c r="K46" i="72"/>
  <c r="M46" i="72" s="1"/>
  <c r="K47" i="72" s="1"/>
  <c r="BO50" i="72"/>
  <c r="BQ50" i="72" s="1"/>
  <c r="BO51" i="72" s="1"/>
  <c r="BQ49" i="72"/>
  <c r="AM35" i="55"/>
  <c r="AN35" i="55" s="1"/>
  <c r="O50" i="72"/>
  <c r="Q50" i="72" s="1"/>
  <c r="O51" i="72" s="1"/>
  <c r="Q49" i="72"/>
  <c r="BG48" i="72"/>
  <c r="BI48" i="72" s="1"/>
  <c r="BG49" i="72" s="1"/>
  <c r="BI47" i="72"/>
  <c r="W47" i="55"/>
  <c r="Y47" i="55" s="1"/>
  <c r="Y46" i="55"/>
  <c r="Z46" i="55" s="1"/>
  <c r="AA52" i="72"/>
  <c r="AC52" i="72" s="1"/>
  <c r="AA53" i="72" s="1"/>
  <c r="AC51" i="72"/>
  <c r="N37" i="55"/>
  <c r="K38" i="55"/>
  <c r="U49" i="72"/>
  <c r="S50" i="72"/>
  <c r="U50" i="72" s="1"/>
  <c r="S51" i="72" s="1"/>
  <c r="E49" i="72"/>
  <c r="C50" i="72"/>
  <c r="E50" i="72" s="1"/>
  <c r="C51" i="72" s="1"/>
  <c r="BE47" i="72"/>
  <c r="BC48" i="72"/>
  <c r="BE48" i="72" s="1"/>
  <c r="BC49" i="72" s="1"/>
  <c r="I117" i="68"/>
  <c r="J117" i="68" s="1"/>
  <c r="F118" i="68"/>
  <c r="I36" i="55"/>
  <c r="J36" i="55" s="1"/>
  <c r="AM36" i="55" s="1"/>
  <c r="AO36" i="55" s="1"/>
  <c r="G37" i="55"/>
  <c r="I37" i="55" s="1"/>
  <c r="AF46" i="72"/>
  <c r="AG46" i="72" s="1"/>
  <c r="AE47" i="72" s="1"/>
  <c r="AG45" i="72"/>
  <c r="Y49" i="72"/>
  <c r="W50" i="72"/>
  <c r="Y50" i="72" s="1"/>
  <c r="W51" i="72" s="1"/>
  <c r="BM51" i="72"/>
  <c r="BK52" i="72"/>
  <c r="BM52" i="72" s="1"/>
  <c r="BK53" i="72" s="1"/>
  <c r="F91" i="68"/>
  <c r="G90" i="68"/>
  <c r="G66" i="68"/>
  <c r="F67" i="68"/>
  <c r="G36" i="68"/>
  <c r="H36" i="68" s="1"/>
  <c r="F37" i="68"/>
  <c r="G48" i="72"/>
  <c r="I48" i="72" s="1"/>
  <c r="G49" i="72" s="1"/>
  <c r="I47" i="72"/>
  <c r="AD41" i="55"/>
  <c r="AA42" i="55"/>
  <c r="AU48" i="72"/>
  <c r="AW48" i="72" s="1"/>
  <c r="AU49" i="72" s="1"/>
  <c r="AW47" i="72"/>
  <c r="H122" i="68"/>
  <c r="O45" i="55"/>
  <c r="Q45" i="55" s="1"/>
  <c r="Q44" i="55"/>
  <c r="R44" i="55" s="1"/>
  <c r="H35" i="68"/>
  <c r="BA45" i="72"/>
  <c r="AY46" i="72"/>
  <c r="BA46" i="72" s="1"/>
  <c r="AY47" i="72" s="1"/>
  <c r="Z45" i="55"/>
  <c r="AI46" i="55" l="1"/>
  <c r="AL45" i="55"/>
  <c r="S42" i="55"/>
  <c r="V41" i="55"/>
  <c r="AG44" i="55"/>
  <c r="AH44" i="55" s="1"/>
  <c r="AE45" i="55"/>
  <c r="AG45" i="55" s="1"/>
  <c r="C38" i="55"/>
  <c r="F37" i="55"/>
  <c r="A26" i="64"/>
  <c r="A31" i="48"/>
  <c r="I44" i="54"/>
  <c r="I52" i="54" s="1"/>
  <c r="I46" i="54"/>
  <c r="I54" i="54" s="1"/>
  <c r="I45" i="54"/>
  <c r="I53" i="54" s="1"/>
  <c r="AQ53" i="72"/>
  <c r="AM55" i="72"/>
  <c r="AI55" i="72"/>
  <c r="BQ51" i="72"/>
  <c r="BO52" i="72"/>
  <c r="BQ52" i="72" s="1"/>
  <c r="BO53" i="72" s="1"/>
  <c r="K48" i="72"/>
  <c r="M48" i="72" s="1"/>
  <c r="K49" i="72" s="1"/>
  <c r="M47" i="72"/>
  <c r="O46" i="55"/>
  <c r="R45" i="55"/>
  <c r="H123" i="68"/>
  <c r="AU50" i="72"/>
  <c r="AW50" i="72" s="1"/>
  <c r="AU51" i="72" s="1"/>
  <c r="AW49" i="72"/>
  <c r="I49" i="72"/>
  <c r="G50" i="72"/>
  <c r="I50" i="72" s="1"/>
  <c r="G51" i="72" s="1"/>
  <c r="H66" i="68"/>
  <c r="F92" i="68"/>
  <c r="G91" i="68"/>
  <c r="H91" i="68" s="1"/>
  <c r="AG47" i="72"/>
  <c r="AE48" i="72"/>
  <c r="AG48" i="72" s="1"/>
  <c r="AE49" i="72" s="1"/>
  <c r="I118" i="68"/>
  <c r="J118" i="68" s="1"/>
  <c r="F119" i="68"/>
  <c r="BC50" i="72"/>
  <c r="BE50" i="72" s="1"/>
  <c r="BC51" i="72" s="1"/>
  <c r="BE49" i="72"/>
  <c r="C52" i="72"/>
  <c r="E52" i="72" s="1"/>
  <c r="C53" i="72" s="1"/>
  <c r="E51" i="72"/>
  <c r="U51" i="72"/>
  <c r="S52" i="72"/>
  <c r="U52" i="72" s="1"/>
  <c r="S53" i="72" s="1"/>
  <c r="K39" i="55"/>
  <c r="M39" i="55" s="1"/>
  <c r="M38" i="55"/>
  <c r="N38" i="55" s="1"/>
  <c r="BA47" i="72"/>
  <c r="AY48" i="72"/>
  <c r="BA48" i="72" s="1"/>
  <c r="AY49" i="72" s="1"/>
  <c r="AA43" i="55"/>
  <c r="AC43" i="55" s="1"/>
  <c r="AC42" i="55"/>
  <c r="AD42" i="55" s="1"/>
  <c r="G37" i="68"/>
  <c r="H37" i="68" s="1"/>
  <c r="F38" i="68"/>
  <c r="F68" i="68"/>
  <c r="G67" i="68"/>
  <c r="H67" i="68" s="1"/>
  <c r="H90" i="68"/>
  <c r="BK54" i="72"/>
  <c r="BM54" i="72" s="1"/>
  <c r="BK55" i="72" s="1"/>
  <c r="BM53" i="72"/>
  <c r="W52" i="72"/>
  <c r="Y52" i="72" s="1"/>
  <c r="W53" i="72" s="1"/>
  <c r="Y51" i="72"/>
  <c r="G38" i="55"/>
  <c r="J37" i="55"/>
  <c r="AM37" i="55" s="1"/>
  <c r="AN37" i="55" s="1"/>
  <c r="AC53" i="72"/>
  <c r="AA54" i="72"/>
  <c r="AC54" i="72" s="1"/>
  <c r="AA55" i="72" s="1"/>
  <c r="W48" i="55"/>
  <c r="Z47" i="55"/>
  <c r="BI49" i="72"/>
  <c r="BG50" i="72"/>
  <c r="BI50" i="72" s="1"/>
  <c r="BG51" i="72" s="1"/>
  <c r="O52" i="72"/>
  <c r="Q52" i="72" s="1"/>
  <c r="O53" i="72" s="1"/>
  <c r="Q51" i="72"/>
  <c r="E38" i="55" l="1"/>
  <c r="F38" i="55" s="1"/>
  <c r="C39" i="55"/>
  <c r="E39" i="55" s="1"/>
  <c r="U42" i="55"/>
  <c r="V42" i="55" s="1"/>
  <c r="S43" i="55"/>
  <c r="U43" i="55" s="1"/>
  <c r="AH45" i="55"/>
  <c r="AE46" i="55"/>
  <c r="AK46" i="55"/>
  <c r="AL46" i="55" s="1"/>
  <c r="AI47" i="55"/>
  <c r="AK47" i="55" s="1"/>
  <c r="A28" i="64"/>
  <c r="A32" i="48"/>
  <c r="F32" i="48"/>
  <c r="F29" i="64" s="1"/>
  <c r="I55" i="54"/>
  <c r="AQ54" i="72"/>
  <c r="AS54" i="72" s="1"/>
  <c r="AS53" i="72"/>
  <c r="AM56" i="72"/>
  <c r="AO56" i="72" s="1"/>
  <c r="AO55" i="72"/>
  <c r="AI56" i="72"/>
  <c r="AK56" i="72" s="1"/>
  <c r="AK55" i="72"/>
  <c r="K50" i="72"/>
  <c r="M50" i="72" s="1"/>
  <c r="K51" i="72" s="1"/>
  <c r="M49" i="72"/>
  <c r="BO54" i="72"/>
  <c r="BQ54" i="72" s="1"/>
  <c r="BO55" i="72" s="1"/>
  <c r="BQ53" i="72"/>
  <c r="Q53" i="72"/>
  <c r="O54" i="72"/>
  <c r="Q54" i="72" s="1"/>
  <c r="O55" i="72" s="1"/>
  <c r="AA56" i="72"/>
  <c r="AC56" i="72" s="1"/>
  <c r="AA57" i="72" s="1"/>
  <c r="AC55" i="72"/>
  <c r="BI51" i="72"/>
  <c r="BG52" i="72"/>
  <c r="BI52" i="72" s="1"/>
  <c r="BG53" i="72" s="1"/>
  <c r="W49" i="55"/>
  <c r="Y49" i="55" s="1"/>
  <c r="Y48" i="55"/>
  <c r="Z48" i="55" s="1"/>
  <c r="I38" i="55"/>
  <c r="J38" i="55" s="1"/>
  <c r="AM38" i="55" s="1"/>
  <c r="AO38" i="55" s="1"/>
  <c r="G39" i="55"/>
  <c r="I39" i="55" s="1"/>
  <c r="Y53" i="72"/>
  <c r="W54" i="72"/>
  <c r="Y54" i="72" s="1"/>
  <c r="W55" i="72" s="1"/>
  <c r="BK56" i="72"/>
  <c r="BM56" i="72" s="1"/>
  <c r="BK57" i="72" s="1"/>
  <c r="BM55" i="72"/>
  <c r="G68" i="68"/>
  <c r="H68" i="68" s="1"/>
  <c r="F69" i="68"/>
  <c r="AA44" i="55"/>
  <c r="AD43" i="55"/>
  <c r="K40" i="55"/>
  <c r="N39" i="55"/>
  <c r="E53" i="72"/>
  <c r="C54" i="72"/>
  <c r="E54" i="72" s="1"/>
  <c r="C55" i="72" s="1"/>
  <c r="BC52" i="72"/>
  <c r="BE52" i="72" s="1"/>
  <c r="BC53" i="72" s="1"/>
  <c r="BE51" i="72"/>
  <c r="G92" i="68"/>
  <c r="F93" i="68"/>
  <c r="AU52" i="72"/>
  <c r="AW52" i="72" s="1"/>
  <c r="AU53" i="72" s="1"/>
  <c r="AW51" i="72"/>
  <c r="H124" i="68"/>
  <c r="O47" i="55"/>
  <c r="Q47" i="55" s="1"/>
  <c r="Q46" i="55"/>
  <c r="R46" i="55" s="1"/>
  <c r="G38" i="68"/>
  <c r="F39" i="68"/>
  <c r="BA49" i="72"/>
  <c r="AY50" i="72"/>
  <c r="BA50" i="72" s="1"/>
  <c r="AY51" i="72" s="1"/>
  <c r="S54" i="72"/>
  <c r="U54" i="72" s="1"/>
  <c r="S55" i="72" s="1"/>
  <c r="U53" i="72"/>
  <c r="F120" i="68"/>
  <c r="I119" i="68"/>
  <c r="J119" i="68" s="1"/>
  <c r="AE50" i="72"/>
  <c r="AG50" i="72" s="1"/>
  <c r="AE51" i="72" s="1"/>
  <c r="AG49" i="72"/>
  <c r="G52" i="72"/>
  <c r="I52" i="72" s="1"/>
  <c r="G53" i="72" s="1"/>
  <c r="I51" i="72"/>
  <c r="AI48" i="55" l="1"/>
  <c r="AL47" i="55"/>
  <c r="V43" i="55"/>
  <c r="S44" i="55"/>
  <c r="AG46" i="55"/>
  <c r="AH46" i="55" s="1"/>
  <c r="AE47" i="55"/>
  <c r="AG47" i="55" s="1"/>
  <c r="C40" i="55"/>
  <c r="F39" i="55"/>
  <c r="A29" i="64"/>
  <c r="A34" i="48"/>
  <c r="AQ55" i="72"/>
  <c r="AM57" i="72"/>
  <c r="AI57" i="72"/>
  <c r="BQ55" i="72"/>
  <c r="BO56" i="72"/>
  <c r="BQ56" i="72" s="1"/>
  <c r="BO57" i="72" s="1"/>
  <c r="M51" i="72"/>
  <c r="K52" i="72"/>
  <c r="M52" i="72" s="1"/>
  <c r="K53" i="72" s="1"/>
  <c r="F121" i="68"/>
  <c r="I120" i="68"/>
  <c r="J120" i="68" s="1"/>
  <c r="U55" i="72"/>
  <c r="S56" i="72"/>
  <c r="U56" i="72" s="1"/>
  <c r="S57" i="72" s="1"/>
  <c r="H38" i="68"/>
  <c r="G54" i="72"/>
  <c r="I54" i="72" s="1"/>
  <c r="G55" i="72" s="1"/>
  <c r="I53" i="72"/>
  <c r="AG51" i="72"/>
  <c r="AE52" i="72"/>
  <c r="AG52" i="72" s="1"/>
  <c r="AE53" i="72" s="1"/>
  <c r="AY52" i="72"/>
  <c r="BA52" i="72" s="1"/>
  <c r="AY53" i="72" s="1"/>
  <c r="BA51" i="72"/>
  <c r="G39" i="68"/>
  <c r="H39" i="68" s="1"/>
  <c r="F40" i="68"/>
  <c r="G40" i="68" s="1"/>
  <c r="H40" i="68" s="1"/>
  <c r="O48" i="55"/>
  <c r="R47" i="55"/>
  <c r="H125" i="68"/>
  <c r="AW53" i="72"/>
  <c r="AU54" i="72"/>
  <c r="AW54" i="72" s="1"/>
  <c r="AU55" i="72" s="1"/>
  <c r="H92" i="68"/>
  <c r="BC54" i="72"/>
  <c r="BE54" i="72" s="1"/>
  <c r="BC55" i="72" s="1"/>
  <c r="BE53" i="72"/>
  <c r="K41" i="55"/>
  <c r="M41" i="55" s="1"/>
  <c r="M40" i="55"/>
  <c r="N40" i="55" s="1"/>
  <c r="AA45" i="55"/>
  <c r="AC45" i="55" s="1"/>
  <c r="AC44" i="55"/>
  <c r="AD44" i="55" s="1"/>
  <c r="BK58" i="72"/>
  <c r="BM58" i="72" s="1"/>
  <c r="BK59" i="72" s="1"/>
  <c r="BM57" i="72"/>
  <c r="W50" i="55"/>
  <c r="Z49" i="55"/>
  <c r="AC57" i="72"/>
  <c r="AA58" i="72"/>
  <c r="AC58" i="72" s="1"/>
  <c r="AA59" i="72" s="1"/>
  <c r="F94" i="68"/>
  <c r="G93" i="68"/>
  <c r="H93" i="68" s="1"/>
  <c r="C56" i="72"/>
  <c r="E56" i="72" s="1"/>
  <c r="C57" i="72" s="1"/>
  <c r="E55" i="72"/>
  <c r="F70" i="68"/>
  <c r="G69" i="68"/>
  <c r="W56" i="72"/>
  <c r="Y56" i="72" s="1"/>
  <c r="W57" i="72" s="1"/>
  <c r="Y55" i="72"/>
  <c r="G40" i="55"/>
  <c r="J39" i="55"/>
  <c r="AM39" i="55" s="1"/>
  <c r="AN39" i="55" s="1"/>
  <c r="BG54" i="72"/>
  <c r="BI54" i="72" s="1"/>
  <c r="BG55" i="72" s="1"/>
  <c r="BI53" i="72"/>
  <c r="Q55" i="72"/>
  <c r="O56" i="72"/>
  <c r="Q56" i="72" s="1"/>
  <c r="O57" i="72" s="1"/>
  <c r="S45" i="55" l="1"/>
  <c r="U45" i="55" s="1"/>
  <c r="U44" i="55"/>
  <c r="V44" i="55" s="1"/>
  <c r="C41" i="55"/>
  <c r="E41" i="55" s="1"/>
  <c r="E40" i="55"/>
  <c r="F40" i="55" s="1"/>
  <c r="AH47" i="55"/>
  <c r="AE48" i="55"/>
  <c r="AI49" i="55"/>
  <c r="AK49" i="55" s="1"/>
  <c r="AK48" i="55"/>
  <c r="AL48" i="55" s="1"/>
  <c r="F35" i="48"/>
  <c r="F32" i="64" s="1"/>
  <c r="A35" i="48"/>
  <c r="A31" i="64"/>
  <c r="AQ56" i="72"/>
  <c r="AS56" i="72" s="1"/>
  <c r="AS55" i="72"/>
  <c r="AM58" i="72"/>
  <c r="AO58" i="72" s="1"/>
  <c r="AO57" i="72"/>
  <c r="AI58" i="72"/>
  <c r="AK58" i="72" s="1"/>
  <c r="AK57" i="72"/>
  <c r="M53" i="72"/>
  <c r="K54" i="72"/>
  <c r="M54" i="72" s="1"/>
  <c r="K55" i="72" s="1"/>
  <c r="BQ57" i="72"/>
  <c r="BO58" i="72"/>
  <c r="BQ58" i="72" s="1"/>
  <c r="BO59" i="72" s="1"/>
  <c r="O58" i="72"/>
  <c r="Q58" i="72" s="1"/>
  <c r="O59" i="72" s="1"/>
  <c r="Q57" i="72"/>
  <c r="BG56" i="72"/>
  <c r="BI56" i="72" s="1"/>
  <c r="BG57" i="72" s="1"/>
  <c r="BI55" i="72"/>
  <c r="I40" i="55"/>
  <c r="J40" i="55" s="1"/>
  <c r="AM40" i="55" s="1"/>
  <c r="AO40" i="55" s="1"/>
  <c r="G41" i="55"/>
  <c r="I41" i="55" s="1"/>
  <c r="W58" i="72"/>
  <c r="Y58" i="72" s="1"/>
  <c r="W59" i="72" s="1"/>
  <c r="Y57" i="72"/>
  <c r="G70" i="68"/>
  <c r="H70" i="68" s="1"/>
  <c r="F71" i="68"/>
  <c r="E57" i="72"/>
  <c r="C58" i="72"/>
  <c r="E58" i="72" s="1"/>
  <c r="C59" i="72" s="1"/>
  <c r="F95" i="68"/>
  <c r="G94" i="68"/>
  <c r="H94" i="68" s="1"/>
  <c r="W51" i="55"/>
  <c r="Y51" i="55" s="1"/>
  <c r="Y50" i="55"/>
  <c r="Z50" i="55" s="1"/>
  <c r="BK60" i="72"/>
  <c r="BM60" i="72" s="1"/>
  <c r="BK61" i="72" s="1"/>
  <c r="BM59" i="72"/>
  <c r="AD45" i="55"/>
  <c r="AA46" i="55"/>
  <c r="N41" i="55"/>
  <c r="K42" i="55"/>
  <c r="BC56" i="72"/>
  <c r="BE56" i="72" s="1"/>
  <c r="BC57" i="72" s="1"/>
  <c r="BE55" i="72"/>
  <c r="H126" i="68"/>
  <c r="O49" i="55"/>
  <c r="Q49" i="55" s="1"/>
  <c r="Q48" i="55"/>
  <c r="R48" i="55" s="1"/>
  <c r="AY54" i="72"/>
  <c r="BA54" i="72" s="1"/>
  <c r="AY55" i="72" s="1"/>
  <c r="BA53" i="72"/>
  <c r="I55" i="72"/>
  <c r="G56" i="72"/>
  <c r="I56" i="72" s="1"/>
  <c r="G57" i="72" s="1"/>
  <c r="F122" i="68"/>
  <c r="I121" i="68"/>
  <c r="J121" i="68" s="1"/>
  <c r="H41" i="68"/>
  <c r="H42" i="68" s="1"/>
  <c r="D46" i="68" s="1"/>
  <c r="H69" i="68"/>
  <c r="AC59" i="72"/>
  <c r="AA60" i="72"/>
  <c r="AC60" i="72" s="1"/>
  <c r="AA61" i="72" s="1"/>
  <c r="AW55" i="72"/>
  <c r="AU56" i="72"/>
  <c r="AW56" i="72" s="1"/>
  <c r="AU57" i="72" s="1"/>
  <c r="AE54" i="72"/>
  <c r="AG54" i="72" s="1"/>
  <c r="AE55" i="72" s="1"/>
  <c r="AG53" i="72"/>
  <c r="S58" i="72"/>
  <c r="U58" i="72" s="1"/>
  <c r="S59" i="72" s="1"/>
  <c r="U57" i="72"/>
  <c r="G41" i="68"/>
  <c r="AI50" i="55" l="1"/>
  <c r="AL49" i="55"/>
  <c r="F41" i="55"/>
  <c r="C42" i="55"/>
  <c r="AG48" i="55"/>
  <c r="AH48" i="55" s="1"/>
  <c r="AE49" i="55"/>
  <c r="AG49" i="55" s="1"/>
  <c r="S46" i="55"/>
  <c r="V45" i="55"/>
  <c r="F76" i="48"/>
  <c r="F72" i="64" s="1"/>
  <c r="A32" i="64"/>
  <c r="F138" i="48"/>
  <c r="F129" i="64" s="1"/>
  <c r="F223" i="48"/>
  <c r="A40" i="48"/>
  <c r="AQ57" i="72"/>
  <c r="AM59" i="72"/>
  <c r="AI59" i="72"/>
  <c r="BQ59" i="72"/>
  <c r="BO60" i="72"/>
  <c r="BQ60" i="72" s="1"/>
  <c r="BO61" i="72" s="1"/>
  <c r="K56" i="72"/>
  <c r="M56" i="72" s="1"/>
  <c r="K57" i="72" s="1"/>
  <c r="M55" i="72"/>
  <c r="S60" i="72"/>
  <c r="U60" i="72" s="1"/>
  <c r="S61" i="72" s="1"/>
  <c r="U59" i="72"/>
  <c r="AW57" i="72"/>
  <c r="AU58" i="72"/>
  <c r="AW58" i="72" s="1"/>
  <c r="AU59" i="72" s="1"/>
  <c r="AC61" i="72"/>
  <c r="AA62" i="72"/>
  <c r="AC62" i="72" s="1"/>
  <c r="AA63" i="72" s="1"/>
  <c r="F123" i="68"/>
  <c r="I122" i="68"/>
  <c r="J122" i="68" s="1"/>
  <c r="AY56" i="72"/>
  <c r="BA56" i="72" s="1"/>
  <c r="AY57" i="72" s="1"/>
  <c r="BA55" i="72"/>
  <c r="O50" i="55"/>
  <c r="R49" i="55"/>
  <c r="BE57" i="72"/>
  <c r="BC58" i="72"/>
  <c r="BE58" i="72" s="1"/>
  <c r="BC59" i="72" s="1"/>
  <c r="BM61" i="72"/>
  <c r="BK62" i="72"/>
  <c r="BM62" i="72" s="1"/>
  <c r="BK63" i="72" s="1"/>
  <c r="W52" i="55"/>
  <c r="Z51" i="55"/>
  <c r="F96" i="68"/>
  <c r="G96" i="68" s="1"/>
  <c r="H96" i="68" s="1"/>
  <c r="G95" i="68"/>
  <c r="W60" i="72"/>
  <c r="Y60" i="72" s="1"/>
  <c r="W61" i="72" s="1"/>
  <c r="Y59" i="72"/>
  <c r="BG58" i="72"/>
  <c r="BI58" i="72" s="1"/>
  <c r="BG59" i="72" s="1"/>
  <c r="BI57" i="72"/>
  <c r="O60" i="72"/>
  <c r="Q60" i="72" s="1"/>
  <c r="O61" i="72" s="1"/>
  <c r="Q59" i="72"/>
  <c r="AG55" i="72"/>
  <c r="AE56" i="72"/>
  <c r="AG56" i="72" s="1"/>
  <c r="AE57" i="72" s="1"/>
  <c r="I57" i="72"/>
  <c r="G58" i="72"/>
  <c r="I58" i="72" s="1"/>
  <c r="G59" i="72" s="1"/>
  <c r="K43" i="55"/>
  <c r="M43" i="55" s="1"/>
  <c r="M42" i="55"/>
  <c r="N42" i="55" s="1"/>
  <c r="AA47" i="55"/>
  <c r="AC47" i="55" s="1"/>
  <c r="AC46" i="55"/>
  <c r="AD46" i="55" s="1"/>
  <c r="C60" i="72"/>
  <c r="E60" i="72" s="1"/>
  <c r="C61" i="72" s="1"/>
  <c r="E59" i="72"/>
  <c r="F72" i="68"/>
  <c r="G71" i="68"/>
  <c r="G42" i="55"/>
  <c r="J41" i="55"/>
  <c r="AM41" i="55" s="1"/>
  <c r="AN41" i="55" s="1"/>
  <c r="C43" i="55" l="1"/>
  <c r="E43" i="55" s="1"/>
  <c r="E42" i="55"/>
  <c r="F42" i="55" s="1"/>
  <c r="S47" i="55"/>
  <c r="U47" i="55" s="1"/>
  <c r="U46" i="55"/>
  <c r="V46" i="55" s="1"/>
  <c r="AE50" i="55"/>
  <c r="AH49" i="55"/>
  <c r="AK50" i="55"/>
  <c r="AL50" i="55" s="1"/>
  <c r="AI51" i="55"/>
  <c r="AK51" i="55" s="1"/>
  <c r="F248" i="48"/>
  <c r="F238" i="64" s="1"/>
  <c r="A37" i="64"/>
  <c r="A61" i="65" s="1"/>
  <c r="A41" i="48"/>
  <c r="F213" i="64"/>
  <c r="G71" i="54"/>
  <c r="AQ58" i="72"/>
  <c r="AS58" i="72" s="1"/>
  <c r="AS57" i="72"/>
  <c r="AM60" i="72"/>
  <c r="AO60" i="72" s="1"/>
  <c r="AO59" i="72"/>
  <c r="AI60" i="72"/>
  <c r="AK60" i="72" s="1"/>
  <c r="AK59" i="72"/>
  <c r="M57" i="72"/>
  <c r="K58" i="72"/>
  <c r="M58" i="72" s="1"/>
  <c r="K59" i="72" s="1"/>
  <c r="BQ61" i="72"/>
  <c r="BO62" i="72"/>
  <c r="BQ62" i="72" s="1"/>
  <c r="BO63" i="72" s="1"/>
  <c r="H71" i="68"/>
  <c r="I59" i="72"/>
  <c r="G60" i="72"/>
  <c r="I60" i="72" s="1"/>
  <c r="G61" i="72" s="1"/>
  <c r="AE58" i="72"/>
  <c r="AG58" i="72" s="1"/>
  <c r="AE59" i="72" s="1"/>
  <c r="AG57" i="72"/>
  <c r="Y61" i="72"/>
  <c r="W62" i="72"/>
  <c r="Y62" i="72" s="1"/>
  <c r="W63" i="72" s="1"/>
  <c r="W53" i="55"/>
  <c r="Y53" i="55" s="1"/>
  <c r="Y52" i="55"/>
  <c r="Z52" i="55" s="1"/>
  <c r="O51" i="55"/>
  <c r="Q51" i="55" s="1"/>
  <c r="Q50" i="55"/>
  <c r="R50" i="55" s="1"/>
  <c r="BA57" i="72"/>
  <c r="AY58" i="72"/>
  <c r="BA58" i="72" s="1"/>
  <c r="AY59" i="72" s="1"/>
  <c r="F124" i="68"/>
  <c r="I123" i="68"/>
  <c r="J123" i="68" s="1"/>
  <c r="S62" i="72"/>
  <c r="U62" i="72" s="1"/>
  <c r="S63" i="72" s="1"/>
  <c r="U61" i="72"/>
  <c r="I42" i="55"/>
  <c r="J42" i="55" s="1"/>
  <c r="AM42" i="55" s="1"/>
  <c r="AO42" i="55" s="1"/>
  <c r="G43" i="55"/>
  <c r="I43" i="55" s="1"/>
  <c r="G72" i="68"/>
  <c r="H72" i="68" s="1"/>
  <c r="F73" i="68"/>
  <c r="G73" i="68" s="1"/>
  <c r="H73" i="68" s="1"/>
  <c r="E61" i="72"/>
  <c r="C62" i="72"/>
  <c r="E62" i="72" s="1"/>
  <c r="C63" i="72" s="1"/>
  <c r="AA48" i="55"/>
  <c r="AD47" i="55"/>
  <c r="K44" i="55"/>
  <c r="N43" i="55"/>
  <c r="Q61" i="72"/>
  <c r="O62" i="72"/>
  <c r="Q62" i="72" s="1"/>
  <c r="O63" i="72" s="1"/>
  <c r="BI59" i="72"/>
  <c r="BG60" i="72"/>
  <c r="BI60" i="72" s="1"/>
  <c r="BG61" i="72" s="1"/>
  <c r="H95" i="68"/>
  <c r="H97" i="68" s="1"/>
  <c r="H98" i="68" s="1"/>
  <c r="G97" i="68"/>
  <c r="BK64" i="72"/>
  <c r="BM64" i="72" s="1"/>
  <c r="BK65" i="72" s="1"/>
  <c r="BM63" i="72"/>
  <c r="BE59" i="72"/>
  <c r="BC60" i="72"/>
  <c r="BE60" i="72" s="1"/>
  <c r="BC61" i="72" s="1"/>
  <c r="AA64" i="72"/>
  <c r="AC64" i="72" s="1"/>
  <c r="AA65" i="72" s="1"/>
  <c r="AC63" i="72"/>
  <c r="AU60" i="72"/>
  <c r="AW60" i="72" s="1"/>
  <c r="AU61" i="72" s="1"/>
  <c r="AW59" i="72"/>
  <c r="AI52" i="55" l="1"/>
  <c r="AL51" i="55"/>
  <c r="V47" i="55"/>
  <c r="S48" i="55"/>
  <c r="AE51" i="55"/>
  <c r="AG51" i="55" s="1"/>
  <c r="AG50" i="55"/>
  <c r="AH50" i="55" s="1"/>
  <c r="C44" i="55"/>
  <c r="F43" i="55"/>
  <c r="I81" i="68"/>
  <c r="A42" i="48"/>
  <c r="AQ59" i="72"/>
  <c r="AM61" i="72"/>
  <c r="AI61" i="72"/>
  <c r="BO64" i="72"/>
  <c r="BQ64" i="72" s="1"/>
  <c r="BO65" i="72" s="1"/>
  <c r="BQ63" i="72"/>
  <c r="K60" i="72"/>
  <c r="M60" i="72" s="1"/>
  <c r="K61" i="72" s="1"/>
  <c r="M59" i="72"/>
  <c r="AA66" i="72"/>
  <c r="AC66" i="72" s="1"/>
  <c r="AA67" i="72" s="1"/>
  <c r="AC65" i="72"/>
  <c r="BK66" i="72"/>
  <c r="BM66" i="72" s="1"/>
  <c r="BK67" i="72" s="1"/>
  <c r="BM65" i="72"/>
  <c r="BE61" i="72"/>
  <c r="BC62" i="72"/>
  <c r="BE62" i="72" s="1"/>
  <c r="BC63" i="72" s="1"/>
  <c r="BI61" i="72"/>
  <c r="BG62" i="72"/>
  <c r="BI62" i="72" s="1"/>
  <c r="BG63" i="72" s="1"/>
  <c r="Q63" i="72"/>
  <c r="O64" i="72"/>
  <c r="Q64" i="72" s="1"/>
  <c r="O65" i="72" s="1"/>
  <c r="C64" i="72"/>
  <c r="E64" i="72" s="1"/>
  <c r="C65" i="72" s="1"/>
  <c r="E63" i="72"/>
  <c r="G44" i="55"/>
  <c r="J43" i="55"/>
  <c r="AM43" i="55" s="1"/>
  <c r="AN43" i="55" s="1"/>
  <c r="F125" i="68"/>
  <c r="I124" i="68"/>
  <c r="J124" i="68" s="1"/>
  <c r="O52" i="55"/>
  <c r="R51" i="55"/>
  <c r="W54" i="55"/>
  <c r="Z53" i="55"/>
  <c r="AG59" i="72"/>
  <c r="AE60" i="72"/>
  <c r="AG60" i="72" s="1"/>
  <c r="AE61" i="72" s="1"/>
  <c r="H74" i="68"/>
  <c r="H75" i="68" s="1"/>
  <c r="AU62" i="72"/>
  <c r="AW62" i="72" s="1"/>
  <c r="AU63" i="72" s="1"/>
  <c r="AW61" i="72"/>
  <c r="K45" i="55"/>
  <c r="M45" i="55" s="1"/>
  <c r="M44" i="55"/>
  <c r="N44" i="55" s="1"/>
  <c r="AA49" i="55"/>
  <c r="AC49" i="55" s="1"/>
  <c r="AC48" i="55"/>
  <c r="AD48" i="55" s="1"/>
  <c r="U63" i="72"/>
  <c r="S64" i="72"/>
  <c r="U64" i="72" s="1"/>
  <c r="S65" i="72" s="1"/>
  <c r="AY60" i="72"/>
  <c r="BA60" i="72" s="1"/>
  <c r="AY61" i="72" s="1"/>
  <c r="BA59" i="72"/>
  <c r="Y63" i="72"/>
  <c r="W64" i="72"/>
  <c r="Y64" i="72" s="1"/>
  <c r="W65" i="72" s="1"/>
  <c r="G62" i="72"/>
  <c r="I62" i="72" s="1"/>
  <c r="G63" i="72" s="1"/>
  <c r="I61" i="72"/>
  <c r="G74" i="68"/>
  <c r="H43" i="48" l="1"/>
  <c r="S49" i="55"/>
  <c r="U49" i="55" s="1"/>
  <c r="U48" i="55"/>
  <c r="V48" i="55" s="1"/>
  <c r="E44" i="55"/>
  <c r="F44" i="55" s="1"/>
  <c r="C45" i="55"/>
  <c r="E45" i="55" s="1"/>
  <c r="AE52" i="55"/>
  <c r="AH51" i="55"/>
  <c r="AI53" i="55"/>
  <c r="AK53" i="55" s="1"/>
  <c r="AK52" i="55"/>
  <c r="AL52" i="55" s="1"/>
  <c r="E46" i="68"/>
  <c r="I75" i="68" s="1"/>
  <c r="A38" i="64"/>
  <c r="A62" i="65" s="1"/>
  <c r="I98" i="68"/>
  <c r="A43" i="48"/>
  <c r="F43" i="48"/>
  <c r="AQ60" i="72"/>
  <c r="AS60" i="72" s="1"/>
  <c r="AS59" i="72"/>
  <c r="AM62" i="72"/>
  <c r="AO62" i="72" s="1"/>
  <c r="AO61" i="72"/>
  <c r="AI62" i="72"/>
  <c r="AK62" i="72" s="1"/>
  <c r="AK61" i="72"/>
  <c r="K62" i="72"/>
  <c r="M62" i="72" s="1"/>
  <c r="K63" i="72" s="1"/>
  <c r="M61" i="72"/>
  <c r="BQ65" i="72"/>
  <c r="BO66" i="72"/>
  <c r="BQ66" i="72" s="1"/>
  <c r="BO67" i="72" s="1"/>
  <c r="G64" i="72"/>
  <c r="I64" i="72" s="1"/>
  <c r="G65" i="72" s="1"/>
  <c r="I63" i="72"/>
  <c r="AY62" i="72"/>
  <c r="BA62" i="72" s="1"/>
  <c r="AY63" i="72" s="1"/>
  <c r="BA61" i="72"/>
  <c r="AD49" i="55"/>
  <c r="AA50" i="55"/>
  <c r="N45" i="55"/>
  <c r="K46" i="55"/>
  <c r="AU64" i="72"/>
  <c r="AW64" i="72" s="1"/>
  <c r="AU65" i="72" s="1"/>
  <c r="AW63" i="72"/>
  <c r="W55" i="55"/>
  <c r="Y55" i="55" s="1"/>
  <c r="Y54" i="55"/>
  <c r="Z54" i="55" s="1"/>
  <c r="O53" i="55"/>
  <c r="Q53" i="55" s="1"/>
  <c r="Q52" i="55"/>
  <c r="R52" i="55" s="1"/>
  <c r="F126" i="68"/>
  <c r="I125" i="68"/>
  <c r="J125" i="68" s="1"/>
  <c r="I44" i="55"/>
  <c r="J44" i="55" s="1"/>
  <c r="G45" i="55"/>
  <c r="I45" i="55" s="1"/>
  <c r="C66" i="72"/>
  <c r="E66" i="72" s="1"/>
  <c r="C67" i="72" s="1"/>
  <c r="E65" i="72"/>
  <c r="BK68" i="72"/>
  <c r="BM68" i="72" s="1"/>
  <c r="BK69" i="72" s="1"/>
  <c r="BM67" i="72"/>
  <c r="AC67" i="72"/>
  <c r="AA68" i="72"/>
  <c r="AC68" i="72" s="1"/>
  <c r="AA69" i="72" s="1"/>
  <c r="W66" i="72"/>
  <c r="Y66" i="72" s="1"/>
  <c r="W67" i="72" s="1"/>
  <c r="Y65" i="72"/>
  <c r="S66" i="72"/>
  <c r="U66" i="72" s="1"/>
  <c r="S67" i="72" s="1"/>
  <c r="U65" i="72"/>
  <c r="AE62" i="72"/>
  <c r="AG62" i="72" s="1"/>
  <c r="AE63" i="72" s="1"/>
  <c r="AG61" i="72"/>
  <c r="O66" i="72"/>
  <c r="Q66" i="72" s="1"/>
  <c r="O67" i="72" s="1"/>
  <c r="Q65" i="72"/>
  <c r="BG64" i="72"/>
  <c r="BI64" i="72" s="1"/>
  <c r="BG65" i="72" s="1"/>
  <c r="BI63" i="72"/>
  <c r="BC64" i="72"/>
  <c r="BE64" i="72" s="1"/>
  <c r="BC65" i="72" s="1"/>
  <c r="BE63" i="72"/>
  <c r="AM44" i="55"/>
  <c r="AO44" i="55" s="1"/>
  <c r="AE53" i="55" l="1"/>
  <c r="AG53" i="55" s="1"/>
  <c r="AG52" i="55"/>
  <c r="AH52" i="55" s="1"/>
  <c r="S50" i="55"/>
  <c r="V49" i="55"/>
  <c r="C46" i="55"/>
  <c r="F45" i="55"/>
  <c r="AL53" i="55"/>
  <c r="AI54" i="55"/>
  <c r="A45" i="48"/>
  <c r="AQ61" i="72"/>
  <c r="AM63" i="72"/>
  <c r="AI63" i="72"/>
  <c r="M63" i="72"/>
  <c r="K64" i="72"/>
  <c r="M64" i="72" s="1"/>
  <c r="K65" i="72" s="1"/>
  <c r="BQ67" i="72"/>
  <c r="BO68" i="72"/>
  <c r="BQ68" i="72" s="1"/>
  <c r="BO69" i="72" s="1"/>
  <c r="BC66" i="72"/>
  <c r="BE66" i="72" s="1"/>
  <c r="BC67" i="72" s="1"/>
  <c r="BE65" i="72"/>
  <c r="BI65" i="72"/>
  <c r="BG66" i="72"/>
  <c r="BI66" i="72" s="1"/>
  <c r="BG67" i="72" s="1"/>
  <c r="Q67" i="72"/>
  <c r="O68" i="72"/>
  <c r="Q68" i="72" s="1"/>
  <c r="O69" i="72" s="1"/>
  <c r="AG63" i="72"/>
  <c r="AE64" i="72"/>
  <c r="AG64" i="72" s="1"/>
  <c r="AE65" i="72" s="1"/>
  <c r="S68" i="72"/>
  <c r="U68" i="72" s="1"/>
  <c r="S69" i="72" s="1"/>
  <c r="U67" i="72"/>
  <c r="W68" i="72"/>
  <c r="Y68" i="72" s="1"/>
  <c r="W69" i="72" s="1"/>
  <c r="Y67" i="72"/>
  <c r="BM69" i="72"/>
  <c r="BK70" i="72"/>
  <c r="BM70" i="72" s="1"/>
  <c r="BK71" i="72" s="1"/>
  <c r="C68" i="72"/>
  <c r="E68" i="72" s="1"/>
  <c r="C69" i="72" s="1"/>
  <c r="E67" i="72"/>
  <c r="K47" i="55"/>
  <c r="M47" i="55" s="1"/>
  <c r="M46" i="55"/>
  <c r="N46" i="55" s="1"/>
  <c r="AA51" i="55"/>
  <c r="AC51" i="55" s="1"/>
  <c r="AC50" i="55"/>
  <c r="AD50" i="55" s="1"/>
  <c r="G66" i="72"/>
  <c r="I66" i="72" s="1"/>
  <c r="G67" i="72" s="1"/>
  <c r="I65" i="72"/>
  <c r="AA70" i="72"/>
  <c r="AC70" i="72" s="1"/>
  <c r="AA71" i="72" s="1"/>
  <c r="AC69" i="72"/>
  <c r="G46" i="55"/>
  <c r="J45" i="55"/>
  <c r="AM45" i="55" s="1"/>
  <c r="AN45" i="55" s="1"/>
  <c r="I126" i="68"/>
  <c r="J126" i="68" s="1"/>
  <c r="J127" i="68" s="1"/>
  <c r="F127" i="68"/>
  <c r="O54" i="55"/>
  <c r="R53" i="55"/>
  <c r="W56" i="55"/>
  <c r="Z55" i="55"/>
  <c r="AW65" i="72"/>
  <c r="AU66" i="72"/>
  <c r="AW66" i="72" s="1"/>
  <c r="AU67" i="72" s="1"/>
  <c r="AY64" i="72"/>
  <c r="BA64" i="72" s="1"/>
  <c r="AY65" i="72" s="1"/>
  <c r="BA63" i="72"/>
  <c r="AI55" i="55" l="1"/>
  <c r="AK55" i="55" s="1"/>
  <c r="AK54" i="55"/>
  <c r="AL54" i="55" s="1"/>
  <c r="S51" i="55"/>
  <c r="U51" i="55" s="1"/>
  <c r="U50" i="55"/>
  <c r="V50" i="55" s="1"/>
  <c r="C47" i="55"/>
  <c r="E47" i="55" s="1"/>
  <c r="E46" i="55"/>
  <c r="F46" i="55" s="1"/>
  <c r="AH53" i="55"/>
  <c r="AE54" i="55"/>
  <c r="A46" i="48"/>
  <c r="A39" i="64"/>
  <c r="F47" i="48"/>
  <c r="F41" i="64" s="1"/>
  <c r="AQ62" i="72"/>
  <c r="AS62" i="72" s="1"/>
  <c r="AS61" i="72"/>
  <c r="AM64" i="72"/>
  <c r="AO64" i="72" s="1"/>
  <c r="AO63" i="72"/>
  <c r="AI64" i="72"/>
  <c r="AK64" i="72" s="1"/>
  <c r="AK63" i="72"/>
  <c r="BO70" i="72"/>
  <c r="BQ70" i="72" s="1"/>
  <c r="BQ69" i="72"/>
  <c r="M65" i="72"/>
  <c r="K66" i="72"/>
  <c r="M66" i="72" s="1"/>
  <c r="H130" i="68"/>
  <c r="F130" i="68"/>
  <c r="AU68" i="72"/>
  <c r="AW68" i="72" s="1"/>
  <c r="AW67" i="72"/>
  <c r="I46" i="55"/>
  <c r="J46" i="55" s="1"/>
  <c r="G47" i="55"/>
  <c r="I47" i="55" s="1"/>
  <c r="AA72" i="72"/>
  <c r="AC72" i="72" s="1"/>
  <c r="AC71" i="72"/>
  <c r="I67" i="72"/>
  <c r="G68" i="72"/>
  <c r="I68" i="72" s="1"/>
  <c r="AA52" i="55"/>
  <c r="AD51" i="55"/>
  <c r="K48" i="55"/>
  <c r="N47" i="55"/>
  <c r="C70" i="72"/>
  <c r="E70" i="72" s="1"/>
  <c r="E69" i="72"/>
  <c r="Y69" i="72"/>
  <c r="W70" i="72"/>
  <c r="Y70" i="72" s="1"/>
  <c r="S70" i="72"/>
  <c r="U70" i="72" s="1"/>
  <c r="U69" i="72"/>
  <c r="BC68" i="72"/>
  <c r="BE68" i="72" s="1"/>
  <c r="BE67" i="72"/>
  <c r="AY66" i="72"/>
  <c r="BA66" i="72" s="1"/>
  <c r="BA65" i="72"/>
  <c r="W57" i="55"/>
  <c r="Y57" i="55" s="1"/>
  <c r="Y56" i="55"/>
  <c r="Z56" i="55" s="1"/>
  <c r="O55" i="55"/>
  <c r="Q55" i="55" s="1"/>
  <c r="Q54" i="55"/>
  <c r="R54" i="55" s="1"/>
  <c r="BK72" i="72"/>
  <c r="BM72" i="72" s="1"/>
  <c r="BM71" i="72"/>
  <c r="AE66" i="72"/>
  <c r="AG66" i="72" s="1"/>
  <c r="AG65" i="72"/>
  <c r="O70" i="72"/>
  <c r="Q70" i="72" s="1"/>
  <c r="Q69" i="72"/>
  <c r="BI67" i="72"/>
  <c r="BG68" i="72"/>
  <c r="BI68" i="72" s="1"/>
  <c r="AM46" i="55"/>
  <c r="AO46" i="55" s="1"/>
  <c r="AG54" i="55" l="1"/>
  <c r="AH54" i="55" s="1"/>
  <c r="AE55" i="55"/>
  <c r="AG55" i="55" s="1"/>
  <c r="S52" i="55"/>
  <c r="V51" i="55"/>
  <c r="C48" i="55"/>
  <c r="F47" i="55"/>
  <c r="AI56" i="55"/>
  <c r="AL55" i="55"/>
  <c r="A47" i="48"/>
  <c r="F20" i="48"/>
  <c r="F17" i="64" s="1"/>
  <c r="A40" i="64"/>
  <c r="AQ63" i="72"/>
  <c r="AM65" i="72"/>
  <c r="AI65" i="72"/>
  <c r="BO71" i="72"/>
  <c r="K67" i="72"/>
  <c r="O71" i="72"/>
  <c r="AE67" i="72"/>
  <c r="BK73" i="72"/>
  <c r="O56" i="55"/>
  <c r="R55" i="55"/>
  <c r="W58" i="55"/>
  <c r="Z57" i="55"/>
  <c r="AY67" i="72"/>
  <c r="BC69" i="72"/>
  <c r="S71" i="72"/>
  <c r="C71" i="72"/>
  <c r="K49" i="55"/>
  <c r="M49" i="55" s="1"/>
  <c r="M48" i="55"/>
  <c r="N48" i="55" s="1"/>
  <c r="AA53" i="55"/>
  <c r="AC53" i="55" s="1"/>
  <c r="AC52" i="55"/>
  <c r="AD52" i="55" s="1"/>
  <c r="AA73" i="72"/>
  <c r="AU69" i="72"/>
  <c r="H131" i="68"/>
  <c r="H132" i="68" s="1"/>
  <c r="H133" i="68" s="1"/>
  <c r="H134" i="68" s="1"/>
  <c r="H135" i="68" s="1"/>
  <c r="H136" i="68" s="1"/>
  <c r="H137" i="68" s="1"/>
  <c r="H138" i="68" s="1"/>
  <c r="H139" i="68" s="1"/>
  <c r="H140" i="68" s="1"/>
  <c r="H141" i="68" s="1"/>
  <c r="BG69" i="72"/>
  <c r="W71" i="72"/>
  <c r="G69" i="72"/>
  <c r="J47" i="55"/>
  <c r="AM47" i="55" s="1"/>
  <c r="AN47" i="55" s="1"/>
  <c r="G48" i="55"/>
  <c r="I130" i="68"/>
  <c r="F131" i="68" s="1"/>
  <c r="I131" i="68" l="1"/>
  <c r="F132" i="68" s="1"/>
  <c r="I132" i="68" s="1"/>
  <c r="F133" i="68" s="1"/>
  <c r="I133" i="68" s="1"/>
  <c r="F134" i="68" s="1"/>
  <c r="I134" i="68" s="1"/>
  <c r="F135" i="68" s="1"/>
  <c r="I135" i="68" s="1"/>
  <c r="F136" i="68" s="1"/>
  <c r="I136" i="68" s="1"/>
  <c r="F137" i="68" s="1"/>
  <c r="I137" i="68" s="1"/>
  <c r="F138" i="68" s="1"/>
  <c r="I138" i="68" s="1"/>
  <c r="F139" i="68" s="1"/>
  <c r="I139" i="68" s="1"/>
  <c r="F140" i="68" s="1"/>
  <c r="I140" i="68" s="1"/>
  <c r="F141" i="68" s="1"/>
  <c r="I141" i="68" s="1"/>
  <c r="AI57" i="55"/>
  <c r="AK57" i="55" s="1"/>
  <c r="AK56" i="55"/>
  <c r="AL56" i="55" s="1"/>
  <c r="S53" i="55"/>
  <c r="U53" i="55" s="1"/>
  <c r="U52" i="55"/>
  <c r="V52" i="55" s="1"/>
  <c r="AE56" i="55"/>
  <c r="AH55" i="55"/>
  <c r="C49" i="55"/>
  <c r="E49" i="55" s="1"/>
  <c r="E48" i="55"/>
  <c r="F48" i="55" s="1"/>
  <c r="A17" i="65"/>
  <c r="A63" i="65"/>
  <c r="A41" i="64"/>
  <c r="A48" i="48"/>
  <c r="F59" i="65"/>
  <c r="F8" i="65"/>
  <c r="AQ64" i="72"/>
  <c r="AS64" i="72" s="1"/>
  <c r="AS63" i="72"/>
  <c r="AM66" i="72"/>
  <c r="AO66" i="72" s="1"/>
  <c r="AO65" i="72"/>
  <c r="AI66" i="72"/>
  <c r="AK66" i="72" s="1"/>
  <c r="AK65" i="72"/>
  <c r="M67" i="72"/>
  <c r="K68" i="72"/>
  <c r="M68" i="72" s="1"/>
  <c r="BQ71" i="72"/>
  <c r="BO72" i="72"/>
  <c r="BQ72" i="72" s="1"/>
  <c r="I48" i="55"/>
  <c r="J48" i="55" s="1"/>
  <c r="G49" i="55"/>
  <c r="I49" i="55" s="1"/>
  <c r="AY68" i="72"/>
  <c r="BA68" i="72" s="1"/>
  <c r="BA67" i="72"/>
  <c r="W59" i="55"/>
  <c r="Y59" i="55" s="1"/>
  <c r="Y58" i="55"/>
  <c r="Z58" i="55" s="1"/>
  <c r="O57" i="55"/>
  <c r="Q57" i="55" s="1"/>
  <c r="Q56" i="55"/>
  <c r="R56" i="55" s="1"/>
  <c r="BK74" i="72"/>
  <c r="BM74" i="72" s="1"/>
  <c r="BM73" i="72"/>
  <c r="AE68" i="72"/>
  <c r="AG68" i="72" s="1"/>
  <c r="AG67" i="72"/>
  <c r="Q71" i="72"/>
  <c r="O72" i="72"/>
  <c r="Q72" i="72" s="1"/>
  <c r="AM48" i="55"/>
  <c r="AO48" i="55" s="1"/>
  <c r="G70" i="72"/>
  <c r="I70" i="72" s="1"/>
  <c r="I69" i="72"/>
  <c r="W72" i="72"/>
  <c r="Y72" i="72" s="1"/>
  <c r="Y71" i="72"/>
  <c r="BG70" i="72"/>
  <c r="BI70" i="72" s="1"/>
  <c r="BI69" i="72"/>
  <c r="AU70" i="72"/>
  <c r="AW70" i="72" s="1"/>
  <c r="AW69" i="72"/>
  <c r="AA74" i="72"/>
  <c r="AC74" i="72" s="1"/>
  <c r="AC73" i="72"/>
  <c r="AA54" i="55"/>
  <c r="AD53" i="55"/>
  <c r="N49" i="55"/>
  <c r="K50" i="55"/>
  <c r="C72" i="72"/>
  <c r="E72" i="72" s="1"/>
  <c r="E71" i="72"/>
  <c r="S72" i="72"/>
  <c r="U72" i="72" s="1"/>
  <c r="U71" i="72"/>
  <c r="BE69" i="72"/>
  <c r="BC70" i="72"/>
  <c r="BE70" i="72" s="1"/>
  <c r="H142" i="68"/>
  <c r="H144" i="68" s="1"/>
  <c r="G213" i="65" l="1"/>
  <c r="I213" i="65" s="1"/>
  <c r="C50" i="55"/>
  <c r="F49" i="55"/>
  <c r="S54" i="55"/>
  <c r="V53" i="55"/>
  <c r="AG56" i="55"/>
  <c r="AH56" i="55" s="1"/>
  <c r="AE57" i="55"/>
  <c r="AG57" i="55" s="1"/>
  <c r="AL57" i="55"/>
  <c r="AI58" i="55"/>
  <c r="A49" i="48"/>
  <c r="A42" i="64"/>
  <c r="F49" i="48"/>
  <c r="F43" i="64" s="1"/>
  <c r="H146" i="68"/>
  <c r="D150" i="68" s="1"/>
  <c r="D154" i="68" s="1"/>
  <c r="AQ65" i="72"/>
  <c r="AM67" i="72"/>
  <c r="AI67" i="72"/>
  <c r="BO73" i="72"/>
  <c r="K69" i="72"/>
  <c r="S73" i="72"/>
  <c r="C73" i="72"/>
  <c r="AA55" i="55"/>
  <c r="AC55" i="55" s="1"/>
  <c r="AC54" i="55"/>
  <c r="AD54" i="55" s="1"/>
  <c r="AA75" i="72"/>
  <c r="AU71" i="72"/>
  <c r="BG71" i="72"/>
  <c r="W73" i="72"/>
  <c r="G71" i="72"/>
  <c r="AE69" i="72"/>
  <c r="BK75" i="72"/>
  <c r="O58" i="55"/>
  <c r="R57" i="55"/>
  <c r="W60" i="55"/>
  <c r="Z59" i="55"/>
  <c r="AY69" i="72"/>
  <c r="BC71" i="72"/>
  <c r="K51" i="55"/>
  <c r="M51" i="55" s="1"/>
  <c r="M50" i="55"/>
  <c r="N50" i="55" s="1"/>
  <c r="O73" i="72"/>
  <c r="G50" i="55"/>
  <c r="J49" i="55"/>
  <c r="AM49" i="55" s="1"/>
  <c r="AN49" i="55" s="1"/>
  <c r="H278" i="48" l="1"/>
  <c r="D213" i="65" s="1"/>
  <c r="AI59" i="55"/>
  <c r="AK59" i="55" s="1"/>
  <c r="AK58" i="55"/>
  <c r="AL58" i="55" s="1"/>
  <c r="S55" i="55"/>
  <c r="U55" i="55" s="1"/>
  <c r="U54" i="55"/>
  <c r="V54" i="55" s="1"/>
  <c r="AH57" i="55"/>
  <c r="AE58" i="55"/>
  <c r="E50" i="55"/>
  <c r="F50" i="55" s="1"/>
  <c r="C51" i="55"/>
  <c r="E51" i="55" s="1"/>
  <c r="A51" i="48"/>
  <c r="A43" i="64"/>
  <c r="F53" i="48"/>
  <c r="F47" i="64" s="1"/>
  <c r="AQ66" i="72"/>
  <c r="AS66" i="72" s="1"/>
  <c r="AS65" i="72"/>
  <c r="AM68" i="72"/>
  <c r="AO68" i="72" s="1"/>
  <c r="AO67" i="72"/>
  <c r="AI68" i="72"/>
  <c r="AK68" i="72" s="1"/>
  <c r="AK67" i="72"/>
  <c r="M69" i="72"/>
  <c r="K70" i="72"/>
  <c r="M70" i="72" s="1"/>
  <c r="BO74" i="72"/>
  <c r="BQ74" i="72" s="1"/>
  <c r="BQ73" i="72"/>
  <c r="I50" i="55"/>
  <c r="J50" i="55" s="1"/>
  <c r="G51" i="55"/>
  <c r="I51" i="55" s="1"/>
  <c r="O74" i="72"/>
  <c r="Q74" i="72" s="1"/>
  <c r="Q73" i="72"/>
  <c r="K52" i="55"/>
  <c r="N51" i="55"/>
  <c r="BC72" i="72"/>
  <c r="BE72" i="72" s="1"/>
  <c r="BE71" i="72"/>
  <c r="AY70" i="72"/>
  <c r="BA70" i="72" s="1"/>
  <c r="BA69" i="72"/>
  <c r="W61" i="55"/>
  <c r="Y61" i="55" s="1"/>
  <c r="Y60" i="55"/>
  <c r="Z60" i="55" s="1"/>
  <c r="O59" i="55"/>
  <c r="Q59" i="55" s="1"/>
  <c r="Q58" i="55"/>
  <c r="R58" i="55" s="1"/>
  <c r="BK76" i="72"/>
  <c r="BM76" i="72" s="1"/>
  <c r="BM75" i="72"/>
  <c r="AE70" i="72"/>
  <c r="AG70" i="72" s="1"/>
  <c r="AG69" i="72"/>
  <c r="G72" i="72"/>
  <c r="I72" i="72" s="1"/>
  <c r="I71" i="72"/>
  <c r="W74" i="72"/>
  <c r="Y74" i="72" s="1"/>
  <c r="Y73" i="72"/>
  <c r="BG72" i="72"/>
  <c r="BI72" i="72" s="1"/>
  <c r="BI71" i="72"/>
  <c r="AU72" i="72"/>
  <c r="AW72" i="72" s="1"/>
  <c r="AW71" i="72"/>
  <c r="AA76" i="72"/>
  <c r="AC76" i="72" s="1"/>
  <c r="AC75" i="72"/>
  <c r="AA56" i="55"/>
  <c r="AD55" i="55"/>
  <c r="C74" i="72"/>
  <c r="E74" i="72" s="1"/>
  <c r="E73" i="72"/>
  <c r="S74" i="72"/>
  <c r="U74" i="72" s="1"/>
  <c r="U73" i="72"/>
  <c r="AM50" i="55"/>
  <c r="AO50" i="55" s="1"/>
  <c r="C52" i="55" l="1"/>
  <c r="F51" i="55"/>
  <c r="S56" i="55"/>
  <c r="V55" i="55"/>
  <c r="AE59" i="55"/>
  <c r="AG59" i="55" s="1"/>
  <c r="AG58" i="55"/>
  <c r="AH58" i="55" s="1"/>
  <c r="AL59" i="55"/>
  <c r="AI60" i="55"/>
  <c r="A45" i="64"/>
  <c r="A47" i="65" s="1"/>
  <c r="A53" i="48"/>
  <c r="AQ67" i="72"/>
  <c r="AM69" i="72"/>
  <c r="AI69" i="72"/>
  <c r="BO75" i="72"/>
  <c r="K71" i="72"/>
  <c r="S75" i="72"/>
  <c r="C75" i="72"/>
  <c r="AA57" i="55"/>
  <c r="AC57" i="55" s="1"/>
  <c r="AC56" i="55"/>
  <c r="AD56" i="55" s="1"/>
  <c r="AA77" i="72"/>
  <c r="AU73" i="72"/>
  <c r="BG73" i="72"/>
  <c r="W75" i="72"/>
  <c r="G73" i="72"/>
  <c r="AE71" i="72"/>
  <c r="O60" i="55"/>
  <c r="R59" i="55"/>
  <c r="W62" i="55"/>
  <c r="Z61" i="55"/>
  <c r="AY71" i="72"/>
  <c r="BC73" i="72"/>
  <c r="K53" i="55"/>
  <c r="M53" i="55" s="1"/>
  <c r="M52" i="55"/>
  <c r="N52" i="55" s="1"/>
  <c r="O75" i="72"/>
  <c r="J51" i="55"/>
  <c r="AM51" i="55" s="1"/>
  <c r="AN51" i="55" s="1"/>
  <c r="G52" i="55"/>
  <c r="AK60" i="55" l="1"/>
  <c r="AL60" i="55" s="1"/>
  <c r="AI61" i="55"/>
  <c r="AK61" i="55" s="1"/>
  <c r="S57" i="55"/>
  <c r="U57" i="55" s="1"/>
  <c r="U56" i="55"/>
  <c r="V56" i="55" s="1"/>
  <c r="AH59" i="55"/>
  <c r="AE60" i="55"/>
  <c r="C53" i="55"/>
  <c r="E53" i="55" s="1"/>
  <c r="E52" i="55"/>
  <c r="F52" i="55" s="1"/>
  <c r="F31" i="48"/>
  <c r="F28" i="64" s="1"/>
  <c r="A57" i="48"/>
  <c r="A47" i="64"/>
  <c r="AQ68" i="72"/>
  <c r="AS68" i="72" s="1"/>
  <c r="AS67" i="72"/>
  <c r="AM70" i="72"/>
  <c r="AO70" i="72" s="1"/>
  <c r="AO69" i="72"/>
  <c r="AI70" i="72"/>
  <c r="AK70" i="72" s="1"/>
  <c r="AK69" i="72"/>
  <c r="BQ75" i="72"/>
  <c r="BO76" i="72"/>
  <c r="BQ76" i="72" s="1"/>
  <c r="K72" i="72"/>
  <c r="M72" i="72" s="1"/>
  <c r="M71" i="72"/>
  <c r="Q75" i="72"/>
  <c r="O76" i="72"/>
  <c r="Q76" i="72" s="1"/>
  <c r="BC74" i="72"/>
  <c r="BE74" i="72" s="1"/>
  <c r="BE73" i="72"/>
  <c r="I52" i="55"/>
  <c r="J52" i="55" s="1"/>
  <c r="AM52" i="55" s="1"/>
  <c r="AO52" i="55" s="1"/>
  <c r="G53" i="55"/>
  <c r="I53" i="55" s="1"/>
  <c r="K54" i="55"/>
  <c r="N53" i="55"/>
  <c r="AY72" i="72"/>
  <c r="BA72" i="72" s="1"/>
  <c r="BA71" i="72"/>
  <c r="W63" i="55"/>
  <c r="Y63" i="55" s="1"/>
  <c r="Y62" i="55"/>
  <c r="Z62" i="55" s="1"/>
  <c r="O61" i="55"/>
  <c r="Q61" i="55" s="1"/>
  <c r="Q60" i="55"/>
  <c r="R60" i="55" s="1"/>
  <c r="AG71" i="72"/>
  <c r="AE72" i="72"/>
  <c r="AG72" i="72" s="1"/>
  <c r="G74" i="72"/>
  <c r="I74" i="72" s="1"/>
  <c r="I73" i="72"/>
  <c r="W76" i="72"/>
  <c r="Y76" i="72" s="1"/>
  <c r="Y75" i="72"/>
  <c r="BG74" i="72"/>
  <c r="BI74" i="72" s="1"/>
  <c r="BI73" i="72"/>
  <c r="AU74" i="72"/>
  <c r="AW74" i="72" s="1"/>
  <c r="AW73" i="72"/>
  <c r="AA78" i="72"/>
  <c r="AC78" i="72" s="1"/>
  <c r="AC77" i="72"/>
  <c r="AA58" i="55"/>
  <c r="AD57" i="55"/>
  <c r="C76" i="72"/>
  <c r="E76" i="72" s="1"/>
  <c r="E75" i="72"/>
  <c r="S76" i="72"/>
  <c r="U76" i="72" s="1"/>
  <c r="U75" i="72"/>
  <c r="C54" i="55" l="1"/>
  <c r="F53" i="55"/>
  <c r="V57" i="55"/>
  <c r="S58" i="55"/>
  <c r="AE61" i="55"/>
  <c r="AG61" i="55" s="1"/>
  <c r="AG60" i="55"/>
  <c r="AH60" i="55" s="1"/>
  <c r="AL61" i="55"/>
  <c r="AI62" i="55"/>
  <c r="A52" i="64"/>
  <c r="A65" i="65" s="1"/>
  <c r="A59" i="48"/>
  <c r="A51" i="64"/>
  <c r="F273" i="48"/>
  <c r="F263" i="64" s="1"/>
  <c r="F263" i="48"/>
  <c r="F253" i="64" s="1"/>
  <c r="AQ69" i="72"/>
  <c r="AM71" i="72"/>
  <c r="AI71" i="72"/>
  <c r="K73" i="72"/>
  <c r="AE73" i="72"/>
  <c r="BC75" i="72"/>
  <c r="S77" i="72"/>
  <c r="C77" i="72"/>
  <c r="AA59" i="55"/>
  <c r="AC59" i="55" s="1"/>
  <c r="AC58" i="55"/>
  <c r="AD58" i="55" s="1"/>
  <c r="AA79" i="72"/>
  <c r="AU75" i="72"/>
  <c r="BG75" i="72"/>
  <c r="W77" i="72"/>
  <c r="G75" i="72"/>
  <c r="O62" i="55"/>
  <c r="R61" i="55"/>
  <c r="W64" i="55"/>
  <c r="Z63" i="55"/>
  <c r="AY73" i="72"/>
  <c r="M54" i="55"/>
  <c r="N54" i="55" s="1"/>
  <c r="K55" i="55"/>
  <c r="M55" i="55" s="1"/>
  <c r="J53" i="55"/>
  <c r="AM53" i="55" s="1"/>
  <c r="AN53" i="55" s="1"/>
  <c r="G54" i="55"/>
  <c r="O77" i="72"/>
  <c r="AI63" i="55" l="1"/>
  <c r="AK63" i="55" s="1"/>
  <c r="AK62" i="55"/>
  <c r="AL62" i="55" s="1"/>
  <c r="S59" i="55"/>
  <c r="U59" i="55" s="1"/>
  <c r="U58" i="55"/>
  <c r="V58" i="55" s="1"/>
  <c r="AE62" i="55"/>
  <c r="AH61" i="55"/>
  <c r="C55" i="55"/>
  <c r="E55" i="55" s="1"/>
  <c r="E54" i="55"/>
  <c r="F54" i="55" s="1"/>
  <c r="A60" i="48"/>
  <c r="A53" i="64"/>
  <c r="AQ70" i="72"/>
  <c r="AS70" i="72" s="1"/>
  <c r="AS69" i="72"/>
  <c r="AM72" i="72"/>
  <c r="AO72" i="72" s="1"/>
  <c r="AO71" i="72"/>
  <c r="AI72" i="72"/>
  <c r="AK72" i="72" s="1"/>
  <c r="AK71" i="72"/>
  <c r="K74" i="72"/>
  <c r="M74" i="72" s="1"/>
  <c r="M73" i="72"/>
  <c r="I54" i="55"/>
  <c r="J54" i="55" s="1"/>
  <c r="G55" i="55"/>
  <c r="I55" i="55" s="1"/>
  <c r="O78" i="72"/>
  <c r="Q78" i="72" s="1"/>
  <c r="Q77" i="72"/>
  <c r="AY74" i="72"/>
  <c r="BA74" i="72" s="1"/>
  <c r="BA73" i="72"/>
  <c r="W65" i="55"/>
  <c r="Y65" i="55" s="1"/>
  <c r="Y64" i="55"/>
  <c r="Z64" i="55" s="1"/>
  <c r="O63" i="55"/>
  <c r="Q63" i="55" s="1"/>
  <c r="Q62" i="55"/>
  <c r="R62" i="55" s="1"/>
  <c r="G76" i="72"/>
  <c r="I76" i="72" s="1"/>
  <c r="I75" i="72"/>
  <c r="W78" i="72"/>
  <c r="Y78" i="72" s="1"/>
  <c r="Y77" i="72"/>
  <c r="BG76" i="72"/>
  <c r="BI76" i="72" s="1"/>
  <c r="BI75" i="72"/>
  <c r="AW75" i="72"/>
  <c r="AU76" i="72"/>
  <c r="AW76" i="72" s="1"/>
  <c r="AA80" i="72"/>
  <c r="AC80" i="72" s="1"/>
  <c r="AC79" i="72"/>
  <c r="AA60" i="55"/>
  <c r="AD59" i="55"/>
  <c r="C78" i="72"/>
  <c r="E78" i="72" s="1"/>
  <c r="E77" i="72"/>
  <c r="S78" i="72"/>
  <c r="U78" i="72" s="1"/>
  <c r="U77" i="72"/>
  <c r="AE74" i="72"/>
  <c r="AG74" i="72" s="1"/>
  <c r="AG73" i="72"/>
  <c r="AM54" i="55"/>
  <c r="AO54" i="55" s="1"/>
  <c r="K56" i="55"/>
  <c r="N55" i="55"/>
  <c r="BC76" i="72"/>
  <c r="BE76" i="72" s="1"/>
  <c r="BE75" i="72"/>
  <c r="C56" i="55" l="1"/>
  <c r="F55" i="55"/>
  <c r="S60" i="55"/>
  <c r="V59" i="55"/>
  <c r="AG62" i="55"/>
  <c r="AH62" i="55" s="1"/>
  <c r="AE63" i="55"/>
  <c r="AG63" i="55" s="1"/>
  <c r="AI64" i="55"/>
  <c r="AL63" i="55"/>
  <c r="A61" i="48"/>
  <c r="A54" i="64"/>
  <c r="AQ71" i="72"/>
  <c r="AM73" i="72"/>
  <c r="AI73" i="72"/>
  <c r="K75" i="72"/>
  <c r="K57" i="55"/>
  <c r="M57" i="55" s="1"/>
  <c r="M56" i="55"/>
  <c r="N56" i="55" s="1"/>
  <c r="AE75" i="72"/>
  <c r="S79" i="72"/>
  <c r="C79" i="72"/>
  <c r="AA61" i="55"/>
  <c r="AC61" i="55" s="1"/>
  <c r="AC60" i="55"/>
  <c r="AD60" i="55" s="1"/>
  <c r="AA81" i="72"/>
  <c r="W79" i="72"/>
  <c r="G77" i="72"/>
  <c r="O64" i="55"/>
  <c r="R63" i="55"/>
  <c r="W66" i="55"/>
  <c r="Z65" i="55"/>
  <c r="AY75" i="72"/>
  <c r="O79" i="72"/>
  <c r="J55" i="55"/>
  <c r="AM55" i="55" s="1"/>
  <c r="AN55" i="55" s="1"/>
  <c r="G56" i="55"/>
  <c r="AK64" i="55" l="1"/>
  <c r="AL64" i="55" s="1"/>
  <c r="AI65" i="55"/>
  <c r="AK65" i="55" s="1"/>
  <c r="U60" i="55"/>
  <c r="V60" i="55" s="1"/>
  <c r="S61" i="55"/>
  <c r="U61" i="55" s="1"/>
  <c r="AH63" i="55"/>
  <c r="AE64" i="55"/>
  <c r="C57" i="55"/>
  <c r="E57" i="55" s="1"/>
  <c r="E56" i="55"/>
  <c r="F56" i="55" s="1"/>
  <c r="A55" i="64"/>
  <c r="A19" i="65" s="1"/>
  <c r="A62" i="48"/>
  <c r="AQ72" i="72"/>
  <c r="AS72" i="72" s="1"/>
  <c r="AS71" i="72"/>
  <c r="AM74" i="72"/>
  <c r="AO74" i="72" s="1"/>
  <c r="AO73" i="72"/>
  <c r="AI74" i="72"/>
  <c r="AK74" i="72" s="1"/>
  <c r="AK73" i="72"/>
  <c r="K76" i="72"/>
  <c r="M76" i="72" s="1"/>
  <c r="M75" i="72"/>
  <c r="I56" i="55"/>
  <c r="J56" i="55" s="1"/>
  <c r="G57" i="55"/>
  <c r="I57" i="55" s="1"/>
  <c r="Q79" i="72"/>
  <c r="O80" i="72"/>
  <c r="Q80" i="72" s="1"/>
  <c r="AY76" i="72"/>
  <c r="BA76" i="72" s="1"/>
  <c r="BA75" i="72"/>
  <c r="W67" i="55"/>
  <c r="Y67" i="55" s="1"/>
  <c r="Y66" i="55"/>
  <c r="Z66" i="55" s="1"/>
  <c r="O65" i="55"/>
  <c r="Q65" i="55" s="1"/>
  <c r="Q64" i="55"/>
  <c r="R64" i="55" s="1"/>
  <c r="G78" i="72"/>
  <c r="I78" i="72" s="1"/>
  <c r="I77" i="72"/>
  <c r="Y79" i="72"/>
  <c r="W80" i="72"/>
  <c r="Y80" i="72" s="1"/>
  <c r="AA82" i="72"/>
  <c r="AC82" i="72" s="1"/>
  <c r="AC81" i="72"/>
  <c r="AD61" i="55"/>
  <c r="AA62" i="55"/>
  <c r="E79" i="72"/>
  <c r="C80" i="72"/>
  <c r="E80" i="72" s="1"/>
  <c r="U79" i="72"/>
  <c r="S80" i="72"/>
  <c r="U80" i="72" s="1"/>
  <c r="AE76" i="72"/>
  <c r="AG76" i="72" s="1"/>
  <c r="AG75" i="72"/>
  <c r="N57" i="55"/>
  <c r="K58" i="55"/>
  <c r="AM56" i="55"/>
  <c r="AO56" i="55" s="1"/>
  <c r="S62" i="55" l="1"/>
  <c r="V61" i="55"/>
  <c r="F57" i="55"/>
  <c r="C58" i="55"/>
  <c r="AE65" i="55"/>
  <c r="AG65" i="55" s="1"/>
  <c r="AG64" i="55"/>
  <c r="AH64" i="55" s="1"/>
  <c r="AL65" i="55"/>
  <c r="AI66" i="55"/>
  <c r="A63" i="48"/>
  <c r="A56" i="64"/>
  <c r="A20" i="65" s="1"/>
  <c r="F63" i="48"/>
  <c r="F57" i="64" s="1"/>
  <c r="AQ73" i="72"/>
  <c r="AM75" i="72"/>
  <c r="AI75" i="72"/>
  <c r="K77" i="72"/>
  <c r="K59" i="55"/>
  <c r="M59" i="55" s="1"/>
  <c r="M58" i="55"/>
  <c r="N58" i="55" s="1"/>
  <c r="AA83" i="72"/>
  <c r="G79" i="72"/>
  <c r="O66" i="55"/>
  <c r="R65" i="55"/>
  <c r="W68" i="55"/>
  <c r="Z67" i="55"/>
  <c r="AE77" i="72"/>
  <c r="S81" i="72"/>
  <c r="C81" i="72"/>
  <c r="AA63" i="55"/>
  <c r="AC63" i="55" s="1"/>
  <c r="AC62" i="55"/>
  <c r="AD62" i="55" s="1"/>
  <c r="W81" i="72"/>
  <c r="O81" i="72"/>
  <c r="J57" i="55"/>
  <c r="AM57" i="55" s="1"/>
  <c r="AN57" i="55" s="1"/>
  <c r="G58" i="55"/>
  <c r="AK66" i="55" l="1"/>
  <c r="AL66" i="55" s="1"/>
  <c r="AI67" i="55"/>
  <c r="AK67" i="55" s="1"/>
  <c r="E58" i="55"/>
  <c r="F58" i="55" s="1"/>
  <c r="C59" i="55"/>
  <c r="E59" i="55" s="1"/>
  <c r="AH65" i="55"/>
  <c r="AE66" i="55"/>
  <c r="S63" i="55"/>
  <c r="U63" i="55" s="1"/>
  <c r="U62" i="55"/>
  <c r="V62" i="55" s="1"/>
  <c r="A57" i="64"/>
  <c r="A64" i="48"/>
  <c r="F65" i="48" s="1"/>
  <c r="F59" i="64" s="1"/>
  <c r="AQ74" i="72"/>
  <c r="AS74" i="72" s="1"/>
  <c r="AS73" i="72"/>
  <c r="AM76" i="72"/>
  <c r="AO76" i="72" s="1"/>
  <c r="AO75" i="72"/>
  <c r="AI76" i="72"/>
  <c r="AK76" i="72" s="1"/>
  <c r="AK75" i="72"/>
  <c r="K78" i="72"/>
  <c r="M78" i="72" s="1"/>
  <c r="M77" i="72"/>
  <c r="O82" i="72"/>
  <c r="Q82" i="72" s="1"/>
  <c r="Q81" i="72"/>
  <c r="W82" i="72"/>
  <c r="Y82" i="72" s="1"/>
  <c r="Y81" i="72"/>
  <c r="AD63" i="55"/>
  <c r="AA64" i="55"/>
  <c r="C82" i="72"/>
  <c r="E82" i="72" s="1"/>
  <c r="E81" i="72"/>
  <c r="S82" i="72"/>
  <c r="U82" i="72" s="1"/>
  <c r="U81" i="72"/>
  <c r="AE78" i="72"/>
  <c r="AG78" i="72" s="1"/>
  <c r="AG77" i="72"/>
  <c r="K60" i="55"/>
  <c r="N59" i="55"/>
  <c r="G59" i="55"/>
  <c r="I59" i="55" s="1"/>
  <c r="I58" i="55"/>
  <c r="J58" i="55" s="1"/>
  <c r="AM58" i="55" s="1"/>
  <c r="AO58" i="55" s="1"/>
  <c r="W69" i="55"/>
  <c r="Y69" i="55" s="1"/>
  <c r="Y68" i="55"/>
  <c r="Z68" i="55" s="1"/>
  <c r="O67" i="55"/>
  <c r="Q67" i="55" s="1"/>
  <c r="Q66" i="55"/>
  <c r="R66" i="55" s="1"/>
  <c r="G80" i="72"/>
  <c r="I80" i="72" s="1"/>
  <c r="I79" i="72"/>
  <c r="AA84" i="72"/>
  <c r="AC84" i="72" s="1"/>
  <c r="AC83" i="72"/>
  <c r="C60" i="55" l="1"/>
  <c r="F59" i="55"/>
  <c r="S64" i="55"/>
  <c r="V63" i="55"/>
  <c r="AE67" i="55"/>
  <c r="AG67" i="55" s="1"/>
  <c r="AG66" i="55"/>
  <c r="AH66" i="55" s="1"/>
  <c r="AI68" i="55"/>
  <c r="AL67" i="55"/>
  <c r="A58" i="64"/>
  <c r="A65" i="48"/>
  <c r="AQ75" i="72"/>
  <c r="AM77" i="72"/>
  <c r="AI77" i="72"/>
  <c r="K79" i="72"/>
  <c r="G81" i="72"/>
  <c r="K61" i="55"/>
  <c r="M61" i="55" s="1"/>
  <c r="M60" i="55"/>
  <c r="N60" i="55" s="1"/>
  <c r="AE79" i="72"/>
  <c r="S83" i="72"/>
  <c r="C83" i="72"/>
  <c r="W83" i="72"/>
  <c r="O83" i="72"/>
  <c r="AA85" i="72"/>
  <c r="O68" i="55"/>
  <c r="R67" i="55"/>
  <c r="W70" i="55"/>
  <c r="Z69" i="55"/>
  <c r="J59" i="55"/>
  <c r="AM59" i="55" s="1"/>
  <c r="AN59" i="55" s="1"/>
  <c r="G60" i="55"/>
  <c r="AA65" i="55"/>
  <c r="AC65" i="55" s="1"/>
  <c r="AC64" i="55"/>
  <c r="AD64" i="55" s="1"/>
  <c r="AI69" i="55" l="1"/>
  <c r="AK69" i="55" s="1"/>
  <c r="AK68" i="55"/>
  <c r="AL68" i="55" s="1"/>
  <c r="S65" i="55"/>
  <c r="U65" i="55" s="1"/>
  <c r="U64" i="55"/>
  <c r="V64" i="55" s="1"/>
  <c r="AE68" i="55"/>
  <c r="AH67" i="55"/>
  <c r="C61" i="55"/>
  <c r="E61" i="55" s="1"/>
  <c r="E60" i="55"/>
  <c r="F60" i="55" s="1"/>
  <c r="A59" i="64"/>
  <c r="A67" i="48"/>
  <c r="F67" i="48"/>
  <c r="F61" i="64" s="1"/>
  <c r="AQ76" i="72"/>
  <c r="AS76" i="72" s="1"/>
  <c r="AS75" i="72"/>
  <c r="AM78" i="72"/>
  <c r="AO78" i="72" s="1"/>
  <c r="AO77" i="72"/>
  <c r="AI78" i="72"/>
  <c r="AK78" i="72" s="1"/>
  <c r="AK77" i="72"/>
  <c r="K80" i="72"/>
  <c r="M80" i="72" s="1"/>
  <c r="M79" i="72"/>
  <c r="I60" i="55"/>
  <c r="J60" i="55" s="1"/>
  <c r="G61" i="55"/>
  <c r="I61" i="55" s="1"/>
  <c r="Q83" i="72"/>
  <c r="O84" i="72"/>
  <c r="Q84" i="72" s="1"/>
  <c r="W84" i="72"/>
  <c r="Y84" i="72" s="1"/>
  <c r="Y83" i="72"/>
  <c r="C84" i="72"/>
  <c r="E84" i="72" s="1"/>
  <c r="E83" i="72"/>
  <c r="S84" i="72"/>
  <c r="U84" i="72" s="1"/>
  <c r="U83" i="72"/>
  <c r="AE80" i="72"/>
  <c r="AG80" i="72" s="1"/>
  <c r="AG79" i="72"/>
  <c r="AA66" i="55"/>
  <c r="AD65" i="55"/>
  <c r="Y70" i="55"/>
  <c r="Z70" i="55" s="1"/>
  <c r="W71" i="55"/>
  <c r="Y71" i="55" s="1"/>
  <c r="Z71" i="55" s="1"/>
  <c r="O69" i="55"/>
  <c r="Q69" i="55" s="1"/>
  <c r="Q68" i="55"/>
  <c r="R68" i="55" s="1"/>
  <c r="AA86" i="72"/>
  <c r="AC86" i="72" s="1"/>
  <c r="AC85" i="72"/>
  <c r="N61" i="55"/>
  <c r="K62" i="55"/>
  <c r="G82" i="72"/>
  <c r="I82" i="72" s="1"/>
  <c r="I81" i="72"/>
  <c r="AM60" i="55"/>
  <c r="AO60" i="55" s="1"/>
  <c r="F61" i="55" l="1"/>
  <c r="C62" i="55"/>
  <c r="S66" i="55"/>
  <c r="V65" i="55"/>
  <c r="AG68" i="55"/>
  <c r="AH68" i="55" s="1"/>
  <c r="AE69" i="55"/>
  <c r="AG69" i="55" s="1"/>
  <c r="AI70" i="55"/>
  <c r="AL69" i="55"/>
  <c r="A61" i="64"/>
  <c r="A69" i="48"/>
  <c r="F69" i="48"/>
  <c r="F63" i="64" s="1"/>
  <c r="AQ77" i="72"/>
  <c r="AM79" i="72"/>
  <c r="AI79" i="72"/>
  <c r="K81" i="72"/>
  <c r="K63" i="55"/>
  <c r="M63" i="55" s="1"/>
  <c r="M62" i="55"/>
  <c r="N62" i="55" s="1"/>
  <c r="G83" i="72"/>
  <c r="AA87" i="72"/>
  <c r="O70" i="55"/>
  <c r="R69" i="55"/>
  <c r="AA67" i="55"/>
  <c r="AC67" i="55" s="1"/>
  <c r="AC66" i="55"/>
  <c r="AD66" i="55" s="1"/>
  <c r="AE81" i="72"/>
  <c r="S85" i="72"/>
  <c r="C85" i="72"/>
  <c r="W85" i="72"/>
  <c r="O85" i="72"/>
  <c r="G62" i="55"/>
  <c r="J61" i="55"/>
  <c r="AM61" i="55" s="1"/>
  <c r="AN61" i="55" s="1"/>
  <c r="AK70" i="55" l="1"/>
  <c r="AL70" i="55" s="1"/>
  <c r="AI71" i="55"/>
  <c r="AK71" i="55" s="1"/>
  <c r="AL71" i="55" s="1"/>
  <c r="S67" i="55"/>
  <c r="U67" i="55" s="1"/>
  <c r="U66" i="55"/>
  <c r="V66" i="55" s="1"/>
  <c r="AH69" i="55"/>
  <c r="AE70" i="55"/>
  <c r="C63" i="55"/>
  <c r="E63" i="55" s="1"/>
  <c r="E62" i="55"/>
  <c r="F62" i="55" s="1"/>
  <c r="F235" i="48"/>
  <c r="F225" i="64" s="1"/>
  <c r="A74" i="48"/>
  <c r="F34" i="48"/>
  <c r="F31" i="64" s="1"/>
  <c r="A63" i="64"/>
  <c r="AQ78" i="72"/>
  <c r="AS78" i="72" s="1"/>
  <c r="AS77" i="72"/>
  <c r="AM80" i="72"/>
  <c r="AO80" i="72" s="1"/>
  <c r="AO79" i="72"/>
  <c r="AI80" i="72"/>
  <c r="AK80" i="72" s="1"/>
  <c r="AK79" i="72"/>
  <c r="K82" i="72"/>
  <c r="M82" i="72" s="1"/>
  <c r="M81" i="72"/>
  <c r="G84" i="72"/>
  <c r="I84" i="72" s="1"/>
  <c r="I83" i="72"/>
  <c r="K64" i="55"/>
  <c r="N63" i="55"/>
  <c r="I62" i="55"/>
  <c r="J62" i="55" s="1"/>
  <c r="G63" i="55"/>
  <c r="I63" i="55" s="1"/>
  <c r="O86" i="72"/>
  <c r="Q86" i="72" s="1"/>
  <c r="Q85" i="72"/>
  <c r="W86" i="72"/>
  <c r="Y86" i="72" s="1"/>
  <c r="Y85" i="72"/>
  <c r="C86" i="72"/>
  <c r="E86" i="72" s="1"/>
  <c r="E85" i="72"/>
  <c r="S86" i="72"/>
  <c r="U86" i="72" s="1"/>
  <c r="U85" i="72"/>
  <c r="AE82" i="72"/>
  <c r="AG82" i="72" s="1"/>
  <c r="AG81" i="72"/>
  <c r="AA68" i="55"/>
  <c r="AD67" i="55"/>
  <c r="Q70" i="55"/>
  <c r="R70" i="55" s="1"/>
  <c r="O71" i="55"/>
  <c r="Q71" i="55" s="1"/>
  <c r="R71" i="55" s="1"/>
  <c r="AA88" i="72"/>
  <c r="AC88" i="72" s="1"/>
  <c r="AC87" i="72"/>
  <c r="AM62" i="55"/>
  <c r="AO62" i="55" s="1"/>
  <c r="F63" i="55" l="1"/>
  <c r="C64" i="55"/>
  <c r="V67" i="55"/>
  <c r="S68" i="55"/>
  <c r="AG70" i="55"/>
  <c r="AH70" i="55" s="1"/>
  <c r="AE71" i="55"/>
  <c r="AG71" i="55" s="1"/>
  <c r="AH71" i="55" s="1"/>
  <c r="A75" i="48"/>
  <c r="A68" i="64"/>
  <c r="AQ79" i="72"/>
  <c r="AM81" i="72"/>
  <c r="AI81" i="72"/>
  <c r="K83" i="72"/>
  <c r="AA89" i="72"/>
  <c r="AA69" i="55"/>
  <c r="AC69" i="55" s="1"/>
  <c r="AC68" i="55"/>
  <c r="AD68" i="55" s="1"/>
  <c r="AE83" i="72"/>
  <c r="S87" i="72"/>
  <c r="C87" i="72"/>
  <c r="W87" i="72"/>
  <c r="O87" i="72"/>
  <c r="G64" i="55"/>
  <c r="J63" i="55"/>
  <c r="AM63" i="55" s="1"/>
  <c r="AN63" i="55" s="1"/>
  <c r="K65" i="55"/>
  <c r="M65" i="55" s="1"/>
  <c r="M64" i="55"/>
  <c r="N64" i="55" s="1"/>
  <c r="G85" i="72"/>
  <c r="S69" i="55" l="1"/>
  <c r="U69" i="55" s="1"/>
  <c r="U68" i="55"/>
  <c r="V68" i="55" s="1"/>
  <c r="C65" i="55"/>
  <c r="E65" i="55" s="1"/>
  <c r="E64" i="55"/>
  <c r="F64" i="55" s="1"/>
  <c r="A71" i="64"/>
  <c r="A27" i="65" s="1"/>
  <c r="A76" i="48"/>
  <c r="F77" i="48" s="1"/>
  <c r="F73" i="64" s="1"/>
  <c r="AQ80" i="72"/>
  <c r="AS80" i="72" s="1"/>
  <c r="AS79" i="72"/>
  <c r="AM82" i="72"/>
  <c r="AO82" i="72" s="1"/>
  <c r="AO81" i="72"/>
  <c r="AI82" i="72"/>
  <c r="AK82" i="72" s="1"/>
  <c r="AK81" i="72"/>
  <c r="M83" i="72"/>
  <c r="K84" i="72"/>
  <c r="M84" i="72" s="1"/>
  <c r="G86" i="72"/>
  <c r="I86" i="72" s="1"/>
  <c r="I85" i="72"/>
  <c r="N65" i="55"/>
  <c r="K66" i="55"/>
  <c r="I64" i="55"/>
  <c r="J64" i="55" s="1"/>
  <c r="AM64" i="55" s="1"/>
  <c r="AO64" i="55" s="1"/>
  <c r="G65" i="55"/>
  <c r="I65" i="55" s="1"/>
  <c r="O88" i="72"/>
  <c r="Q88" i="72" s="1"/>
  <c r="Q87" i="72"/>
  <c r="W88" i="72"/>
  <c r="Y88" i="72" s="1"/>
  <c r="Y87" i="72"/>
  <c r="C88" i="72"/>
  <c r="E88" i="72" s="1"/>
  <c r="E87" i="72"/>
  <c r="S88" i="72"/>
  <c r="U88" i="72" s="1"/>
  <c r="U87" i="72"/>
  <c r="AE84" i="72"/>
  <c r="AG84" i="72" s="1"/>
  <c r="AG83" i="72"/>
  <c r="AA70" i="55"/>
  <c r="AD69" i="55"/>
  <c r="AA90" i="72"/>
  <c r="AC90" i="72" s="1"/>
  <c r="AC89" i="72"/>
  <c r="F65" i="55" l="1"/>
  <c r="C66" i="55"/>
  <c r="S70" i="55"/>
  <c r="V69" i="55"/>
  <c r="A77" i="48"/>
  <c r="A72" i="64"/>
  <c r="AQ81" i="72"/>
  <c r="AM83" i="72"/>
  <c r="AI83" i="72"/>
  <c r="K85" i="72"/>
  <c r="G87" i="72"/>
  <c r="AA91" i="72"/>
  <c r="AC70" i="55"/>
  <c r="AD70" i="55" s="1"/>
  <c r="AA71" i="55"/>
  <c r="AC71" i="55" s="1"/>
  <c r="AD71" i="55" s="1"/>
  <c r="AE85" i="72"/>
  <c r="S89" i="72"/>
  <c r="C89" i="72"/>
  <c r="W89" i="72"/>
  <c r="O89" i="72"/>
  <c r="J65" i="55"/>
  <c r="AM65" i="55" s="1"/>
  <c r="AN65" i="55" s="1"/>
  <c r="G66" i="55"/>
  <c r="K67" i="55"/>
  <c r="M67" i="55" s="1"/>
  <c r="M66" i="55"/>
  <c r="N66" i="55" s="1"/>
  <c r="U70" i="55" l="1"/>
  <c r="V70" i="55" s="1"/>
  <c r="S71" i="55"/>
  <c r="U71" i="55" s="1"/>
  <c r="V71" i="55" s="1"/>
  <c r="C67" i="55"/>
  <c r="E67" i="55" s="1"/>
  <c r="E66" i="55"/>
  <c r="F66" i="55" s="1"/>
  <c r="A80" i="48"/>
  <c r="A73" i="64"/>
  <c r="AQ82" i="72"/>
  <c r="AS82" i="72" s="1"/>
  <c r="AS81" i="72"/>
  <c r="AM84" i="72"/>
  <c r="AO84" i="72" s="1"/>
  <c r="AO83" i="72"/>
  <c r="AI84" i="72"/>
  <c r="AK84" i="72" s="1"/>
  <c r="AK83" i="72"/>
  <c r="M85" i="72"/>
  <c r="K86" i="72"/>
  <c r="M86" i="72" s="1"/>
  <c r="I66" i="55"/>
  <c r="J66" i="55" s="1"/>
  <c r="AM66" i="55" s="1"/>
  <c r="AO66" i="55" s="1"/>
  <c r="G67" i="55"/>
  <c r="I67" i="55" s="1"/>
  <c r="N67" i="55"/>
  <c r="K68" i="55"/>
  <c r="O90" i="72"/>
  <c r="Q90" i="72" s="1"/>
  <c r="Q89" i="72"/>
  <c r="W90" i="72"/>
  <c r="Y90" i="72" s="1"/>
  <c r="Y89" i="72"/>
  <c r="C90" i="72"/>
  <c r="E90" i="72" s="1"/>
  <c r="E89" i="72"/>
  <c r="S90" i="72"/>
  <c r="U90" i="72" s="1"/>
  <c r="U89" i="72"/>
  <c r="AE86" i="72"/>
  <c r="AG86" i="72" s="1"/>
  <c r="AG85" i="72"/>
  <c r="AA92" i="72"/>
  <c r="AC92" i="72" s="1"/>
  <c r="AC91" i="72"/>
  <c r="G88" i="72"/>
  <c r="I88" i="72" s="1"/>
  <c r="I87" i="72"/>
  <c r="C68" i="55" l="1"/>
  <c r="F67" i="55"/>
  <c r="A84" i="48"/>
  <c r="A138" i="65"/>
  <c r="AQ83" i="72"/>
  <c r="AM85" i="72"/>
  <c r="AI85" i="72"/>
  <c r="K87" i="72"/>
  <c r="G89" i="72"/>
  <c r="AA93" i="72"/>
  <c r="AE87" i="72"/>
  <c r="S91" i="72"/>
  <c r="C91" i="72"/>
  <c r="W91" i="72"/>
  <c r="O91" i="72"/>
  <c r="K69" i="55"/>
  <c r="M69" i="55" s="1"/>
  <c r="M68" i="55"/>
  <c r="N68" i="55" s="1"/>
  <c r="J67" i="55"/>
  <c r="AM67" i="55" s="1"/>
  <c r="AN67" i="55" s="1"/>
  <c r="G68" i="55"/>
  <c r="C69" i="55" l="1"/>
  <c r="E69" i="55" s="1"/>
  <c r="E68" i="55"/>
  <c r="F68" i="55" s="1"/>
  <c r="A85" i="48"/>
  <c r="A148" i="65"/>
  <c r="F85" i="48"/>
  <c r="F79" i="64" s="1"/>
  <c r="A77" i="64"/>
  <c r="AQ84" i="72"/>
  <c r="AS84" i="72" s="1"/>
  <c r="AS83" i="72"/>
  <c r="AM86" i="72"/>
  <c r="AO86" i="72" s="1"/>
  <c r="AO85" i="72"/>
  <c r="AI86" i="72"/>
  <c r="AK86" i="72" s="1"/>
  <c r="AK85" i="72"/>
  <c r="M87" i="72"/>
  <c r="K88" i="72"/>
  <c r="M88" i="72" s="1"/>
  <c r="I68" i="55"/>
  <c r="J68" i="55" s="1"/>
  <c r="G69" i="55"/>
  <c r="I69" i="55" s="1"/>
  <c r="N69" i="55"/>
  <c r="K70" i="55"/>
  <c r="O92" i="72"/>
  <c r="Q92" i="72" s="1"/>
  <c r="Q91" i="72"/>
  <c r="W92" i="72"/>
  <c r="Y92" i="72" s="1"/>
  <c r="Y91" i="72"/>
  <c r="C92" i="72"/>
  <c r="E92" i="72" s="1"/>
  <c r="E91" i="72"/>
  <c r="S92" i="72"/>
  <c r="U92" i="72" s="1"/>
  <c r="U91" i="72"/>
  <c r="AE88" i="72"/>
  <c r="AG88" i="72" s="1"/>
  <c r="AG87" i="72"/>
  <c r="AA94" i="72"/>
  <c r="AC94" i="72" s="1"/>
  <c r="AC93" i="72"/>
  <c r="G90" i="72"/>
  <c r="I90" i="72" s="1"/>
  <c r="I89" i="72"/>
  <c r="AM68" i="55"/>
  <c r="AO68" i="55" s="1"/>
  <c r="C70" i="55" l="1"/>
  <c r="E70" i="55" s="1"/>
  <c r="F70" i="55" s="1"/>
  <c r="F69" i="55"/>
  <c r="A88" i="48"/>
  <c r="A79" i="64"/>
  <c r="AQ85" i="72"/>
  <c r="AM87" i="72"/>
  <c r="AI87" i="72"/>
  <c r="K89" i="72"/>
  <c r="G91" i="72"/>
  <c r="AA95" i="72"/>
  <c r="AE89" i="72"/>
  <c r="S93" i="72"/>
  <c r="C93" i="72"/>
  <c r="W93" i="72"/>
  <c r="O93" i="72"/>
  <c r="M70" i="55"/>
  <c r="N70" i="55" s="1"/>
  <c r="K71" i="55"/>
  <c r="M71" i="55" s="1"/>
  <c r="N71" i="55" s="1"/>
  <c r="J69" i="55"/>
  <c r="AM69" i="55" s="1"/>
  <c r="AN69" i="55" s="1"/>
  <c r="G70" i="55"/>
  <c r="A82" i="64" l="1"/>
  <c r="A30" i="65" s="1"/>
  <c r="A89" i="48"/>
  <c r="F90" i="48" s="1"/>
  <c r="F84" i="64" s="1"/>
  <c r="AQ86" i="72"/>
  <c r="AS86" i="72" s="1"/>
  <c r="AS85" i="72"/>
  <c r="AM88" i="72"/>
  <c r="AO88" i="72" s="1"/>
  <c r="AO87" i="72"/>
  <c r="AI88" i="72"/>
  <c r="AK88" i="72" s="1"/>
  <c r="AK87" i="72"/>
  <c r="M89" i="72"/>
  <c r="K90" i="72"/>
  <c r="M90" i="72" s="1"/>
  <c r="I70" i="55"/>
  <c r="J70" i="55" s="1"/>
  <c r="G71" i="55"/>
  <c r="I71" i="55" s="1"/>
  <c r="J71" i="55" s="1"/>
  <c r="AM71" i="55" s="1"/>
  <c r="AN71" i="55" s="1"/>
  <c r="O94" i="72"/>
  <c r="Q94" i="72" s="1"/>
  <c r="Q93" i="72"/>
  <c r="W94" i="72"/>
  <c r="Y94" i="72" s="1"/>
  <c r="Y93" i="72"/>
  <c r="C94" i="72"/>
  <c r="E94" i="72" s="1"/>
  <c r="E93" i="72"/>
  <c r="S94" i="72"/>
  <c r="U94" i="72" s="1"/>
  <c r="U93" i="72"/>
  <c r="AE90" i="72"/>
  <c r="AG90" i="72" s="1"/>
  <c r="AG89" i="72"/>
  <c r="AA96" i="72"/>
  <c r="AC96" i="72" s="1"/>
  <c r="AC95" i="72"/>
  <c r="G92" i="72"/>
  <c r="I92" i="72" s="1"/>
  <c r="I91" i="72"/>
  <c r="AM70" i="55"/>
  <c r="AO70" i="55" s="1"/>
  <c r="A90" i="48" l="1"/>
  <c r="A83" i="64"/>
  <c r="AQ87" i="72"/>
  <c r="AM89" i="72"/>
  <c r="AI89" i="72"/>
  <c r="K91" i="72"/>
  <c r="G93" i="72"/>
  <c r="AA97" i="72"/>
  <c r="AE91" i="72"/>
  <c r="S95" i="72"/>
  <c r="C95" i="72"/>
  <c r="W95" i="72"/>
  <c r="O95" i="72"/>
  <c r="A91" i="48" l="1"/>
  <c r="A84" i="64"/>
  <c r="F92" i="48"/>
  <c r="F86" i="64" s="1"/>
  <c r="AQ88" i="72"/>
  <c r="AS88" i="72" s="1"/>
  <c r="AS87" i="72"/>
  <c r="AM90" i="72"/>
  <c r="AO90" i="72" s="1"/>
  <c r="AO89" i="72"/>
  <c r="AI90" i="72"/>
  <c r="AK90" i="72" s="1"/>
  <c r="AK89" i="72"/>
  <c r="M91" i="72"/>
  <c r="K92" i="72"/>
  <c r="M92" i="72" s="1"/>
  <c r="Q95" i="72"/>
  <c r="O96" i="72"/>
  <c r="Q96" i="72" s="1"/>
  <c r="W96" i="72"/>
  <c r="Y96" i="72" s="1"/>
  <c r="Y95" i="72"/>
  <c r="C96" i="72"/>
  <c r="E96" i="72" s="1"/>
  <c r="E95" i="72"/>
  <c r="S96" i="72"/>
  <c r="U96" i="72" s="1"/>
  <c r="U95" i="72"/>
  <c r="AE92" i="72"/>
  <c r="AG92" i="72" s="1"/>
  <c r="AG91" i="72"/>
  <c r="AA98" i="72"/>
  <c r="AC98" i="72" s="1"/>
  <c r="AC97" i="72"/>
  <c r="G94" i="72"/>
  <c r="I94" i="72" s="1"/>
  <c r="I93" i="72"/>
  <c r="A85" i="64" l="1"/>
  <c r="A92" i="48"/>
  <c r="AQ89" i="72"/>
  <c r="AM91" i="72"/>
  <c r="AI91" i="72"/>
  <c r="K93" i="72"/>
  <c r="G95" i="72"/>
  <c r="AA99" i="72"/>
  <c r="AE93" i="72"/>
  <c r="S97" i="72"/>
  <c r="C97" i="72"/>
  <c r="W97" i="72"/>
  <c r="O97" i="72"/>
  <c r="A95" i="48" l="1"/>
  <c r="A86" i="64"/>
  <c r="AQ90" i="72"/>
  <c r="AS90" i="72" s="1"/>
  <c r="AS89" i="72"/>
  <c r="AM92" i="72"/>
  <c r="AO92" i="72" s="1"/>
  <c r="AO91" i="72"/>
  <c r="AI92" i="72"/>
  <c r="AK92" i="72" s="1"/>
  <c r="AK91" i="72"/>
  <c r="K94" i="72"/>
  <c r="M94" i="72" s="1"/>
  <c r="M93" i="72"/>
  <c r="O98" i="72"/>
  <c r="Q98" i="72" s="1"/>
  <c r="Q97" i="72"/>
  <c r="W98" i="72"/>
  <c r="Y98" i="72" s="1"/>
  <c r="Y97" i="72"/>
  <c r="C98" i="72"/>
  <c r="E98" i="72" s="1"/>
  <c r="E97" i="72"/>
  <c r="S98" i="72"/>
  <c r="U98" i="72" s="1"/>
  <c r="U97" i="72"/>
  <c r="AE94" i="72"/>
  <c r="AG94" i="72" s="1"/>
  <c r="AG93" i="72"/>
  <c r="AA100" i="72"/>
  <c r="AC100" i="72" s="1"/>
  <c r="AC99" i="72"/>
  <c r="G96" i="72"/>
  <c r="I96" i="72" s="1"/>
  <c r="I95" i="72"/>
  <c r="A89" i="64" l="1"/>
  <c r="A96" i="48"/>
  <c r="F97" i="48" s="1"/>
  <c r="F91" i="64" s="1"/>
  <c r="AQ91" i="72"/>
  <c r="AM93" i="72"/>
  <c r="AI93" i="72"/>
  <c r="K95" i="72"/>
  <c r="G97" i="72"/>
  <c r="AA101" i="72"/>
  <c r="AE95" i="72"/>
  <c r="S99" i="72"/>
  <c r="C99" i="72"/>
  <c r="W99" i="72"/>
  <c r="O99" i="72"/>
  <c r="A97" i="48" l="1"/>
  <c r="A90" i="64"/>
  <c r="AQ92" i="72"/>
  <c r="AS92" i="72" s="1"/>
  <c r="AS91" i="72"/>
  <c r="AM94" i="72"/>
  <c r="AO94" i="72" s="1"/>
  <c r="AO93" i="72"/>
  <c r="AI94" i="72"/>
  <c r="AK94" i="72" s="1"/>
  <c r="AK93" i="72"/>
  <c r="K96" i="72"/>
  <c r="M96" i="72" s="1"/>
  <c r="M95" i="72"/>
  <c r="O100" i="72"/>
  <c r="Q100" i="72" s="1"/>
  <c r="Q99" i="72"/>
  <c r="W100" i="72"/>
  <c r="Y100" i="72" s="1"/>
  <c r="Y99" i="72"/>
  <c r="C100" i="72"/>
  <c r="E100" i="72" s="1"/>
  <c r="E99" i="72"/>
  <c r="S100" i="72"/>
  <c r="U100" i="72" s="1"/>
  <c r="U99" i="72"/>
  <c r="AE96" i="72"/>
  <c r="AG96" i="72" s="1"/>
  <c r="AG95" i="72"/>
  <c r="AA102" i="72"/>
  <c r="AC102" i="72" s="1"/>
  <c r="AC101" i="72"/>
  <c r="G98" i="72"/>
  <c r="I98" i="72" s="1"/>
  <c r="I97" i="72"/>
  <c r="A100" i="48" l="1"/>
  <c r="A91" i="64"/>
  <c r="AQ93" i="72"/>
  <c r="AM95" i="72"/>
  <c r="AI95" i="72"/>
  <c r="K97" i="72"/>
  <c r="G99" i="72"/>
  <c r="AA103" i="72"/>
  <c r="AE97" i="72"/>
  <c r="S101" i="72"/>
  <c r="C101" i="72"/>
  <c r="W101" i="72"/>
  <c r="O101" i="72"/>
  <c r="A94" i="64" l="1"/>
  <c r="A101" i="48"/>
  <c r="F102" i="48" s="1"/>
  <c r="F96" i="64" s="1"/>
  <c r="A126" i="65"/>
  <c r="AQ94" i="72"/>
  <c r="AS94" i="72" s="1"/>
  <c r="AS93" i="72"/>
  <c r="AM96" i="72"/>
  <c r="AO96" i="72" s="1"/>
  <c r="AO95" i="72"/>
  <c r="AI96" i="72"/>
  <c r="AK96" i="72" s="1"/>
  <c r="AK95" i="72"/>
  <c r="M97" i="72"/>
  <c r="K98" i="72"/>
  <c r="M98" i="72" s="1"/>
  <c r="O102" i="72"/>
  <c r="Q102" i="72" s="1"/>
  <c r="Q101" i="72"/>
  <c r="W102" i="72"/>
  <c r="Y102" i="72" s="1"/>
  <c r="Y101" i="72"/>
  <c r="C102" i="72"/>
  <c r="E102" i="72" s="1"/>
  <c r="E101" i="72"/>
  <c r="S102" i="72"/>
  <c r="U102" i="72" s="1"/>
  <c r="U101" i="72"/>
  <c r="AE98" i="72"/>
  <c r="AG98" i="72" s="1"/>
  <c r="AG97" i="72"/>
  <c r="AA104" i="72"/>
  <c r="AC104" i="72" s="1"/>
  <c r="AC103" i="72"/>
  <c r="G100" i="72"/>
  <c r="I100" i="72" s="1"/>
  <c r="I99" i="72"/>
  <c r="A374" i="64" l="1"/>
  <c r="A165" i="65"/>
  <c r="A95" i="64"/>
  <c r="A170" i="65"/>
  <c r="A131" i="65"/>
  <c r="A102" i="48"/>
  <c r="AQ95" i="72"/>
  <c r="AM97" i="72"/>
  <c r="AI97" i="72"/>
  <c r="K99" i="72"/>
  <c r="G101" i="72"/>
  <c r="AA105" i="72"/>
  <c r="AE99" i="72"/>
  <c r="S103" i="72"/>
  <c r="C103" i="72"/>
  <c r="W103" i="72"/>
  <c r="O103" i="72"/>
  <c r="A104" i="48" l="1"/>
  <c r="A96" i="64"/>
  <c r="F104" i="48"/>
  <c r="F98" i="64" s="1"/>
  <c r="AQ96" i="72"/>
  <c r="AS96" i="72" s="1"/>
  <c r="AS95" i="72"/>
  <c r="AM98" i="72"/>
  <c r="AO98" i="72" s="1"/>
  <c r="AO97" i="72"/>
  <c r="AI98" i="72"/>
  <c r="AK98" i="72" s="1"/>
  <c r="AK97" i="72"/>
  <c r="M99" i="72"/>
  <c r="K100" i="72"/>
  <c r="M100" i="72" s="1"/>
  <c r="Q103" i="72"/>
  <c r="O104" i="72"/>
  <c r="Q104" i="72" s="1"/>
  <c r="W104" i="72"/>
  <c r="Y104" i="72" s="1"/>
  <c r="Y103" i="72"/>
  <c r="C104" i="72"/>
  <c r="E104" i="72" s="1"/>
  <c r="E103" i="72"/>
  <c r="S104" i="72"/>
  <c r="U104" i="72" s="1"/>
  <c r="U103" i="72"/>
  <c r="AE100" i="72"/>
  <c r="AG100" i="72" s="1"/>
  <c r="AG99" i="72"/>
  <c r="AA106" i="72"/>
  <c r="AC106" i="72" s="1"/>
  <c r="AC105" i="72"/>
  <c r="G102" i="72"/>
  <c r="I102" i="72" s="1"/>
  <c r="I101" i="72"/>
  <c r="F106" i="48" l="1"/>
  <c r="A98" i="64"/>
  <c r="F236" i="48"/>
  <c r="F226" i="64" s="1"/>
  <c r="A106" i="48"/>
  <c r="AQ97" i="72"/>
  <c r="AM99" i="72"/>
  <c r="AI99" i="72"/>
  <c r="K101" i="72"/>
  <c r="G103" i="72"/>
  <c r="AA107" i="72"/>
  <c r="AE101" i="72"/>
  <c r="S105" i="72"/>
  <c r="C105" i="72"/>
  <c r="W105" i="72"/>
  <c r="O105" i="72"/>
  <c r="G16" i="54" l="1"/>
  <c r="F100" i="64"/>
  <c r="A100" i="64"/>
  <c r="F237" i="48"/>
  <c r="F227" i="64" s="1"/>
  <c r="A111" i="48"/>
  <c r="A16" i="54"/>
  <c r="AQ98" i="72"/>
  <c r="AS98" i="72" s="1"/>
  <c r="AS97" i="72"/>
  <c r="AM100" i="72"/>
  <c r="AO100" i="72" s="1"/>
  <c r="AO99" i="72"/>
  <c r="AI100" i="72"/>
  <c r="AK100" i="72" s="1"/>
  <c r="AK99" i="72"/>
  <c r="M101" i="72"/>
  <c r="K102" i="72"/>
  <c r="M102" i="72" s="1"/>
  <c r="O106" i="72"/>
  <c r="Q106" i="72" s="1"/>
  <c r="Q105" i="72"/>
  <c r="W106" i="72"/>
  <c r="Y106" i="72" s="1"/>
  <c r="Y105" i="72"/>
  <c r="C106" i="72"/>
  <c r="E106" i="72" s="1"/>
  <c r="E105" i="72"/>
  <c r="S106" i="72"/>
  <c r="U106" i="72" s="1"/>
  <c r="U105" i="72"/>
  <c r="AE102" i="72"/>
  <c r="AG102" i="72" s="1"/>
  <c r="AG101" i="72"/>
  <c r="AA108" i="72"/>
  <c r="AC108" i="72" s="1"/>
  <c r="AC107" i="72"/>
  <c r="G104" i="72"/>
  <c r="I104" i="72" s="1"/>
  <c r="I103" i="72"/>
  <c r="A105" i="64" l="1"/>
  <c r="A112" i="48"/>
  <c r="AQ99" i="72"/>
  <c r="AM101" i="72"/>
  <c r="AI101" i="72"/>
  <c r="K103" i="72"/>
  <c r="G105" i="72"/>
  <c r="AA109" i="72"/>
  <c r="AE103" i="72"/>
  <c r="S107" i="72"/>
  <c r="C107" i="72"/>
  <c r="W107" i="72"/>
  <c r="O107" i="72"/>
  <c r="A157" i="65" l="1"/>
  <c r="A113" i="48"/>
  <c r="AQ100" i="72"/>
  <c r="AS100" i="72" s="1"/>
  <c r="AS99" i="72"/>
  <c r="AM102" i="72"/>
  <c r="AO102" i="72" s="1"/>
  <c r="AO101" i="72"/>
  <c r="AI102" i="72"/>
  <c r="AK102" i="72" s="1"/>
  <c r="AK101" i="72"/>
  <c r="M103" i="72"/>
  <c r="K104" i="72"/>
  <c r="M104" i="72" s="1"/>
  <c r="Q107" i="72"/>
  <c r="O108" i="72"/>
  <c r="Q108" i="72" s="1"/>
  <c r="W108" i="72"/>
  <c r="Y108" i="72" s="1"/>
  <c r="Y107" i="72"/>
  <c r="C108" i="72"/>
  <c r="E108" i="72" s="1"/>
  <c r="E107" i="72"/>
  <c r="AE104" i="72"/>
  <c r="AG104" i="72" s="1"/>
  <c r="AG103" i="72"/>
  <c r="AA110" i="72"/>
  <c r="AC110" i="72" s="1"/>
  <c r="AC109" i="72"/>
  <c r="G106" i="72"/>
  <c r="I106" i="72" s="1"/>
  <c r="I105" i="72"/>
  <c r="S108" i="72"/>
  <c r="U108" i="72" s="1"/>
  <c r="U107" i="72"/>
  <c r="A114" i="48" l="1"/>
  <c r="A158" i="65"/>
  <c r="AQ101" i="72"/>
  <c r="AM103" i="72"/>
  <c r="AI103" i="72"/>
  <c r="K105" i="72"/>
  <c r="S109" i="72"/>
  <c r="G107" i="72"/>
  <c r="AA111" i="72"/>
  <c r="AE105" i="72"/>
  <c r="C109" i="72"/>
  <c r="W109" i="72"/>
  <c r="O109" i="72"/>
  <c r="A106" i="64" l="1"/>
  <c r="A115" i="48"/>
  <c r="A116" i="48" s="1"/>
  <c r="AQ102" i="72"/>
  <c r="AS102" i="72" s="1"/>
  <c r="AS101" i="72"/>
  <c r="AM104" i="72"/>
  <c r="AO104" i="72" s="1"/>
  <c r="AO103" i="72"/>
  <c r="AI104" i="72"/>
  <c r="AK104" i="72" s="1"/>
  <c r="AK103" i="72"/>
  <c r="M105" i="72"/>
  <c r="K106" i="72"/>
  <c r="M106" i="72" s="1"/>
  <c r="S110" i="72"/>
  <c r="U110" i="72" s="1"/>
  <c r="U109" i="72"/>
  <c r="O110" i="72"/>
  <c r="Q110" i="72" s="1"/>
  <c r="Q109" i="72"/>
  <c r="W110" i="72"/>
  <c r="Y110" i="72" s="1"/>
  <c r="Y109" i="72"/>
  <c r="C110" i="72"/>
  <c r="E110" i="72" s="1"/>
  <c r="E109" i="72"/>
  <c r="AE106" i="72"/>
  <c r="AG106" i="72" s="1"/>
  <c r="AG105" i="72"/>
  <c r="AA112" i="72"/>
  <c r="AC112" i="72" s="1"/>
  <c r="AC111" i="72"/>
  <c r="G108" i="72"/>
  <c r="I108" i="72" s="1"/>
  <c r="I107" i="72"/>
  <c r="F117" i="48" l="1"/>
  <c r="F108" i="64" s="1"/>
  <c r="A117" i="48"/>
  <c r="A107" i="64"/>
  <c r="A33" i="65"/>
  <c r="AQ103" i="72"/>
  <c r="AM105" i="72"/>
  <c r="AI105" i="72"/>
  <c r="K107" i="72"/>
  <c r="S111" i="72"/>
  <c r="G109" i="72"/>
  <c r="AA113" i="72"/>
  <c r="AE107" i="72"/>
  <c r="C111" i="72"/>
  <c r="W111" i="72"/>
  <c r="O111" i="72"/>
  <c r="A120" i="48" l="1"/>
  <c r="A108" i="64"/>
  <c r="AQ104" i="72"/>
  <c r="AS104" i="72" s="1"/>
  <c r="AS103" i="72"/>
  <c r="AM106" i="72"/>
  <c r="AO106" i="72" s="1"/>
  <c r="AO105" i="72"/>
  <c r="AI106" i="72"/>
  <c r="AK106" i="72" s="1"/>
  <c r="AK105" i="72"/>
  <c r="K108" i="72"/>
  <c r="M108" i="72" s="1"/>
  <c r="M107" i="72"/>
  <c r="O112" i="72"/>
  <c r="Q112" i="72" s="1"/>
  <c r="Q111" i="72"/>
  <c r="W112" i="72"/>
  <c r="Y112" i="72" s="1"/>
  <c r="Y111" i="72"/>
  <c r="C112" i="72"/>
  <c r="E112" i="72" s="1"/>
  <c r="E111" i="72"/>
  <c r="AE108" i="72"/>
  <c r="AG108" i="72" s="1"/>
  <c r="AG107" i="72"/>
  <c r="AA114" i="72"/>
  <c r="AC114" i="72" s="1"/>
  <c r="AC113" i="72"/>
  <c r="G110" i="72"/>
  <c r="I110" i="72" s="1"/>
  <c r="I109" i="72"/>
  <c r="S112" i="72"/>
  <c r="U112" i="72" s="1"/>
  <c r="U111" i="72"/>
  <c r="A121" i="48" l="1"/>
  <c r="A111" i="64"/>
  <c r="A34" i="65" s="1"/>
  <c r="AQ105" i="72"/>
  <c r="AM107" i="72"/>
  <c r="AI107" i="72"/>
  <c r="K109" i="72"/>
  <c r="S113" i="72"/>
  <c r="G111" i="72"/>
  <c r="AA115" i="72"/>
  <c r="AE109" i="72"/>
  <c r="C113" i="72"/>
  <c r="W113" i="72"/>
  <c r="O113" i="72"/>
  <c r="A112" i="64" l="1"/>
  <c r="A122" i="48"/>
  <c r="A76" i="65"/>
  <c r="AQ106" i="72"/>
  <c r="AS106" i="72" s="1"/>
  <c r="AS105" i="72"/>
  <c r="AM108" i="72"/>
  <c r="AO108" i="72" s="1"/>
  <c r="AO107" i="72"/>
  <c r="AI108" i="72"/>
  <c r="AK108" i="72" s="1"/>
  <c r="AK107" i="72"/>
  <c r="K110" i="72"/>
  <c r="M110" i="72" s="1"/>
  <c r="M109" i="72"/>
  <c r="O114" i="72"/>
  <c r="Q114" i="72" s="1"/>
  <c r="Q113" i="72"/>
  <c r="W114" i="72"/>
  <c r="Y114" i="72" s="1"/>
  <c r="Y113" i="72"/>
  <c r="AE110" i="72"/>
  <c r="AG110" i="72" s="1"/>
  <c r="AG109" i="72"/>
  <c r="AA116" i="72"/>
  <c r="AC116" i="72" s="1"/>
  <c r="AC115" i="72"/>
  <c r="C114" i="72"/>
  <c r="E114" i="72" s="1"/>
  <c r="E113" i="72"/>
  <c r="G112" i="72"/>
  <c r="I112" i="72" s="1"/>
  <c r="I111" i="72"/>
  <c r="S114" i="72"/>
  <c r="U114" i="72" s="1"/>
  <c r="U113" i="72"/>
  <c r="A123" i="48" l="1"/>
  <c r="A113" i="64"/>
  <c r="AQ107" i="72"/>
  <c r="AM109" i="72"/>
  <c r="AI109" i="72"/>
  <c r="K111" i="72"/>
  <c r="S115" i="72"/>
  <c r="G113" i="72"/>
  <c r="C115" i="72"/>
  <c r="AA117" i="72"/>
  <c r="AE111" i="72"/>
  <c r="W115" i="72"/>
  <c r="O115" i="72"/>
  <c r="A124" i="48" l="1"/>
  <c r="A114" i="64"/>
  <c r="A81" i="65" s="1"/>
  <c r="AQ108" i="72"/>
  <c r="AS108" i="72" s="1"/>
  <c r="AS107" i="72"/>
  <c r="AM110" i="72"/>
  <c r="AO110" i="72" s="1"/>
  <c r="AO109" i="72"/>
  <c r="AI110" i="72"/>
  <c r="AK110" i="72" s="1"/>
  <c r="AK109" i="72"/>
  <c r="M111" i="72"/>
  <c r="K112" i="72"/>
  <c r="M112" i="72" s="1"/>
  <c r="Q115" i="72"/>
  <c r="O116" i="72"/>
  <c r="Q116" i="72" s="1"/>
  <c r="W116" i="72"/>
  <c r="Y116" i="72" s="1"/>
  <c r="Y115" i="72"/>
  <c r="AE112" i="72"/>
  <c r="AG112" i="72" s="1"/>
  <c r="AG111" i="72"/>
  <c r="AA118" i="72"/>
  <c r="AC118" i="72" s="1"/>
  <c r="AC117" i="72"/>
  <c r="C116" i="72"/>
  <c r="E116" i="72" s="1"/>
  <c r="E115" i="72"/>
  <c r="G114" i="72"/>
  <c r="I114" i="72" s="1"/>
  <c r="I113" i="72"/>
  <c r="S116" i="72"/>
  <c r="U116" i="72" s="1"/>
  <c r="U115" i="72"/>
  <c r="A115" i="64" l="1"/>
  <c r="A125" i="48"/>
  <c r="AQ109" i="72"/>
  <c r="AM111" i="72"/>
  <c r="AI111" i="72"/>
  <c r="K113" i="72"/>
  <c r="S117" i="72"/>
  <c r="G115" i="72"/>
  <c r="C117" i="72"/>
  <c r="AA119" i="72"/>
  <c r="AE113" i="72"/>
  <c r="W117" i="72"/>
  <c r="O117" i="72"/>
  <c r="A116" i="64" l="1"/>
  <c r="A71" i="65" s="1"/>
  <c r="A126" i="48"/>
  <c r="F126" i="48"/>
  <c r="F117" i="64" s="1"/>
  <c r="AQ110" i="72"/>
  <c r="AS110" i="72" s="1"/>
  <c r="AS109" i="72"/>
  <c r="AM112" i="72"/>
  <c r="AO112" i="72" s="1"/>
  <c r="AO111" i="72"/>
  <c r="AI112" i="72"/>
  <c r="AK112" i="72" s="1"/>
  <c r="AK111" i="72"/>
  <c r="M113" i="72"/>
  <c r="K114" i="72"/>
  <c r="M114" i="72" s="1"/>
  <c r="O118" i="72"/>
  <c r="Q118" i="72" s="1"/>
  <c r="Q117" i="72"/>
  <c r="W118" i="72"/>
  <c r="Y118" i="72" s="1"/>
  <c r="Y117" i="72"/>
  <c r="AE114" i="72"/>
  <c r="AG114" i="72" s="1"/>
  <c r="AG113" i="72"/>
  <c r="AA120" i="72"/>
  <c r="AC120" i="72" s="1"/>
  <c r="AC119" i="72"/>
  <c r="C118" i="72"/>
  <c r="E118" i="72" s="1"/>
  <c r="E117" i="72"/>
  <c r="G116" i="72"/>
  <c r="I116" i="72" s="1"/>
  <c r="I115" i="72"/>
  <c r="S118" i="72"/>
  <c r="U118" i="72" s="1"/>
  <c r="U117" i="72"/>
  <c r="A127" i="48" l="1"/>
  <c r="A117" i="64"/>
  <c r="F128" i="48"/>
  <c r="F119" i="64" s="1"/>
  <c r="AQ111" i="72"/>
  <c r="AM113" i="72"/>
  <c r="AI113" i="72"/>
  <c r="K115" i="72"/>
  <c r="S119" i="72"/>
  <c r="G117" i="72"/>
  <c r="C119" i="72"/>
  <c r="AA121" i="72"/>
  <c r="AE115" i="72"/>
  <c r="W119" i="72"/>
  <c r="O119" i="72"/>
  <c r="A128" i="48" l="1"/>
  <c r="A118" i="64"/>
  <c r="AQ112" i="72"/>
  <c r="AS112" i="72" s="1"/>
  <c r="AS111" i="72"/>
  <c r="AM114" i="72"/>
  <c r="AO114" i="72" s="1"/>
  <c r="AO113" i="72"/>
  <c r="AI114" i="72"/>
  <c r="AK114" i="72" s="1"/>
  <c r="AK113" i="72"/>
  <c r="M115" i="72"/>
  <c r="K116" i="72"/>
  <c r="M116" i="72" s="1"/>
  <c r="Q119" i="72"/>
  <c r="O120" i="72"/>
  <c r="Q120" i="72" s="1"/>
  <c r="W120" i="72"/>
  <c r="Y120" i="72" s="1"/>
  <c r="Y119" i="72"/>
  <c r="AE116" i="72"/>
  <c r="AG116" i="72" s="1"/>
  <c r="AG115" i="72"/>
  <c r="AA122" i="72"/>
  <c r="AC122" i="72" s="1"/>
  <c r="AC121" i="72"/>
  <c r="C120" i="72"/>
  <c r="E120" i="72" s="1"/>
  <c r="E119" i="72"/>
  <c r="G118" i="72"/>
  <c r="I118" i="72" s="1"/>
  <c r="I117" i="72"/>
  <c r="S120" i="72"/>
  <c r="U120" i="72" s="1"/>
  <c r="U119" i="72"/>
  <c r="A119" i="64" l="1"/>
  <c r="A131" i="48"/>
  <c r="AQ113" i="72"/>
  <c r="AM115" i="72"/>
  <c r="AI115" i="72"/>
  <c r="K117" i="72"/>
  <c r="S121" i="72"/>
  <c r="G119" i="72"/>
  <c r="AA123" i="72"/>
  <c r="AE117" i="72"/>
  <c r="W121" i="72"/>
  <c r="O121" i="72"/>
  <c r="C121" i="72"/>
  <c r="A122" i="64" l="1"/>
  <c r="A83" i="65" s="1"/>
  <c r="A132" i="48"/>
  <c r="F133" i="48" s="1"/>
  <c r="F124" i="64" s="1"/>
  <c r="AQ114" i="72"/>
  <c r="AS114" i="72" s="1"/>
  <c r="AS113" i="72"/>
  <c r="AM116" i="72"/>
  <c r="AO116" i="72" s="1"/>
  <c r="AO115" i="72"/>
  <c r="AI116" i="72"/>
  <c r="AK116" i="72" s="1"/>
  <c r="AK115" i="72"/>
  <c r="M117" i="72"/>
  <c r="K118" i="72"/>
  <c r="M118" i="72" s="1"/>
  <c r="O122" i="72"/>
  <c r="Q122" i="72" s="1"/>
  <c r="Q121" i="72"/>
  <c r="W122" i="72"/>
  <c r="Y122" i="72" s="1"/>
  <c r="Y121" i="72"/>
  <c r="AE118" i="72"/>
  <c r="AG118" i="72" s="1"/>
  <c r="AG117" i="72"/>
  <c r="AA124" i="72"/>
  <c r="AC124" i="72" s="1"/>
  <c r="AC123" i="72"/>
  <c r="G120" i="72"/>
  <c r="I120" i="72" s="1"/>
  <c r="I119" i="72"/>
  <c r="S122" i="72"/>
  <c r="U122" i="72" s="1"/>
  <c r="U121" i="72"/>
  <c r="C122" i="72"/>
  <c r="E122" i="72" s="1"/>
  <c r="E121" i="72"/>
  <c r="A123" i="64" l="1"/>
  <c r="A102" i="65" s="1"/>
  <c r="A133" i="48"/>
  <c r="AQ115" i="72"/>
  <c r="AM117" i="72"/>
  <c r="AI117" i="72"/>
  <c r="K119" i="72"/>
  <c r="C123" i="72"/>
  <c r="S123" i="72"/>
  <c r="G121" i="72"/>
  <c r="AA125" i="72"/>
  <c r="AE119" i="72"/>
  <c r="W123" i="72"/>
  <c r="O123" i="72"/>
  <c r="A135" i="48" l="1"/>
  <c r="A124" i="64"/>
  <c r="AQ116" i="72"/>
  <c r="AS116" i="72" s="1"/>
  <c r="AS115" i="72"/>
  <c r="AM118" i="72"/>
  <c r="AO118" i="72" s="1"/>
  <c r="AO117" i="72"/>
  <c r="AI118" i="72"/>
  <c r="AK118" i="72" s="1"/>
  <c r="AK117" i="72"/>
  <c r="K120" i="72"/>
  <c r="M120" i="72" s="1"/>
  <c r="M119" i="72"/>
  <c r="Q123" i="72"/>
  <c r="O124" i="72"/>
  <c r="Q124" i="72" s="1"/>
  <c r="W124" i="72"/>
  <c r="Y124" i="72" s="1"/>
  <c r="Y123" i="72"/>
  <c r="AE120" i="72"/>
  <c r="AG120" i="72" s="1"/>
  <c r="AG119" i="72"/>
  <c r="AA126" i="72"/>
  <c r="AC126" i="72" s="1"/>
  <c r="AC125" i="72"/>
  <c r="G122" i="72"/>
  <c r="I122" i="72" s="1"/>
  <c r="I121" i="72"/>
  <c r="S124" i="72"/>
  <c r="U124" i="72" s="1"/>
  <c r="U123" i="72"/>
  <c r="C124" i="72"/>
  <c r="E124" i="72" s="1"/>
  <c r="E123" i="72"/>
  <c r="A136" i="48" l="1"/>
  <c r="F137" i="48" s="1"/>
  <c r="F128" i="64" s="1"/>
  <c r="A126" i="64"/>
  <c r="AQ117" i="72"/>
  <c r="AM119" i="72"/>
  <c r="AI119" i="72"/>
  <c r="K121" i="72"/>
  <c r="O125" i="72"/>
  <c r="C125" i="72"/>
  <c r="S125" i="72"/>
  <c r="G123" i="72"/>
  <c r="AA127" i="72"/>
  <c r="AE121" i="72"/>
  <c r="W125" i="72"/>
  <c r="A137" i="48" l="1"/>
  <c r="A127" i="64"/>
  <c r="A89" i="65" s="1"/>
  <c r="AQ118" i="72"/>
  <c r="AS118" i="72" s="1"/>
  <c r="AS117" i="72"/>
  <c r="AM120" i="72"/>
  <c r="AO120" i="72" s="1"/>
  <c r="AO119" i="72"/>
  <c r="AI120" i="72"/>
  <c r="AK120" i="72" s="1"/>
  <c r="AK119" i="72"/>
  <c r="M121" i="72"/>
  <c r="K122" i="72"/>
  <c r="M122" i="72" s="1"/>
  <c r="O126" i="72"/>
  <c r="Q126" i="72" s="1"/>
  <c r="Q125" i="72"/>
  <c r="W126" i="72"/>
  <c r="Y126" i="72" s="1"/>
  <c r="Y125" i="72"/>
  <c r="AE122" i="72"/>
  <c r="AG122" i="72" s="1"/>
  <c r="AG121" i="72"/>
  <c r="AA128" i="72"/>
  <c r="AC128" i="72" s="1"/>
  <c r="AC127" i="72"/>
  <c r="G124" i="72"/>
  <c r="I124" i="72" s="1"/>
  <c r="I123" i="72"/>
  <c r="S126" i="72"/>
  <c r="U126" i="72" s="1"/>
  <c r="U125" i="72"/>
  <c r="C126" i="72"/>
  <c r="E126" i="72" s="1"/>
  <c r="E125" i="72"/>
  <c r="A128" i="64" l="1"/>
  <c r="A138" i="48"/>
  <c r="AQ119" i="72"/>
  <c r="AM121" i="72"/>
  <c r="AI121" i="72"/>
  <c r="K123" i="72"/>
  <c r="O127" i="72"/>
  <c r="C127" i="72"/>
  <c r="S127" i="72"/>
  <c r="G125" i="72"/>
  <c r="AA129" i="72"/>
  <c r="AE123" i="72"/>
  <c r="W127" i="72"/>
  <c r="A129" i="64" l="1"/>
  <c r="A139" i="48"/>
  <c r="F139" i="48"/>
  <c r="F130" i="64" s="1"/>
  <c r="AQ120" i="72"/>
  <c r="AS120" i="72" s="1"/>
  <c r="AS119" i="72"/>
  <c r="AM122" i="72"/>
  <c r="AO122" i="72" s="1"/>
  <c r="AO121" i="72"/>
  <c r="AI122" i="72"/>
  <c r="AK122" i="72" s="1"/>
  <c r="AK121" i="72"/>
  <c r="K124" i="72"/>
  <c r="M124" i="72" s="1"/>
  <c r="M123" i="72"/>
  <c r="W128" i="72"/>
  <c r="Y128" i="72" s="1"/>
  <c r="Y127" i="72"/>
  <c r="AE124" i="72"/>
  <c r="AG124" i="72" s="1"/>
  <c r="AG123" i="72"/>
  <c r="AA130" i="72"/>
  <c r="AC130" i="72" s="1"/>
  <c r="AC129" i="72"/>
  <c r="G126" i="72"/>
  <c r="I126" i="72" s="1"/>
  <c r="I125" i="72"/>
  <c r="S128" i="72"/>
  <c r="U128" i="72" s="1"/>
  <c r="U127" i="72"/>
  <c r="C128" i="72"/>
  <c r="E128" i="72" s="1"/>
  <c r="E127" i="72"/>
  <c r="Q127" i="72"/>
  <c r="O128" i="72"/>
  <c r="Q128" i="72" s="1"/>
  <c r="A130" i="64" l="1"/>
  <c r="A141" i="48"/>
  <c r="F141" i="48"/>
  <c r="F132" i="64" s="1"/>
  <c r="AQ121" i="72"/>
  <c r="AM123" i="72"/>
  <c r="AI123" i="72"/>
  <c r="K125" i="72"/>
  <c r="O129" i="72"/>
  <c r="C129" i="72"/>
  <c r="S129" i="72"/>
  <c r="G127" i="72"/>
  <c r="AA131" i="72"/>
  <c r="AE125" i="72"/>
  <c r="W129" i="72"/>
  <c r="F239" i="48" l="1"/>
  <c r="F229" i="64" s="1"/>
  <c r="A146" i="48"/>
  <c r="F95" i="48"/>
  <c r="F89" i="64" s="1"/>
  <c r="A132" i="64"/>
  <c r="AQ122" i="72"/>
  <c r="AS122" i="72" s="1"/>
  <c r="AS121" i="72"/>
  <c r="AM124" i="72"/>
  <c r="AO124" i="72" s="1"/>
  <c r="AO123" i="72"/>
  <c r="AI124" i="72"/>
  <c r="AK124" i="72" s="1"/>
  <c r="AK123" i="72"/>
  <c r="M125" i="72"/>
  <c r="K126" i="72"/>
  <c r="M126" i="72" s="1"/>
  <c r="AE126" i="72"/>
  <c r="AG126" i="72" s="1"/>
  <c r="AG125" i="72"/>
  <c r="AA132" i="72"/>
  <c r="AC132" i="72" s="1"/>
  <c r="AC131" i="72"/>
  <c r="G128" i="72"/>
  <c r="I128" i="72" s="1"/>
  <c r="I127" i="72"/>
  <c r="S130" i="72"/>
  <c r="U130" i="72" s="1"/>
  <c r="U129" i="72"/>
  <c r="C130" i="72"/>
  <c r="E130" i="72" s="1"/>
  <c r="E129" i="72"/>
  <c r="O130" i="72"/>
  <c r="Q130" i="72" s="1"/>
  <c r="Q129" i="72"/>
  <c r="W130" i="72"/>
  <c r="Y130" i="72" s="1"/>
  <c r="Y129" i="72"/>
  <c r="A148" i="48" l="1"/>
  <c r="A137" i="64"/>
  <c r="AQ123" i="72"/>
  <c r="AM125" i="72"/>
  <c r="AI125" i="72"/>
  <c r="K127" i="72"/>
  <c r="W131" i="72"/>
  <c r="O131" i="72"/>
  <c r="S131" i="72"/>
  <c r="C131" i="72"/>
  <c r="G129" i="72"/>
  <c r="AE127" i="72"/>
  <c r="A139" i="64" l="1"/>
  <c r="A149" i="48"/>
  <c r="F150" i="48" s="1"/>
  <c r="F141" i="64" s="1"/>
  <c r="AQ124" i="72"/>
  <c r="AS124" i="72" s="1"/>
  <c r="AS123" i="72"/>
  <c r="AM126" i="72"/>
  <c r="AO126" i="72" s="1"/>
  <c r="AO125" i="72"/>
  <c r="AI126" i="72"/>
  <c r="AK126" i="72" s="1"/>
  <c r="AK125" i="72"/>
  <c r="K128" i="72"/>
  <c r="M128" i="72" s="1"/>
  <c r="M127" i="72"/>
  <c r="U131" i="72"/>
  <c r="S132" i="72"/>
  <c r="U132" i="72" s="1"/>
  <c r="Q131" i="72"/>
  <c r="O132" i="72"/>
  <c r="Q132" i="72" s="1"/>
  <c r="W132" i="72"/>
  <c r="Y132" i="72" s="1"/>
  <c r="Y131" i="72"/>
  <c r="AE128" i="72"/>
  <c r="AG128" i="72" s="1"/>
  <c r="AG127" i="72"/>
  <c r="G130" i="72"/>
  <c r="I130" i="72" s="1"/>
  <c r="I129" i="72"/>
  <c r="E131" i="72"/>
  <c r="C132" i="72"/>
  <c r="E132" i="72" s="1"/>
  <c r="A150" i="48" l="1"/>
  <c r="A140" i="64"/>
  <c r="AQ125" i="72"/>
  <c r="AM127" i="72"/>
  <c r="AI127" i="72"/>
  <c r="K129" i="72"/>
  <c r="L129" i="72"/>
  <c r="L130" i="72" s="1"/>
  <c r="G131" i="72"/>
  <c r="AE129" i="72"/>
  <c r="A151" i="48" l="1"/>
  <c r="F152" i="48" s="1"/>
  <c r="A141" i="64"/>
  <c r="AQ126" i="72"/>
  <c r="AS126" i="72" s="1"/>
  <c r="AS125" i="72"/>
  <c r="AM128" i="72"/>
  <c r="AO128" i="72" s="1"/>
  <c r="AO127" i="72"/>
  <c r="AI128" i="72"/>
  <c r="AK128" i="72" s="1"/>
  <c r="AK127" i="72"/>
  <c r="K130" i="72"/>
  <c r="M130" i="72" s="1"/>
  <c r="M129" i="72"/>
  <c r="AE130" i="72"/>
  <c r="AG130" i="72" s="1"/>
  <c r="AG129" i="72"/>
  <c r="G132" i="72"/>
  <c r="I132" i="72" s="1"/>
  <c r="I131" i="72"/>
  <c r="F143" i="64" l="1"/>
  <c r="A142" i="64"/>
  <c r="A152" i="48"/>
  <c r="AQ127" i="72"/>
  <c r="AM129" i="72"/>
  <c r="AI129" i="72"/>
  <c r="AE131" i="72"/>
  <c r="A154" i="48" l="1"/>
  <c r="A143" i="64"/>
  <c r="AQ128" i="72"/>
  <c r="AS128" i="72" s="1"/>
  <c r="AS127" i="72"/>
  <c r="AM130" i="72"/>
  <c r="AO130" i="72" s="1"/>
  <c r="AO129" i="72"/>
  <c r="AI130" i="72"/>
  <c r="AK130" i="72" s="1"/>
  <c r="AK129" i="72"/>
  <c r="AG131" i="72"/>
  <c r="AE132" i="72"/>
  <c r="AG132" i="72" s="1"/>
  <c r="A155" i="48" l="1"/>
  <c r="A145" i="64"/>
  <c r="A41" i="65" s="1"/>
  <c r="AQ129" i="72"/>
  <c r="AM131" i="72"/>
  <c r="AI131" i="72"/>
  <c r="F156" i="48" l="1"/>
  <c r="F147" i="64" s="1"/>
  <c r="A146" i="64"/>
  <c r="A42" i="65" s="1"/>
  <c r="A156" i="48"/>
  <c r="AQ130" i="72"/>
  <c r="AS130" i="72" s="1"/>
  <c r="AS129" i="72"/>
  <c r="AM132" i="72"/>
  <c r="AO132" i="72" s="1"/>
  <c r="AO131" i="72"/>
  <c r="AI132" i="72"/>
  <c r="AK132" i="72" s="1"/>
  <c r="AK131" i="72"/>
  <c r="A147" i="64" l="1"/>
  <c r="A157" i="48"/>
  <c r="F158" i="48" s="1"/>
  <c r="F149" i="64" s="1"/>
  <c r="AQ131" i="72"/>
  <c r="A148" i="64" l="1"/>
  <c r="A158" i="48"/>
  <c r="AQ132" i="72"/>
  <c r="AS132" i="72" s="1"/>
  <c r="AS131" i="72"/>
  <c r="A149" i="64" l="1"/>
  <c r="A161" i="48"/>
  <c r="F161" i="48"/>
  <c r="F152" i="64" s="1"/>
  <c r="A165" i="48" l="1"/>
  <c r="A152" i="64"/>
  <c r="F240" i="48"/>
  <c r="F230" i="64" s="1"/>
  <c r="A156" i="64" l="1"/>
  <c r="F167" i="48"/>
  <c r="F158" i="64" s="1"/>
  <c r="A167" i="48"/>
  <c r="A158" i="64" l="1"/>
  <c r="F241" i="48"/>
  <c r="F231" i="64" s="1"/>
  <c r="A172" i="48"/>
  <c r="A20" i="54" l="1"/>
  <c r="A173" i="48"/>
  <c r="A163" i="64"/>
  <c r="F174" i="48"/>
  <c r="F165" i="64" l="1"/>
  <c r="G22" i="54"/>
  <c r="A14" i="53"/>
  <c r="A174" i="48"/>
  <c r="A164" i="64"/>
  <c r="A21" i="54"/>
  <c r="A176" i="48" l="1"/>
  <c r="A165" i="64"/>
  <c r="A22" i="54"/>
  <c r="A167" i="64" l="1"/>
  <c r="A179" i="48"/>
  <c r="A24" i="54"/>
  <c r="A170" i="64" l="1"/>
  <c r="A180" i="48"/>
  <c r="A27" i="54"/>
  <c r="A28" i="54" l="1"/>
  <c r="A181" i="48"/>
  <c r="A182" i="48"/>
  <c r="A171" i="64"/>
  <c r="A30" i="54" l="1"/>
  <c r="A183" i="48"/>
  <c r="A173" i="64"/>
  <c r="F183" i="48"/>
  <c r="A172" i="64"/>
  <c r="A29" i="54"/>
  <c r="G31" i="54" l="1"/>
  <c r="F174" i="64"/>
  <c r="A174" i="64"/>
  <c r="A31" i="54"/>
  <c r="F193" i="48"/>
  <c r="A186" i="48"/>
  <c r="G41" i="54" l="1"/>
  <c r="F183" i="64"/>
  <c r="A34" i="54"/>
  <c r="A187" i="48"/>
  <c r="A177" i="64"/>
  <c r="A178" i="64" l="1"/>
  <c r="A35" i="54"/>
  <c r="A188" i="48"/>
  <c r="A36" i="54" l="1"/>
  <c r="A37" i="54" s="1"/>
  <c r="A189" i="48"/>
  <c r="A190" i="48" s="1"/>
  <c r="A179" i="64"/>
  <c r="A38" i="54" l="1"/>
  <c r="A180" i="64"/>
  <c r="A191" i="48"/>
  <c r="A18" i="53"/>
  <c r="F191" i="48"/>
  <c r="F181" i="64" l="1"/>
  <c r="G39" i="54"/>
  <c r="A192" i="48"/>
  <c r="A39" i="54"/>
  <c r="A181" i="64"/>
  <c r="F200" i="48"/>
  <c r="A193" i="48" l="1"/>
  <c r="A182" i="64"/>
  <c r="A40" i="54"/>
  <c r="F201" i="48"/>
  <c r="F190" i="64"/>
  <c r="G48" i="54"/>
  <c r="A183" i="64" l="1"/>
  <c r="A194" i="48"/>
  <c r="F198" i="48" s="1"/>
  <c r="A41" i="54"/>
  <c r="F194" i="48"/>
  <c r="G49" i="54"/>
  <c r="F191" i="64"/>
  <c r="G46" i="54" l="1"/>
  <c r="F188" i="64"/>
  <c r="G42" i="54"/>
  <c r="F184" i="64"/>
  <c r="A196" i="48"/>
  <c r="A184" i="64"/>
  <c r="A42" i="54"/>
  <c r="F196" i="48"/>
  <c r="F197" i="48"/>
  <c r="F187" i="64" l="1"/>
  <c r="G45" i="54"/>
  <c r="A197" i="48"/>
  <c r="A44" i="54"/>
  <c r="A186" i="64"/>
  <c r="G44" i="54"/>
  <c r="F186" i="64"/>
  <c r="A198" i="48" l="1"/>
  <c r="A187" i="64"/>
  <c r="A45" i="54"/>
  <c r="A200" i="48" l="1"/>
  <c r="A46" i="54"/>
  <c r="A188" i="64"/>
  <c r="A48" i="54" l="1"/>
  <c r="A201" i="48"/>
  <c r="A190" i="64"/>
  <c r="F204" i="48"/>
  <c r="F194" i="64" l="1"/>
  <c r="G52" i="54"/>
  <c r="A202" i="48"/>
  <c r="A191" i="64"/>
  <c r="A49" i="54"/>
  <c r="F205" i="48"/>
  <c r="G53" i="54" l="1"/>
  <c r="F195" i="64"/>
  <c r="A50" i="54"/>
  <c r="A204" i="48"/>
  <c r="A192" i="64"/>
  <c r="F206" i="48"/>
  <c r="A52" i="54" l="1"/>
  <c r="A205" i="48"/>
  <c r="A194" i="64"/>
  <c r="G54" i="54"/>
  <c r="F196" i="64"/>
  <c r="A206" i="48" l="1"/>
  <c r="A195" i="64"/>
  <c r="A53" i="54"/>
  <c r="A207" i="48" l="1"/>
  <c r="A196" i="64"/>
  <c r="A54" i="54"/>
  <c r="F207" i="48"/>
  <c r="F197" i="64" l="1"/>
  <c r="G55" i="54"/>
  <c r="A197" i="64"/>
  <c r="A55" i="54"/>
  <c r="F209" i="48"/>
  <c r="A209" i="48"/>
  <c r="G57" i="54" l="1"/>
  <c r="F199" i="64"/>
  <c r="A214" i="48"/>
  <c r="A199" i="64"/>
  <c r="A57" i="54"/>
  <c r="A62" i="54" s="1"/>
  <c r="A63" i="54" s="1"/>
  <c r="A64" i="54" s="1"/>
  <c r="A65" i="54" s="1"/>
  <c r="A66" i="54" s="1"/>
  <c r="A69" i="54" s="1"/>
  <c r="A70" i="54" s="1"/>
  <c r="A71" i="54" s="1"/>
  <c r="A72" i="54" s="1"/>
  <c r="A76" i="54" s="1"/>
  <c r="A78" i="54" s="1"/>
  <c r="F242" i="48"/>
  <c r="F232" i="64" s="1"/>
  <c r="A215" i="48" l="1"/>
  <c r="A204" i="64"/>
  <c r="A205" i="64" l="1"/>
  <c r="A96" i="65" s="1"/>
  <c r="A216" i="48"/>
  <c r="A206" i="64" l="1"/>
  <c r="A217" i="48"/>
  <c r="A207" i="64" l="1"/>
  <c r="A218" i="48"/>
  <c r="F222" i="48" l="1"/>
  <c r="A208" i="64"/>
  <c r="A221" i="48"/>
  <c r="F228" i="48"/>
  <c r="F218" i="64" s="1"/>
  <c r="A211" i="64" l="1"/>
  <c r="A222" i="48"/>
  <c r="F212" i="64"/>
  <c r="G70" i="54"/>
  <c r="A223" i="48" l="1"/>
  <c r="A212" i="64"/>
  <c r="A224" i="48" l="1"/>
  <c r="A213" i="64"/>
  <c r="A228" i="48" l="1"/>
  <c r="F230" i="48" s="1"/>
  <c r="F220" i="64" s="1"/>
  <c r="A214" i="64"/>
  <c r="A218" i="64" l="1"/>
  <c r="A230" i="48"/>
  <c r="F243" i="48" l="1"/>
  <c r="F233" i="64" s="1"/>
  <c r="A220" i="64"/>
  <c r="A235" i="48"/>
  <c r="A236" i="48" l="1"/>
  <c r="A225" i="64"/>
  <c r="A226" i="64" l="1"/>
  <c r="A237" i="48"/>
  <c r="A239" i="48" l="1"/>
  <c r="A227" i="64"/>
  <c r="A229" i="64" l="1"/>
  <c r="A240" i="48"/>
  <c r="A241" i="48" l="1"/>
  <c r="A230" i="64"/>
  <c r="A242" i="48" l="1"/>
  <c r="A231" i="64"/>
  <c r="A232" i="64" l="1"/>
  <c r="A243" i="48"/>
  <c r="A245" i="48" l="1"/>
  <c r="A233" i="64"/>
  <c r="F245" i="48"/>
  <c r="F235" i="64" s="1"/>
  <c r="A248" i="48" l="1"/>
  <c r="A235" i="64"/>
  <c r="F252" i="48"/>
  <c r="F242" i="64" s="1"/>
  <c r="A249" i="48" l="1"/>
  <c r="F250" i="48"/>
  <c r="F240" i="64" s="1"/>
  <c r="A238" i="64"/>
  <c r="A250" i="48" l="1"/>
  <c r="A239" i="64"/>
  <c r="A109" i="65"/>
  <c r="A251" i="48" l="1"/>
  <c r="A240" i="64"/>
  <c r="F251" i="48"/>
  <c r="F241" i="64" s="1"/>
  <c r="A252" i="48" l="1"/>
  <c r="F253" i="48"/>
  <c r="F243" i="64" s="1"/>
  <c r="A241" i="64"/>
  <c r="A253" i="48" l="1"/>
  <c r="A242" i="64"/>
  <c r="A243" i="64" l="1"/>
  <c r="A256" i="48"/>
  <c r="A257" i="48" l="1"/>
  <c r="F259" i="48" s="1"/>
  <c r="F249" i="64" s="1"/>
  <c r="A246" i="64"/>
  <c r="A259" i="48" l="1"/>
  <c r="C312" i="48"/>
  <c r="A247" i="64"/>
  <c r="A390" i="64" l="1"/>
  <c r="A181" i="65"/>
  <c r="F270" i="48"/>
  <c r="F260" i="64" s="1"/>
  <c r="A262" i="48"/>
  <c r="F277" i="48"/>
  <c r="F267" i="64" s="1"/>
  <c r="A249" i="64"/>
  <c r="F262" i="48"/>
  <c r="F252" i="64" s="1"/>
  <c r="A263" i="48" l="1"/>
  <c r="F264" i="48"/>
  <c r="F254" i="64" s="1"/>
  <c r="A252" i="64"/>
  <c r="F265" i="48"/>
  <c r="F255" i="64" s="1"/>
  <c r="F266" i="48"/>
  <c r="F256" i="64" s="1"/>
  <c r="A264" i="48" l="1"/>
  <c r="A253" i="64"/>
  <c r="A265" i="48" l="1"/>
  <c r="A254" i="64"/>
  <c r="B11" i="72" l="1"/>
  <c r="A255" i="64"/>
  <c r="A266" i="48"/>
  <c r="B10" i="55"/>
  <c r="A270" i="48" l="1"/>
  <c r="B17" i="72"/>
  <c r="A256" i="64"/>
  <c r="B16" i="55"/>
  <c r="A271" i="48" l="1"/>
  <c r="A260" i="64"/>
  <c r="F272" i="48"/>
  <c r="F262" i="64" s="1"/>
  <c r="A261" i="64" l="1"/>
  <c r="A272" i="48"/>
  <c r="A273" i="48" l="1"/>
  <c r="F274" i="48"/>
  <c r="F264" i="64" s="1"/>
  <c r="A262" i="64"/>
  <c r="A274" i="48" l="1"/>
  <c r="A263" i="64"/>
  <c r="F275" i="48"/>
  <c r="F265" i="64" s="1"/>
  <c r="A275" i="48" l="1"/>
  <c r="A264" i="64"/>
  <c r="B12" i="72" l="1"/>
  <c r="B11" i="55"/>
  <c r="A277" i="48"/>
  <c r="A265" i="64"/>
  <c r="A278" i="48" l="1"/>
  <c r="A279" i="48" s="1"/>
  <c r="A280" i="48" s="1"/>
  <c r="A267" i="64"/>
  <c r="F281" i="48"/>
  <c r="F269" i="64" s="1"/>
  <c r="IT280" i="48" l="1"/>
  <c r="A281" i="48"/>
  <c r="A192" i="65" l="1"/>
  <c r="A269" i="64"/>
  <c r="A284" i="48"/>
  <c r="F285" i="48" s="1"/>
  <c r="F273" i="64" s="1"/>
  <c r="A272" i="64" l="1"/>
  <c r="A198" i="65" s="1"/>
  <c r="A285" i="48"/>
  <c r="A287" i="48" l="1"/>
  <c r="A275" i="64" s="1"/>
  <c r="A273" i="64"/>
  <c r="F287" i="48"/>
  <c r="F275" i="64" s="1"/>
  <c r="H13" i="65"/>
  <c r="H26" i="48" s="1"/>
  <c r="H27" i="48" l="1"/>
  <c r="H62" i="48"/>
  <c r="H63" i="48" s="1"/>
  <c r="H65" i="48" s="1"/>
  <c r="H67" i="48" s="1"/>
  <c r="H38" i="65" l="1"/>
  <c r="H148" i="48" s="1"/>
  <c r="H150" i="48" s="1"/>
  <c r="H152" i="48" s="1"/>
  <c r="G40" i="65" l="1"/>
  <c r="H40" i="65" s="1"/>
  <c r="H161" i="48"/>
  <c r="H240" i="48" s="1"/>
  <c r="CU71" i="72" l="1"/>
  <c r="CU74" i="72"/>
  <c r="CU70" i="72"/>
  <c r="CU67" i="72"/>
  <c r="CU75" i="72"/>
  <c r="CU63" i="72"/>
  <c r="CU60" i="72"/>
  <c r="CU56" i="72"/>
  <c r="CU64" i="72"/>
  <c r="CU72" i="72"/>
  <c r="CU68" i="72"/>
  <c r="CU66" i="72"/>
  <c r="CU76" i="72"/>
  <c r="CU69" i="72"/>
  <c r="CU65" i="72"/>
  <c r="CU62" i="72"/>
  <c r="CU58" i="72"/>
  <c r="CU73" i="72"/>
  <c r="CU57" i="72"/>
  <c r="CU61" i="72"/>
  <c r="CU59" i="72"/>
  <c r="CU55" i="72"/>
  <c r="D21" i="71" l="1"/>
  <c r="D44" i="71" s="1"/>
  <c r="D46" i="71" s="1"/>
  <c r="D48" i="71" s="1"/>
  <c r="D23" i="71" l="1"/>
  <c r="H256" i="48"/>
  <c r="H17" i="65" l="1"/>
  <c r="H46" i="48" s="1"/>
  <c r="H20" i="48" l="1"/>
  <c r="H47" i="48"/>
  <c r="H49" i="48" s="1"/>
  <c r="H53" i="48" s="1"/>
  <c r="H21" i="48" l="1"/>
  <c r="H29" i="48" s="1"/>
  <c r="H31" i="48"/>
  <c r="H32" i="48" s="1"/>
  <c r="H69" i="48"/>
  <c r="H235" i="48" l="1"/>
  <c r="H34" i="48"/>
  <c r="H35" i="48" s="1"/>
  <c r="H141" i="65"/>
  <c r="I141" i="65" s="1"/>
  <c r="I143" i="65" s="1"/>
  <c r="H80" i="48" s="1"/>
  <c r="F22" i="70"/>
  <c r="G22" i="70" s="1"/>
  <c r="F42" i="70"/>
  <c r="G42" i="70" s="1"/>
  <c r="E15" i="69"/>
  <c r="E16" i="69" s="1"/>
  <c r="G16" i="69" s="1"/>
  <c r="G44" i="70" l="1"/>
  <c r="H165" i="48" s="1"/>
  <c r="H167" i="48" s="1"/>
  <c r="H241" i="48" s="1"/>
  <c r="H223" i="48"/>
  <c r="H224" i="48" s="1"/>
  <c r="H76" i="48"/>
  <c r="I71" i="54"/>
  <c r="I72" i="54" s="1"/>
  <c r="E150" i="65"/>
  <c r="F150" i="65" s="1"/>
  <c r="F153" i="65" s="1"/>
  <c r="H84" i="48" s="1"/>
  <c r="H85" i="48" s="1"/>
  <c r="H138" i="48"/>
  <c r="H139" i="48" s="1"/>
  <c r="H141" i="48" s="1"/>
  <c r="H74" i="48"/>
  <c r="H77" i="48" l="1"/>
  <c r="H239" i="48"/>
  <c r="H95" i="48"/>
  <c r="H97" i="48" s="1"/>
  <c r="H104" i="48" l="1"/>
  <c r="H106" i="48" s="1"/>
  <c r="H236" i="48" l="1"/>
  <c r="H237" i="48"/>
  <c r="I16" i="54"/>
  <c r="I57" i="54" s="1"/>
  <c r="I76" i="54" s="1"/>
  <c r="I78" i="54" s="1"/>
  <c r="I9" i="54" s="1"/>
  <c r="H271" i="48" s="1"/>
  <c r="H209" i="48"/>
  <c r="H242" i="48" l="1"/>
  <c r="H228" i="48"/>
  <c r="H230" i="48" s="1"/>
  <c r="H243" i="48" s="1"/>
  <c r="H245" i="48" s="1"/>
  <c r="H252" i="48" s="1"/>
  <c r="H253" i="48" s="1"/>
  <c r="H259" i="48" s="1"/>
  <c r="H277" i="48" l="1"/>
  <c r="H262" i="48"/>
  <c r="H270" i="48"/>
  <c r="H272" i="48" s="1"/>
  <c r="H274" i="48" l="1"/>
  <c r="H275" i="48"/>
  <c r="I12" i="72" s="1"/>
  <c r="H266" i="48"/>
  <c r="I17" i="72" s="1"/>
  <c r="H264" i="48"/>
  <c r="H265" i="48"/>
  <c r="I11" i="72" s="1"/>
  <c r="I13" i="72" l="1"/>
  <c r="AQ29" i="72" s="1"/>
  <c r="AT124" i="72" s="1"/>
  <c r="BG28" i="72"/>
  <c r="BG29" i="72"/>
  <c r="BK28" i="72"/>
  <c r="BK29" i="72"/>
  <c r="AT126" i="72"/>
  <c r="AT114" i="72"/>
  <c r="AT108" i="72"/>
  <c r="AT112" i="72"/>
  <c r="AT92" i="72"/>
  <c r="AT128" i="72"/>
  <c r="AT84" i="72"/>
  <c r="AT104" i="72"/>
  <c r="AT116" i="72"/>
  <c r="AT80" i="72"/>
  <c r="AT56" i="72"/>
  <c r="AT110" i="72"/>
  <c r="AT78" i="72"/>
  <c r="AT118" i="72"/>
  <c r="AT82" i="72"/>
  <c r="AT76" i="72"/>
  <c r="AT120" i="72"/>
  <c r="AT54" i="72"/>
  <c r="AT130" i="72"/>
  <c r="AT70" i="72"/>
  <c r="AT66" i="72"/>
  <c r="AT106" i="72"/>
  <c r="AT100" i="72"/>
  <c r="AT88" i="72"/>
  <c r="AT90" i="72"/>
  <c r="AT96" i="72"/>
  <c r="AT98" i="72"/>
  <c r="AT68" i="72"/>
  <c r="AT86" i="72"/>
  <c r="AT50" i="72"/>
  <c r="AT60" i="72"/>
  <c r="AT94" i="72"/>
  <c r="AT74" i="72"/>
  <c r="AT62" i="72"/>
  <c r="AT52" i="72"/>
  <c r="AT122" i="72"/>
  <c r="AT48" i="72"/>
  <c r="AT72" i="72"/>
  <c r="AT132" i="72"/>
  <c r="AT58" i="72"/>
  <c r="AM28" i="72"/>
  <c r="AU28" i="72"/>
  <c r="BS28" i="72"/>
  <c r="K28" i="72"/>
  <c r="CI28" i="72"/>
  <c r="G222" i="65" s="1"/>
  <c r="K29" i="72"/>
  <c r="BW29" i="72"/>
  <c r="W29" i="72"/>
  <c r="BO28" i="72"/>
  <c r="AY28" i="72"/>
  <c r="AE28" i="72"/>
  <c r="AA28" i="72"/>
  <c r="W28" i="72"/>
  <c r="AM29" i="72"/>
  <c r="AI29" i="72"/>
  <c r="C28" i="72"/>
  <c r="G28" i="72"/>
  <c r="CA28" i="72"/>
  <c r="S28" i="72"/>
  <c r="AI28" i="72"/>
  <c r="C29" i="72"/>
  <c r="CE29" i="72"/>
  <c r="O28" i="72"/>
  <c r="CE28" i="72"/>
  <c r="BW28" i="72"/>
  <c r="AQ28" i="72"/>
  <c r="BC28" i="72"/>
  <c r="S29" i="72"/>
  <c r="AA29" i="72"/>
  <c r="BS29" i="72"/>
  <c r="AU29" i="72"/>
  <c r="BC29" i="72"/>
  <c r="AE29" i="72"/>
  <c r="AY29" i="72"/>
  <c r="CI29" i="72"/>
  <c r="CA29" i="72"/>
  <c r="O29" i="72"/>
  <c r="BO29" i="72"/>
  <c r="G29" i="72"/>
  <c r="AT64" i="72" l="1"/>
  <c r="AT102" i="72"/>
  <c r="R70" i="72"/>
  <c r="R124" i="72"/>
  <c r="R110" i="72"/>
  <c r="R74" i="72"/>
  <c r="R114" i="72"/>
  <c r="R100" i="72"/>
  <c r="R82" i="72"/>
  <c r="R96" i="72"/>
  <c r="R118" i="72"/>
  <c r="R62" i="72"/>
  <c r="R102" i="72"/>
  <c r="R60" i="72"/>
  <c r="R66" i="72"/>
  <c r="R64" i="72"/>
  <c r="R132" i="72"/>
  <c r="R86" i="72"/>
  <c r="R48" i="72"/>
  <c r="R80" i="72"/>
  <c r="R126" i="72"/>
  <c r="R78" i="72"/>
  <c r="R84" i="72"/>
  <c r="R72" i="72"/>
  <c r="R50" i="72"/>
  <c r="R120" i="72"/>
  <c r="R112" i="72"/>
  <c r="R94" i="72"/>
  <c r="R104" i="72"/>
  <c r="R128" i="72"/>
  <c r="R52" i="72"/>
  <c r="R90" i="72"/>
  <c r="R68" i="72"/>
  <c r="R88" i="72"/>
  <c r="R46" i="72"/>
  <c r="R106" i="72"/>
  <c r="R58" i="72"/>
  <c r="R92" i="72"/>
  <c r="R76" i="72"/>
  <c r="R122" i="72"/>
  <c r="R116" i="72"/>
  <c r="R130" i="72"/>
  <c r="R56" i="72"/>
  <c r="R98" i="72"/>
  <c r="R54" i="72"/>
  <c r="R108" i="72"/>
  <c r="AH60" i="72"/>
  <c r="AH108" i="72"/>
  <c r="AH126" i="72"/>
  <c r="AH88" i="72"/>
  <c r="AH46" i="72"/>
  <c r="AH66" i="72"/>
  <c r="AH90" i="72"/>
  <c r="AH128" i="72"/>
  <c r="AH64" i="72"/>
  <c r="AH92" i="72"/>
  <c r="AH72" i="72"/>
  <c r="AH68" i="72"/>
  <c r="AH114" i="72"/>
  <c r="AH78" i="72"/>
  <c r="AH54" i="72"/>
  <c r="AH96" i="72"/>
  <c r="AH48" i="72"/>
  <c r="AH76" i="72"/>
  <c r="AH94" i="72"/>
  <c r="AH86" i="72"/>
  <c r="AH74" i="72"/>
  <c r="AH80" i="72"/>
  <c r="AH98" i="72"/>
  <c r="AH122" i="72"/>
  <c r="AH124" i="72"/>
  <c r="AH52" i="72"/>
  <c r="AH56" i="72"/>
  <c r="AH132" i="72"/>
  <c r="AH70" i="72"/>
  <c r="AH116" i="72"/>
  <c r="AH106" i="72"/>
  <c r="AH50" i="72"/>
  <c r="AH102" i="72"/>
  <c r="AH110" i="72"/>
  <c r="AH62" i="72"/>
  <c r="AH120" i="72"/>
  <c r="AH130" i="72"/>
  <c r="AH84" i="72"/>
  <c r="AH118" i="72"/>
  <c r="AH100" i="72"/>
  <c r="AH58" i="72"/>
  <c r="AH82" i="72"/>
  <c r="AH112" i="72"/>
  <c r="AH104" i="72"/>
  <c r="AD62" i="72"/>
  <c r="AD104" i="72"/>
  <c r="AD84" i="72"/>
  <c r="AD88" i="72"/>
  <c r="AD70" i="72"/>
  <c r="AD54" i="72"/>
  <c r="AD126" i="72"/>
  <c r="AD86" i="72"/>
  <c r="AD96" i="72"/>
  <c r="AD120" i="72"/>
  <c r="AD66" i="72"/>
  <c r="AD58" i="72"/>
  <c r="AD78" i="72"/>
  <c r="AD64" i="72"/>
  <c r="AD124" i="72"/>
  <c r="AD106" i="72"/>
  <c r="AD68" i="72"/>
  <c r="AD92" i="72"/>
  <c r="AD108" i="72"/>
  <c r="AD130" i="72"/>
  <c r="AD116" i="72"/>
  <c r="AD112" i="72"/>
  <c r="AD98" i="72"/>
  <c r="AD72" i="72"/>
  <c r="AD74" i="72"/>
  <c r="AD100" i="72"/>
  <c r="AD48" i="72"/>
  <c r="AD82" i="72"/>
  <c r="AD76" i="72"/>
  <c r="AD90" i="72"/>
  <c r="AD128" i="72"/>
  <c r="AD102" i="72"/>
  <c r="AD52" i="72"/>
  <c r="AD132" i="72"/>
  <c r="AD94" i="72"/>
  <c r="AD110" i="72"/>
  <c r="AD46" i="72"/>
  <c r="AD56" i="72"/>
  <c r="AD118" i="72"/>
  <c r="AD60" i="72"/>
  <c r="AD122" i="72"/>
  <c r="AD114" i="72"/>
  <c r="AD80" i="72"/>
  <c r="AD50" i="72"/>
  <c r="BZ59" i="72"/>
  <c r="BZ71" i="72"/>
  <c r="BZ127" i="72"/>
  <c r="BZ111" i="72"/>
  <c r="BZ101" i="72"/>
  <c r="BZ63" i="72"/>
  <c r="BZ49" i="72"/>
  <c r="BZ119" i="72"/>
  <c r="BZ109" i="72"/>
  <c r="BZ93" i="72"/>
  <c r="BZ51" i="72"/>
  <c r="BZ117" i="72"/>
  <c r="BZ131" i="72"/>
  <c r="BZ75" i="72"/>
  <c r="BZ89" i="72"/>
  <c r="BZ107" i="72"/>
  <c r="BZ97" i="72"/>
  <c r="BZ55" i="72"/>
  <c r="BZ69" i="72"/>
  <c r="BZ125" i="72"/>
  <c r="BZ129" i="72"/>
  <c r="BZ73" i="72"/>
  <c r="BZ95" i="72"/>
  <c r="BZ67" i="72"/>
  <c r="BZ105" i="72"/>
  <c r="BZ81" i="72"/>
  <c r="BZ99" i="72"/>
  <c r="BZ65" i="72"/>
  <c r="BZ103" i="72"/>
  <c r="BZ83" i="72"/>
  <c r="BZ115" i="72"/>
  <c r="BZ91" i="72"/>
  <c r="BZ79" i="72"/>
  <c r="BZ53" i="72"/>
  <c r="BZ87" i="72"/>
  <c r="BZ113" i="72"/>
  <c r="BZ57" i="72"/>
  <c r="BZ85" i="72"/>
  <c r="BZ123" i="72"/>
  <c r="BZ61" i="72"/>
  <c r="BZ121" i="72"/>
  <c r="BZ77" i="72"/>
  <c r="F50" i="72"/>
  <c r="F68" i="72"/>
  <c r="F88" i="72"/>
  <c r="F60" i="72"/>
  <c r="F90" i="72"/>
  <c r="F108" i="72"/>
  <c r="F94" i="72"/>
  <c r="F122" i="72"/>
  <c r="F104" i="72"/>
  <c r="F62" i="72"/>
  <c r="F82" i="72"/>
  <c r="F86" i="72"/>
  <c r="F118" i="72"/>
  <c r="F96" i="72"/>
  <c r="F114" i="72"/>
  <c r="F84" i="72"/>
  <c r="F66" i="72"/>
  <c r="F56" i="72"/>
  <c r="F112" i="72"/>
  <c r="F78" i="72"/>
  <c r="F106" i="72"/>
  <c r="F110" i="72"/>
  <c r="F48" i="72"/>
  <c r="F100" i="72"/>
  <c r="F126" i="72"/>
  <c r="F64" i="72"/>
  <c r="F54" i="72"/>
  <c r="F120" i="72"/>
  <c r="F74" i="72"/>
  <c r="F116" i="72"/>
  <c r="F58" i="72"/>
  <c r="F130" i="72"/>
  <c r="F46" i="72"/>
  <c r="F76" i="72"/>
  <c r="F124" i="72"/>
  <c r="F44" i="72"/>
  <c r="F92" i="72"/>
  <c r="F52" i="72"/>
  <c r="F132" i="72"/>
  <c r="F72" i="72"/>
  <c r="F128" i="72"/>
  <c r="F80" i="72"/>
  <c r="F98" i="72"/>
  <c r="F102" i="72"/>
  <c r="F70" i="72"/>
  <c r="J111" i="72"/>
  <c r="J47" i="72"/>
  <c r="J107" i="72"/>
  <c r="J115" i="72"/>
  <c r="J59" i="72"/>
  <c r="J67" i="72"/>
  <c r="J71" i="72"/>
  <c r="J91" i="72"/>
  <c r="J119" i="72"/>
  <c r="J127" i="72"/>
  <c r="J113" i="72"/>
  <c r="J81" i="72"/>
  <c r="J87" i="72"/>
  <c r="J79" i="72"/>
  <c r="J95" i="72"/>
  <c r="J121" i="72"/>
  <c r="J73" i="72"/>
  <c r="J123" i="72"/>
  <c r="J97" i="72"/>
  <c r="J51" i="72"/>
  <c r="J49" i="72"/>
  <c r="J57" i="72"/>
  <c r="J43" i="72"/>
  <c r="J77" i="72"/>
  <c r="J45" i="72"/>
  <c r="J99" i="72"/>
  <c r="J55" i="72"/>
  <c r="J63" i="72"/>
  <c r="J131" i="72"/>
  <c r="J103" i="72"/>
  <c r="J105" i="72"/>
  <c r="J129" i="72"/>
  <c r="J101" i="72"/>
  <c r="J109" i="72"/>
  <c r="J117" i="72"/>
  <c r="J93" i="72"/>
  <c r="J125" i="72"/>
  <c r="J85" i="72"/>
  <c r="J61" i="72"/>
  <c r="J69" i="72"/>
  <c r="J53" i="72"/>
  <c r="J75" i="72"/>
  <c r="J89" i="72"/>
  <c r="J83" i="72"/>
  <c r="J65" i="72"/>
  <c r="Z81" i="72"/>
  <c r="Z103" i="72"/>
  <c r="Z101" i="72"/>
  <c r="Z83" i="72"/>
  <c r="Z109" i="72"/>
  <c r="Z129" i="72"/>
  <c r="Z69" i="72"/>
  <c r="Z47" i="72"/>
  <c r="Z91" i="72"/>
  <c r="Z117" i="72"/>
  <c r="Z125" i="72"/>
  <c r="Z93" i="72"/>
  <c r="Z89" i="72"/>
  <c r="Z95" i="72"/>
  <c r="Z57" i="72"/>
  <c r="Z131" i="72"/>
  <c r="Z79" i="72"/>
  <c r="Z121" i="72"/>
  <c r="Z71" i="72"/>
  <c r="Z77" i="72"/>
  <c r="Z119" i="72"/>
  <c r="Z53" i="72"/>
  <c r="Z49" i="72"/>
  <c r="Z113" i="72"/>
  <c r="Z105" i="72"/>
  <c r="Z123" i="72"/>
  <c r="Z65" i="72"/>
  <c r="Z111" i="72"/>
  <c r="Z63" i="72"/>
  <c r="Z75" i="72"/>
  <c r="Z127" i="72"/>
  <c r="Z97" i="72"/>
  <c r="Z107" i="72"/>
  <c r="Z73" i="72"/>
  <c r="Z99" i="72"/>
  <c r="Z55" i="72"/>
  <c r="Z85" i="72"/>
  <c r="Z45" i="72"/>
  <c r="Z87" i="72"/>
  <c r="Z51" i="72"/>
  <c r="Z67" i="72"/>
  <c r="Z61" i="72"/>
  <c r="Z59" i="72"/>
  <c r="Z115" i="72"/>
  <c r="BR75" i="72"/>
  <c r="BR65" i="72"/>
  <c r="BR69" i="72"/>
  <c r="BR53" i="72"/>
  <c r="BR59" i="72"/>
  <c r="BR45" i="72"/>
  <c r="BR57" i="72"/>
  <c r="BR55" i="72"/>
  <c r="BR49" i="72"/>
  <c r="BR63" i="72"/>
  <c r="BR73" i="72"/>
  <c r="BR61" i="72"/>
  <c r="BR71" i="72"/>
  <c r="BR51" i="72"/>
  <c r="BR47" i="72"/>
  <c r="BR67" i="72"/>
  <c r="CL121" i="72"/>
  <c r="CL131" i="72"/>
  <c r="CL129" i="72"/>
  <c r="CL53" i="72"/>
  <c r="CL61" i="72"/>
  <c r="CL83" i="72"/>
  <c r="CL77" i="72"/>
  <c r="CL87" i="72"/>
  <c r="CL105" i="72"/>
  <c r="CL107" i="72"/>
  <c r="CL55" i="72"/>
  <c r="CL81" i="72"/>
  <c r="CL52" i="72"/>
  <c r="CL79" i="72"/>
  <c r="CL117" i="72"/>
  <c r="CL63" i="72"/>
  <c r="CL91" i="72"/>
  <c r="CL111" i="72"/>
  <c r="CL65" i="72"/>
  <c r="CL93" i="72"/>
  <c r="CL51" i="72"/>
  <c r="CL75" i="72"/>
  <c r="CL119" i="72"/>
  <c r="CL125" i="72"/>
  <c r="CL69" i="72"/>
  <c r="CL57" i="72"/>
  <c r="CL89" i="72"/>
  <c r="CL73" i="72"/>
  <c r="CL115" i="72"/>
  <c r="CL127" i="72"/>
  <c r="CL67" i="72"/>
  <c r="CL123" i="72"/>
  <c r="CL109" i="72"/>
  <c r="CL95" i="72"/>
  <c r="CL71" i="72"/>
  <c r="CL85" i="72"/>
  <c r="CL99" i="72"/>
  <c r="CL113" i="72"/>
  <c r="CL101" i="72"/>
  <c r="CL103" i="72"/>
  <c r="CL97" i="72"/>
  <c r="CL59" i="72"/>
  <c r="AP81" i="72"/>
  <c r="AP101" i="72"/>
  <c r="AP93" i="72"/>
  <c r="AP123" i="72"/>
  <c r="AP91" i="72"/>
  <c r="AP115" i="72"/>
  <c r="AP117" i="72"/>
  <c r="AP55" i="72"/>
  <c r="AP47" i="72"/>
  <c r="AP97" i="72"/>
  <c r="AP61" i="72"/>
  <c r="AP129" i="72"/>
  <c r="AP103" i="72"/>
  <c r="AP111" i="72"/>
  <c r="AP77" i="72"/>
  <c r="AP99" i="72"/>
  <c r="AP87" i="72"/>
  <c r="AP89" i="72"/>
  <c r="AP113" i="72"/>
  <c r="AP83" i="72"/>
  <c r="AP109" i="72"/>
  <c r="AP107" i="72"/>
  <c r="AP85" i="72"/>
  <c r="AP65" i="72"/>
  <c r="AP51" i="72"/>
  <c r="AP57" i="72"/>
  <c r="AP75" i="72"/>
  <c r="AP63" i="72"/>
  <c r="AP69" i="72"/>
  <c r="AP127" i="72"/>
  <c r="AP131" i="72"/>
  <c r="AP53" i="72"/>
  <c r="AP95" i="72"/>
  <c r="AP125" i="72"/>
  <c r="AP79" i="72"/>
  <c r="AP49" i="72"/>
  <c r="AP105" i="72"/>
  <c r="AP71" i="72"/>
  <c r="AP67" i="72"/>
  <c r="AP59" i="72"/>
  <c r="AP121" i="72"/>
  <c r="AP73" i="72"/>
  <c r="AP119" i="72"/>
  <c r="BN62" i="72"/>
  <c r="BN50" i="72"/>
  <c r="BN48" i="72"/>
  <c r="BN54" i="72"/>
  <c r="BN58" i="72"/>
  <c r="BN68" i="72"/>
  <c r="BN70" i="72"/>
  <c r="BN52" i="72"/>
  <c r="BN76" i="72"/>
  <c r="BN60" i="72"/>
  <c r="BN66" i="72"/>
  <c r="BN64" i="72"/>
  <c r="BN46" i="72"/>
  <c r="BN56" i="72"/>
  <c r="BN72" i="72"/>
  <c r="BN74" i="72"/>
  <c r="V108" i="72"/>
  <c r="V48" i="72"/>
  <c r="V124" i="72"/>
  <c r="V106" i="72"/>
  <c r="V44" i="72"/>
  <c r="V128" i="72"/>
  <c r="V78" i="72"/>
  <c r="V54" i="72"/>
  <c r="V68" i="72"/>
  <c r="V114" i="72"/>
  <c r="V118" i="72"/>
  <c r="V90" i="72"/>
  <c r="V94" i="72"/>
  <c r="V74" i="72"/>
  <c r="V98" i="72"/>
  <c r="V58" i="72"/>
  <c r="V100" i="72"/>
  <c r="V64" i="72"/>
  <c r="V102" i="72"/>
  <c r="V86" i="72"/>
  <c r="V76" i="72"/>
  <c r="V50" i="72"/>
  <c r="V120" i="72"/>
  <c r="V130" i="72"/>
  <c r="V104" i="72"/>
  <c r="V56" i="72"/>
  <c r="V84" i="72"/>
  <c r="V82" i="72"/>
  <c r="V70" i="72"/>
  <c r="V112" i="72"/>
  <c r="V92" i="72"/>
  <c r="V122" i="72"/>
  <c r="V46" i="72"/>
  <c r="V52" i="72"/>
  <c r="V96" i="72"/>
  <c r="V80" i="72"/>
  <c r="V116" i="72"/>
  <c r="V132" i="72"/>
  <c r="V126" i="72"/>
  <c r="V88" i="72"/>
  <c r="V60" i="72"/>
  <c r="V72" i="72"/>
  <c r="V110" i="72"/>
  <c r="V62" i="72"/>
  <c r="V66" i="72"/>
  <c r="CH123" i="72"/>
  <c r="CH113" i="72"/>
  <c r="CH111" i="72"/>
  <c r="CH71" i="72"/>
  <c r="CH59" i="72"/>
  <c r="CH85" i="72"/>
  <c r="CH53" i="72"/>
  <c r="CH91" i="72"/>
  <c r="CH63" i="72"/>
  <c r="CH121" i="72"/>
  <c r="CH55" i="72"/>
  <c r="CH87" i="72"/>
  <c r="CH79" i="72"/>
  <c r="CH127" i="72"/>
  <c r="CH129" i="72"/>
  <c r="CH67" i="72"/>
  <c r="CH103" i="72"/>
  <c r="CH51" i="72"/>
  <c r="CH61" i="72"/>
  <c r="CH107" i="72"/>
  <c r="CH125" i="72"/>
  <c r="CH83" i="72"/>
  <c r="CH77" i="72"/>
  <c r="CH95" i="72"/>
  <c r="CH119" i="72"/>
  <c r="CH115" i="72"/>
  <c r="CH73" i="72"/>
  <c r="CH65" i="72"/>
  <c r="CH99" i="72"/>
  <c r="CH101" i="72"/>
  <c r="CH89" i="72"/>
  <c r="CH57" i="72"/>
  <c r="CH117" i="72"/>
  <c r="CH97" i="72"/>
  <c r="CH131" i="72"/>
  <c r="CH109" i="72"/>
  <c r="CH69" i="72"/>
  <c r="CH75" i="72"/>
  <c r="CH93" i="72"/>
  <c r="CH105" i="72"/>
  <c r="CH81" i="72"/>
  <c r="CH49" i="72"/>
  <c r="AL99" i="72"/>
  <c r="AL65" i="72"/>
  <c r="AL69" i="72"/>
  <c r="AL59" i="72"/>
  <c r="AL119" i="72"/>
  <c r="AL123" i="72"/>
  <c r="AL61" i="72"/>
  <c r="AL105" i="72"/>
  <c r="AL103" i="72"/>
  <c r="AL113" i="72"/>
  <c r="AL79" i="72"/>
  <c r="AL63" i="72"/>
  <c r="AL121" i="72"/>
  <c r="AL117" i="72"/>
  <c r="AL125" i="72"/>
  <c r="AL93" i="72"/>
  <c r="AL75" i="72"/>
  <c r="AL107" i="72"/>
  <c r="AL127" i="72"/>
  <c r="AL109" i="72"/>
  <c r="AL81" i="72"/>
  <c r="AL101" i="72"/>
  <c r="AL85" i="72"/>
  <c r="AL89" i="72"/>
  <c r="AL91" i="72"/>
  <c r="AL87" i="72"/>
  <c r="AL49" i="72"/>
  <c r="AL71" i="72"/>
  <c r="AL53" i="72"/>
  <c r="AL95" i="72"/>
  <c r="AL55" i="72"/>
  <c r="AL47" i="72"/>
  <c r="AL131" i="72"/>
  <c r="AL67" i="72"/>
  <c r="AL51" i="72"/>
  <c r="AL83" i="72"/>
  <c r="AL129" i="72"/>
  <c r="AL97" i="72"/>
  <c r="AL73" i="72"/>
  <c r="AL111" i="72"/>
  <c r="AL115" i="72"/>
  <c r="AL77" i="72"/>
  <c r="AL57" i="72"/>
  <c r="F99" i="72"/>
  <c r="F59" i="72"/>
  <c r="F69" i="72"/>
  <c r="F65" i="72"/>
  <c r="F67" i="72"/>
  <c r="F111" i="72"/>
  <c r="F105" i="72"/>
  <c r="F131" i="72"/>
  <c r="F97" i="72"/>
  <c r="F103" i="72"/>
  <c r="F43" i="72"/>
  <c r="F61" i="72"/>
  <c r="F117" i="72"/>
  <c r="F45" i="72"/>
  <c r="F75" i="72"/>
  <c r="F79" i="72"/>
  <c r="F89" i="72"/>
  <c r="F127" i="72"/>
  <c r="F119" i="72"/>
  <c r="F125" i="72"/>
  <c r="F49" i="72"/>
  <c r="F101" i="72"/>
  <c r="F57" i="72"/>
  <c r="F85" i="72"/>
  <c r="F95" i="72"/>
  <c r="F91" i="72"/>
  <c r="F115" i="72"/>
  <c r="F107" i="72"/>
  <c r="F83" i="72"/>
  <c r="F71" i="72"/>
  <c r="F109" i="72"/>
  <c r="F77" i="72"/>
  <c r="F121" i="72"/>
  <c r="F51" i="72"/>
  <c r="F73" i="72"/>
  <c r="F53" i="72"/>
  <c r="F63" i="72"/>
  <c r="F129" i="72"/>
  <c r="F113" i="72"/>
  <c r="F93" i="72"/>
  <c r="F87" i="72"/>
  <c r="F47" i="72"/>
  <c r="F55" i="72"/>
  <c r="F123" i="72"/>
  <c r="F81" i="72"/>
  <c r="AD55" i="72"/>
  <c r="AD49" i="72"/>
  <c r="AD117" i="72"/>
  <c r="AD87" i="72"/>
  <c r="AD131" i="72"/>
  <c r="AD111" i="72"/>
  <c r="AD93" i="72"/>
  <c r="AD79" i="72"/>
  <c r="AD69" i="72"/>
  <c r="AD53" i="72"/>
  <c r="AD59" i="72"/>
  <c r="AD81" i="72"/>
  <c r="AD77" i="72"/>
  <c r="AD95" i="72"/>
  <c r="AD51" i="72"/>
  <c r="AD115" i="72"/>
  <c r="AD91" i="72"/>
  <c r="AD121" i="72"/>
  <c r="AD65" i="72"/>
  <c r="AD103" i="72"/>
  <c r="AD107" i="72"/>
  <c r="AD99" i="72"/>
  <c r="AD89" i="72"/>
  <c r="AD127" i="72"/>
  <c r="AD85" i="72"/>
  <c r="AD83" i="72"/>
  <c r="AD123" i="72"/>
  <c r="AD45" i="72"/>
  <c r="AD67" i="72"/>
  <c r="AD113" i="72"/>
  <c r="AD119" i="72"/>
  <c r="AD73" i="72"/>
  <c r="AD57" i="72"/>
  <c r="AD63" i="72"/>
  <c r="AD105" i="72"/>
  <c r="AD71" i="72"/>
  <c r="AD109" i="72"/>
  <c r="AD61" i="72"/>
  <c r="AD129" i="72"/>
  <c r="AD97" i="72"/>
  <c r="AD47" i="72"/>
  <c r="AD125" i="72"/>
  <c r="AD75" i="72"/>
  <c r="AD101" i="72"/>
  <c r="Z48" i="72"/>
  <c r="Z132" i="72"/>
  <c r="Z70" i="72"/>
  <c r="Z96" i="72"/>
  <c r="Z104" i="72"/>
  <c r="Z66" i="72"/>
  <c r="Z108" i="72"/>
  <c r="Z120" i="72"/>
  <c r="Z92" i="72"/>
  <c r="Z80" i="72"/>
  <c r="Z116" i="72"/>
  <c r="Z46" i="72"/>
  <c r="Z130" i="72"/>
  <c r="Z102" i="72"/>
  <c r="Z64" i="72"/>
  <c r="Z84" i="72"/>
  <c r="Z58" i="72"/>
  <c r="Z94" i="72"/>
  <c r="Z90" i="72"/>
  <c r="Z112" i="72"/>
  <c r="Z82" i="72"/>
  <c r="Z68" i="72"/>
  <c r="Z56" i="72"/>
  <c r="Z122" i="72"/>
  <c r="Z86" i="72"/>
  <c r="Z62" i="72"/>
  <c r="Z128" i="72"/>
  <c r="Z72" i="72"/>
  <c r="Z110" i="72"/>
  <c r="Z54" i="72"/>
  <c r="Z118" i="72"/>
  <c r="Z50" i="72"/>
  <c r="Z76" i="72"/>
  <c r="Z78" i="72"/>
  <c r="Z88" i="72"/>
  <c r="Z74" i="72"/>
  <c r="Z126" i="72"/>
  <c r="Z100" i="72"/>
  <c r="Z124" i="72"/>
  <c r="Z106" i="72"/>
  <c r="Z60" i="72"/>
  <c r="Z114" i="72"/>
  <c r="Z52" i="72"/>
  <c r="Z98" i="72"/>
  <c r="N57" i="72"/>
  <c r="N121" i="72"/>
  <c r="N67" i="72"/>
  <c r="N83" i="72"/>
  <c r="N61" i="72"/>
  <c r="N109" i="72"/>
  <c r="N75" i="72"/>
  <c r="N97" i="72"/>
  <c r="N117" i="72"/>
  <c r="N91" i="72"/>
  <c r="N99" i="72"/>
  <c r="N113" i="72"/>
  <c r="N63" i="72"/>
  <c r="N123" i="72"/>
  <c r="N127" i="72"/>
  <c r="N69" i="72"/>
  <c r="N95" i="72"/>
  <c r="N111" i="72"/>
  <c r="N47" i="72"/>
  <c r="N89" i="72"/>
  <c r="N103" i="72"/>
  <c r="N79" i="72"/>
  <c r="N77" i="72"/>
  <c r="N129" i="72"/>
  <c r="N59" i="72"/>
  <c r="N119" i="72"/>
  <c r="N65" i="72"/>
  <c r="N87" i="72"/>
  <c r="N51" i="72"/>
  <c r="N73" i="72"/>
  <c r="N125" i="72"/>
  <c r="N93" i="72"/>
  <c r="N101" i="72"/>
  <c r="N41" i="72"/>
  <c r="CM41" i="72" s="1"/>
  <c r="CO41" i="72" s="1"/>
  <c r="N49" i="72"/>
  <c r="N55" i="72"/>
  <c r="N53" i="72"/>
  <c r="N81" i="72"/>
  <c r="N45" i="72"/>
  <c r="N43" i="72"/>
  <c r="N115" i="72"/>
  <c r="N85" i="72"/>
  <c r="N71" i="72"/>
  <c r="N105" i="72"/>
  <c r="N107" i="72"/>
  <c r="BN75" i="72"/>
  <c r="BN59" i="72"/>
  <c r="BN57" i="72"/>
  <c r="BN67" i="72"/>
  <c r="BN71" i="72"/>
  <c r="BN65" i="72"/>
  <c r="BN53" i="72"/>
  <c r="BN45" i="72"/>
  <c r="BN63" i="72"/>
  <c r="BN51" i="72"/>
  <c r="BN73" i="72"/>
  <c r="BN47" i="72"/>
  <c r="BN55" i="72"/>
  <c r="BN61" i="72"/>
  <c r="BN69" i="72"/>
  <c r="BN49" i="72"/>
  <c r="CD126" i="72"/>
  <c r="CD84" i="72"/>
  <c r="CD92" i="72"/>
  <c r="CD60" i="72"/>
  <c r="CD88" i="72"/>
  <c r="CD120" i="72"/>
  <c r="CD76" i="72"/>
  <c r="CD54" i="72"/>
  <c r="CD124" i="72"/>
  <c r="CD104" i="72"/>
  <c r="CD86" i="72"/>
  <c r="CD100" i="72"/>
  <c r="CD132" i="72"/>
  <c r="CD102" i="72"/>
  <c r="CD106" i="72"/>
  <c r="CD70" i="72"/>
  <c r="CD66" i="72"/>
  <c r="CD72" i="72"/>
  <c r="CD56" i="72"/>
  <c r="CD52" i="72"/>
  <c r="CD130" i="72"/>
  <c r="CD50" i="72"/>
  <c r="CD58" i="72"/>
  <c r="CD94" i="72"/>
  <c r="CD98" i="72"/>
  <c r="CD82" i="72"/>
  <c r="CD80" i="72"/>
  <c r="CD62" i="72"/>
  <c r="CD112" i="72"/>
  <c r="CD122" i="72"/>
  <c r="CD90" i="72"/>
  <c r="CD118" i="72"/>
  <c r="CD96" i="72"/>
  <c r="CD114" i="72"/>
  <c r="CD68" i="72"/>
  <c r="CD78" i="72"/>
  <c r="CD110" i="72"/>
  <c r="CD108" i="72"/>
  <c r="CD64" i="72"/>
  <c r="CD74" i="72"/>
  <c r="CD128" i="72"/>
  <c r="CD116" i="72"/>
  <c r="CL88" i="72"/>
  <c r="CL64" i="72"/>
  <c r="CL96" i="72"/>
  <c r="CL130" i="72"/>
  <c r="CL54" i="72"/>
  <c r="CL39" i="72" s="1"/>
  <c r="CL56" i="72"/>
  <c r="CL74" i="72"/>
  <c r="CL78" i="72"/>
  <c r="CL68" i="72"/>
  <c r="CL126" i="72"/>
  <c r="CL76" i="72"/>
  <c r="CL80" i="72"/>
  <c r="CL58" i="72"/>
  <c r="CL110" i="72"/>
  <c r="CL70" i="72"/>
  <c r="CL118" i="72"/>
  <c r="CL124" i="72"/>
  <c r="CL120" i="72"/>
  <c r="CL60" i="72"/>
  <c r="CL94" i="72"/>
  <c r="CL114" i="72"/>
  <c r="CL102" i="72"/>
  <c r="CL128" i="72"/>
  <c r="CL66" i="72"/>
  <c r="CL86" i="72"/>
  <c r="CL108" i="72"/>
  <c r="CL116" i="72"/>
  <c r="CL84" i="72"/>
  <c r="CL122" i="72"/>
  <c r="CL106" i="72"/>
  <c r="CL112" i="72"/>
  <c r="CL98" i="72"/>
  <c r="CL82" i="72"/>
  <c r="CL132" i="72"/>
  <c r="CL72" i="72"/>
  <c r="CL90" i="72"/>
  <c r="CL100" i="72"/>
  <c r="CL92" i="72"/>
  <c r="CL62" i="72"/>
  <c r="CL104" i="72"/>
  <c r="AX48" i="72"/>
  <c r="AX42" i="72"/>
  <c r="AX54" i="72"/>
  <c r="AX52" i="72"/>
  <c r="AX58" i="72"/>
  <c r="AX60" i="72"/>
  <c r="AX62" i="72"/>
  <c r="AX50" i="72"/>
  <c r="AX64" i="72"/>
  <c r="AX68" i="72"/>
  <c r="AX76" i="72"/>
  <c r="AX44" i="72"/>
  <c r="AX56" i="72"/>
  <c r="AX72" i="72"/>
  <c r="AX74" i="72"/>
  <c r="AX66" i="72"/>
  <c r="AX70" i="72"/>
  <c r="AX46" i="72"/>
  <c r="BF69" i="72"/>
  <c r="BF67" i="72"/>
  <c r="BF51" i="72"/>
  <c r="BF49" i="72"/>
  <c r="BF65" i="72"/>
  <c r="BF63" i="72"/>
  <c r="BF47" i="72"/>
  <c r="BF61" i="72"/>
  <c r="BF75" i="72"/>
  <c r="BF57" i="72"/>
  <c r="BF45" i="72"/>
  <c r="BF53" i="72"/>
  <c r="BF43" i="72"/>
  <c r="BF71" i="72"/>
  <c r="BF73" i="72"/>
  <c r="BF59" i="72"/>
  <c r="BF55" i="72"/>
  <c r="R53" i="72"/>
  <c r="R115" i="72"/>
  <c r="R89" i="72"/>
  <c r="R127" i="72"/>
  <c r="R83" i="72"/>
  <c r="R109" i="72"/>
  <c r="R71" i="72"/>
  <c r="R79" i="72"/>
  <c r="R81" i="72"/>
  <c r="R63" i="72"/>
  <c r="R107" i="72"/>
  <c r="R55" i="72"/>
  <c r="R113" i="72"/>
  <c r="R61" i="72"/>
  <c r="R131" i="72"/>
  <c r="R129" i="72"/>
  <c r="R69" i="72"/>
  <c r="R101" i="72"/>
  <c r="R73" i="72"/>
  <c r="R49" i="72"/>
  <c r="R47" i="72"/>
  <c r="R65" i="72"/>
  <c r="R77" i="72"/>
  <c r="R123" i="72"/>
  <c r="R59" i="72"/>
  <c r="R91" i="72"/>
  <c r="R99" i="72"/>
  <c r="R57" i="72"/>
  <c r="R95" i="72"/>
  <c r="R105" i="72"/>
  <c r="R51" i="72"/>
  <c r="R117" i="72"/>
  <c r="R121" i="72"/>
  <c r="R75" i="72"/>
  <c r="R97" i="72"/>
  <c r="R67" i="72"/>
  <c r="R85" i="72"/>
  <c r="R125" i="72"/>
  <c r="R45" i="72"/>
  <c r="R87" i="72"/>
  <c r="R111" i="72"/>
  <c r="R103" i="72"/>
  <c r="R119" i="72"/>
  <c r="R93" i="72"/>
  <c r="V91" i="72"/>
  <c r="V119" i="72"/>
  <c r="V83" i="72"/>
  <c r="V45" i="72"/>
  <c r="V43" i="72"/>
  <c r="V93" i="72"/>
  <c r="V79" i="72"/>
  <c r="V127" i="72"/>
  <c r="V109" i="72"/>
  <c r="V85" i="72"/>
  <c r="V115" i="72"/>
  <c r="V113" i="72"/>
  <c r="V77" i="72"/>
  <c r="V71" i="72"/>
  <c r="V99" i="72"/>
  <c r="V121" i="72"/>
  <c r="V117" i="72"/>
  <c r="V89" i="72"/>
  <c r="V95" i="72"/>
  <c r="V131" i="72"/>
  <c r="V73" i="72"/>
  <c r="V65" i="72"/>
  <c r="V111" i="72"/>
  <c r="V49" i="72"/>
  <c r="V125" i="72"/>
  <c r="V59" i="72"/>
  <c r="V51" i="72"/>
  <c r="V123" i="72"/>
  <c r="V97" i="72"/>
  <c r="V105" i="72"/>
  <c r="V55" i="72"/>
  <c r="V87" i="72"/>
  <c r="V81" i="72"/>
  <c r="V69" i="72"/>
  <c r="V101" i="72"/>
  <c r="V57" i="72"/>
  <c r="V61" i="72"/>
  <c r="V103" i="72"/>
  <c r="V53" i="72"/>
  <c r="V129" i="72"/>
  <c r="V107" i="72"/>
  <c r="V47" i="72"/>
  <c r="V75" i="72"/>
  <c r="V67" i="72"/>
  <c r="V63" i="72"/>
  <c r="AL128" i="72"/>
  <c r="AL132" i="72"/>
  <c r="AL104" i="72"/>
  <c r="AL66" i="72"/>
  <c r="AL108" i="72"/>
  <c r="AL92" i="72"/>
  <c r="AL86" i="72"/>
  <c r="AL120" i="72"/>
  <c r="AL50" i="72"/>
  <c r="AL72" i="72"/>
  <c r="AL48" i="72"/>
  <c r="AL88" i="72"/>
  <c r="AL62" i="72"/>
  <c r="AL54" i="72"/>
  <c r="AL94" i="72"/>
  <c r="AL82" i="72"/>
  <c r="AL122" i="72"/>
  <c r="AL114" i="72"/>
  <c r="AL112" i="72"/>
  <c r="AL98" i="72"/>
  <c r="AL118" i="72"/>
  <c r="AL52" i="72"/>
  <c r="AL64" i="72"/>
  <c r="AL80" i="72"/>
  <c r="AL68" i="72"/>
  <c r="AL102" i="72"/>
  <c r="AL130" i="72"/>
  <c r="AL74" i="72"/>
  <c r="AL90" i="72"/>
  <c r="AL96" i="72"/>
  <c r="AL124" i="72"/>
  <c r="AL58" i="72"/>
  <c r="AL100" i="72"/>
  <c r="AL78" i="72"/>
  <c r="AL110" i="72"/>
  <c r="AL60" i="72"/>
  <c r="AL70" i="72"/>
  <c r="AL84" i="72"/>
  <c r="AL126" i="72"/>
  <c r="AL56" i="72"/>
  <c r="AL76" i="72"/>
  <c r="AL116" i="72"/>
  <c r="AL106" i="72"/>
  <c r="AH93" i="72"/>
  <c r="AH67" i="72"/>
  <c r="AH127" i="72"/>
  <c r="AH83" i="72"/>
  <c r="AH59" i="72"/>
  <c r="AH95" i="72"/>
  <c r="AH65" i="72"/>
  <c r="AH91" i="72"/>
  <c r="AH57" i="72"/>
  <c r="AH107" i="72"/>
  <c r="AH121" i="72"/>
  <c r="AH103" i="72"/>
  <c r="AH63" i="72"/>
  <c r="AH99" i="72"/>
  <c r="AH101" i="72"/>
  <c r="AH73" i="72"/>
  <c r="AH45" i="72"/>
  <c r="AH77" i="72"/>
  <c r="AH75" i="72"/>
  <c r="AH49" i="72"/>
  <c r="AH125" i="72"/>
  <c r="AH79" i="72"/>
  <c r="AH129" i="72"/>
  <c r="AH111" i="72"/>
  <c r="AH89" i="72"/>
  <c r="AH97" i="72"/>
  <c r="AH81" i="72"/>
  <c r="AH123" i="72"/>
  <c r="AH47" i="72"/>
  <c r="AH87" i="72"/>
  <c r="AH69" i="72"/>
  <c r="AH113" i="72"/>
  <c r="AH51" i="72"/>
  <c r="AH85" i="72"/>
  <c r="AH109" i="72"/>
  <c r="AH61" i="72"/>
  <c r="AH55" i="72"/>
  <c r="AH117" i="72"/>
  <c r="AH53" i="72"/>
  <c r="AH131" i="72"/>
  <c r="AH71" i="72"/>
  <c r="AH105" i="72"/>
  <c r="AH115" i="72"/>
  <c r="AH119" i="72"/>
  <c r="BZ120" i="72"/>
  <c r="BZ60" i="72"/>
  <c r="BZ54" i="72"/>
  <c r="BZ96" i="72"/>
  <c r="BZ72" i="72"/>
  <c r="BZ94" i="72"/>
  <c r="BZ132" i="72"/>
  <c r="BZ82" i="72"/>
  <c r="BZ58" i="72"/>
  <c r="BZ122" i="72"/>
  <c r="BZ114" i="72"/>
  <c r="BZ124" i="72"/>
  <c r="BZ68" i="72"/>
  <c r="BZ112" i="72"/>
  <c r="BZ78" i="72"/>
  <c r="BZ50" i="72"/>
  <c r="BZ130" i="72"/>
  <c r="BZ106" i="72"/>
  <c r="BZ66" i="72"/>
  <c r="BZ118" i="72"/>
  <c r="BZ88" i="72"/>
  <c r="BZ74" i="72"/>
  <c r="BZ110" i="72"/>
  <c r="BZ76" i="72"/>
  <c r="BZ98" i="72"/>
  <c r="BZ90" i="72"/>
  <c r="BZ100" i="72"/>
  <c r="BZ126" i="72"/>
  <c r="BZ92" i="72"/>
  <c r="BZ128" i="72"/>
  <c r="BZ80" i="72"/>
  <c r="BZ104" i="72"/>
  <c r="BZ102" i="72"/>
  <c r="BZ86" i="72"/>
  <c r="BZ62" i="72"/>
  <c r="BZ116" i="72"/>
  <c r="BZ52" i="72"/>
  <c r="BZ56" i="72"/>
  <c r="BZ64" i="72"/>
  <c r="BZ84" i="72"/>
  <c r="BZ108" i="72"/>
  <c r="BZ70" i="72"/>
  <c r="BV49" i="72"/>
  <c r="BV95" i="72"/>
  <c r="BV117" i="72"/>
  <c r="BV109" i="72"/>
  <c r="BV123" i="72"/>
  <c r="BV73" i="72"/>
  <c r="BV75" i="72"/>
  <c r="BV51" i="72"/>
  <c r="BV99" i="72"/>
  <c r="BV107" i="72"/>
  <c r="BV111" i="72"/>
  <c r="BV67" i="72"/>
  <c r="BV129" i="72"/>
  <c r="BV101" i="72"/>
  <c r="BV57" i="72"/>
  <c r="BV69" i="72"/>
  <c r="BV113" i="72"/>
  <c r="BV59" i="72"/>
  <c r="BV61" i="72"/>
  <c r="BV79" i="72"/>
  <c r="BV127" i="72"/>
  <c r="BV63" i="72"/>
  <c r="BV77" i="72"/>
  <c r="BV125" i="72"/>
  <c r="BV105" i="72"/>
  <c r="BV103" i="72"/>
  <c r="BV89" i="72"/>
  <c r="BV115" i="72"/>
  <c r="BV85" i="72"/>
  <c r="BV53" i="72"/>
  <c r="BV65" i="72"/>
  <c r="BV119" i="72"/>
  <c r="BV97" i="72"/>
  <c r="BV55" i="72"/>
  <c r="BV71" i="72"/>
  <c r="BV91" i="72"/>
  <c r="BV131" i="72"/>
  <c r="BV81" i="72"/>
  <c r="BV93" i="72"/>
  <c r="BV87" i="72"/>
  <c r="BV121" i="72"/>
  <c r="BV47" i="72"/>
  <c r="BV83" i="72"/>
  <c r="BJ74" i="72"/>
  <c r="BJ68" i="72"/>
  <c r="BJ46" i="72"/>
  <c r="BJ58" i="72"/>
  <c r="BJ60" i="72"/>
  <c r="BJ72" i="72"/>
  <c r="BJ52" i="72"/>
  <c r="BJ50" i="72"/>
  <c r="BJ64" i="72"/>
  <c r="BJ62" i="72"/>
  <c r="BJ66" i="72"/>
  <c r="BJ56" i="72"/>
  <c r="BJ44" i="72"/>
  <c r="BJ54" i="72"/>
  <c r="BJ48" i="72"/>
  <c r="BJ70" i="72"/>
  <c r="BJ76" i="72"/>
  <c r="BF46" i="72"/>
  <c r="BF64" i="72"/>
  <c r="BF54" i="72"/>
  <c r="BF52" i="72"/>
  <c r="BF76" i="72"/>
  <c r="BF58" i="72"/>
  <c r="BF48" i="72"/>
  <c r="BF60" i="72"/>
  <c r="BF68" i="72"/>
  <c r="BF62" i="72"/>
  <c r="BF70" i="72"/>
  <c r="BF56" i="72"/>
  <c r="BF66" i="72"/>
  <c r="BF74" i="72"/>
  <c r="BF44" i="72"/>
  <c r="BF50" i="72"/>
  <c r="BF72" i="72"/>
  <c r="J54" i="72"/>
  <c r="J62" i="72"/>
  <c r="J90" i="72"/>
  <c r="J64" i="72"/>
  <c r="J124" i="72"/>
  <c r="J130" i="72"/>
  <c r="J86" i="72"/>
  <c r="J66" i="72"/>
  <c r="J58" i="72"/>
  <c r="J92" i="72"/>
  <c r="J46" i="72"/>
  <c r="J44" i="72"/>
  <c r="J108" i="72"/>
  <c r="J94" i="72"/>
  <c r="J50" i="72"/>
  <c r="J96" i="72"/>
  <c r="J56" i="72"/>
  <c r="J116" i="72"/>
  <c r="J106" i="72"/>
  <c r="J78" i="72"/>
  <c r="J74" i="72"/>
  <c r="J118" i="72"/>
  <c r="J88" i="72"/>
  <c r="J122" i="72"/>
  <c r="J128" i="72"/>
  <c r="J100" i="72"/>
  <c r="J132" i="72"/>
  <c r="J110" i="72"/>
  <c r="J60" i="72"/>
  <c r="J82" i="72"/>
  <c r="J52" i="72"/>
  <c r="J76" i="72"/>
  <c r="J98" i="72"/>
  <c r="J112" i="72"/>
  <c r="J104" i="72"/>
  <c r="J102" i="72"/>
  <c r="J84" i="72"/>
  <c r="J72" i="72"/>
  <c r="J70" i="72"/>
  <c r="J120" i="72"/>
  <c r="J114" i="72"/>
  <c r="J68" i="72"/>
  <c r="J126" i="72"/>
  <c r="J48" i="72"/>
  <c r="J80" i="72"/>
  <c r="BR46" i="72"/>
  <c r="BR74" i="72"/>
  <c r="BR52" i="72"/>
  <c r="BR58" i="72"/>
  <c r="BR56" i="72"/>
  <c r="BR48" i="72"/>
  <c r="BR72" i="72"/>
  <c r="BR50" i="72"/>
  <c r="BR66" i="72"/>
  <c r="BR60" i="72"/>
  <c r="BR68" i="72"/>
  <c r="BR64" i="72"/>
  <c r="BR62" i="72"/>
  <c r="BR54" i="72"/>
  <c r="BR70" i="72"/>
  <c r="BR76" i="72"/>
  <c r="BB70" i="72"/>
  <c r="BB52" i="72"/>
  <c r="BB60" i="72"/>
  <c r="BB68" i="72"/>
  <c r="BB44" i="72"/>
  <c r="BB46" i="72"/>
  <c r="BB48" i="72"/>
  <c r="BB66" i="72"/>
  <c r="BB54" i="72"/>
  <c r="BB62" i="72"/>
  <c r="BB50" i="72"/>
  <c r="BB64" i="72"/>
  <c r="BB58" i="72"/>
  <c r="BB56" i="72"/>
  <c r="BB76" i="72"/>
  <c r="BB74" i="72"/>
  <c r="BB72" i="72"/>
  <c r="BB42" i="72"/>
  <c r="BV110" i="72"/>
  <c r="BV116" i="72"/>
  <c r="BV106" i="72"/>
  <c r="BV54" i="72"/>
  <c r="BV70" i="72"/>
  <c r="BV114" i="72"/>
  <c r="BV96" i="72"/>
  <c r="BV68" i="72"/>
  <c r="BV50" i="72"/>
  <c r="BV122" i="72"/>
  <c r="BV56" i="72"/>
  <c r="BV98" i="72"/>
  <c r="BV78" i="72"/>
  <c r="BV62" i="72"/>
  <c r="BV90" i="72"/>
  <c r="BV130" i="72"/>
  <c r="BV108" i="72"/>
  <c r="BV102" i="72"/>
  <c r="BV120" i="72"/>
  <c r="BV66" i="72"/>
  <c r="BV118" i="72"/>
  <c r="BV86" i="72"/>
  <c r="BV60" i="72"/>
  <c r="BV74" i="72"/>
  <c r="BV52" i="72"/>
  <c r="BV80" i="72"/>
  <c r="BV132" i="72"/>
  <c r="BV92" i="72"/>
  <c r="BV128" i="72"/>
  <c r="BV88" i="72"/>
  <c r="BV58" i="72"/>
  <c r="BV72" i="72"/>
  <c r="BV104" i="72"/>
  <c r="BV76" i="72"/>
  <c r="BV94" i="72"/>
  <c r="BV48" i="72"/>
  <c r="BV64" i="72"/>
  <c r="BV84" i="72"/>
  <c r="BV126" i="72"/>
  <c r="BV124" i="72"/>
  <c r="BV82" i="72"/>
  <c r="BV100" i="72"/>
  <c r="BV112" i="72"/>
  <c r="AT55" i="72"/>
  <c r="AT71" i="72"/>
  <c r="AT101" i="72"/>
  <c r="AT103" i="72"/>
  <c r="AT81" i="72"/>
  <c r="AT49" i="72"/>
  <c r="AT47" i="72"/>
  <c r="AT131" i="72"/>
  <c r="AT121" i="72"/>
  <c r="AT107" i="72"/>
  <c r="AT67" i="72"/>
  <c r="AT89" i="72"/>
  <c r="AT63" i="72"/>
  <c r="AT127" i="72"/>
  <c r="AT61" i="72"/>
  <c r="AT91" i="72"/>
  <c r="AT119" i="72"/>
  <c r="AT83" i="72"/>
  <c r="AT117" i="72"/>
  <c r="AT125" i="72"/>
  <c r="AT85" i="72"/>
  <c r="AT95" i="72"/>
  <c r="AT105" i="72"/>
  <c r="AT69" i="72"/>
  <c r="AT75" i="72"/>
  <c r="AT59" i="72"/>
  <c r="AT65" i="72"/>
  <c r="AT97" i="72"/>
  <c r="AT93" i="72"/>
  <c r="AT113" i="72"/>
  <c r="AT129" i="72"/>
  <c r="AT123" i="72"/>
  <c r="AT115" i="72"/>
  <c r="AT79" i="72"/>
  <c r="AT87" i="72"/>
  <c r="AT73" i="72"/>
  <c r="AT57" i="72"/>
  <c r="AT51" i="72"/>
  <c r="AT53" i="72"/>
  <c r="AT111" i="72"/>
  <c r="AT109" i="72"/>
  <c r="AT77" i="72"/>
  <c r="AT99" i="72"/>
  <c r="CH100" i="72"/>
  <c r="CH62" i="72"/>
  <c r="CH84" i="72"/>
  <c r="CH94" i="72"/>
  <c r="CH52" i="72"/>
  <c r="CH124" i="72"/>
  <c r="CH130" i="72"/>
  <c r="CH66" i="72"/>
  <c r="CH86" i="72"/>
  <c r="CH68" i="72"/>
  <c r="CH112" i="72"/>
  <c r="CH128" i="72"/>
  <c r="CH132" i="72"/>
  <c r="CH76" i="72"/>
  <c r="CH108" i="72"/>
  <c r="CH90" i="72"/>
  <c r="CH80" i="72"/>
  <c r="CH50" i="72"/>
  <c r="CH82" i="72"/>
  <c r="CH114" i="72"/>
  <c r="CH58" i="72"/>
  <c r="CH74" i="72"/>
  <c r="CH106" i="72"/>
  <c r="CH54" i="72"/>
  <c r="CH110" i="72"/>
  <c r="CH96" i="72"/>
  <c r="CH126" i="72"/>
  <c r="CH88" i="72"/>
  <c r="CH122" i="72"/>
  <c r="CH98" i="72"/>
  <c r="CH64" i="72"/>
  <c r="CH56" i="72"/>
  <c r="CH78" i="72"/>
  <c r="CH118" i="72"/>
  <c r="CH72" i="72"/>
  <c r="CH104" i="72"/>
  <c r="CH120" i="72"/>
  <c r="CH70" i="72"/>
  <c r="CH92" i="72"/>
  <c r="CH102" i="72"/>
  <c r="CH116" i="72"/>
  <c r="CH60" i="72"/>
  <c r="CD87" i="72"/>
  <c r="CD111" i="72"/>
  <c r="CD61" i="72"/>
  <c r="CD99" i="72"/>
  <c r="CD57" i="72"/>
  <c r="CD121" i="72"/>
  <c r="CD85" i="72"/>
  <c r="CD81" i="72"/>
  <c r="CD73" i="72"/>
  <c r="CD125" i="72"/>
  <c r="CD63" i="72"/>
  <c r="CD75" i="72"/>
  <c r="CD127" i="72"/>
  <c r="CD95" i="72"/>
  <c r="CD79" i="72"/>
  <c r="CD97" i="72"/>
  <c r="CD69" i="72"/>
  <c r="CD119" i="72"/>
  <c r="CD115" i="72"/>
  <c r="CD89" i="72"/>
  <c r="CD65" i="72"/>
  <c r="CD101" i="72"/>
  <c r="CD109" i="72"/>
  <c r="CD105" i="72"/>
  <c r="CD55" i="72"/>
  <c r="CD91" i="72"/>
  <c r="CD53" i="72"/>
  <c r="CD123" i="72"/>
  <c r="CD51" i="72"/>
  <c r="CD113" i="72"/>
  <c r="CD71" i="72"/>
  <c r="CD107" i="72"/>
  <c r="CD59" i="72"/>
  <c r="CD77" i="72"/>
  <c r="CD67" i="72"/>
  <c r="CD131" i="72"/>
  <c r="CD129" i="72"/>
  <c r="CD103" i="72"/>
  <c r="CD83" i="72"/>
  <c r="CD93" i="72"/>
  <c r="CD117" i="72"/>
  <c r="CD49" i="72"/>
  <c r="AP104" i="72"/>
  <c r="AP130" i="72"/>
  <c r="AP62" i="72"/>
  <c r="AP82" i="72"/>
  <c r="AP58" i="72"/>
  <c r="AP96" i="72"/>
  <c r="AP126" i="72"/>
  <c r="AP114" i="72"/>
  <c r="AP88" i="72"/>
  <c r="AP112" i="72"/>
  <c r="AP128" i="72"/>
  <c r="AP122" i="72"/>
  <c r="AP50" i="72"/>
  <c r="AP72" i="72"/>
  <c r="AP64" i="72"/>
  <c r="AP80" i="72"/>
  <c r="AP108" i="72"/>
  <c r="AP100" i="72"/>
  <c r="AP124" i="72"/>
  <c r="AP78" i="72"/>
  <c r="AP66" i="72"/>
  <c r="AP110" i="72"/>
  <c r="AP52" i="72"/>
  <c r="AP84" i="72"/>
  <c r="AP106" i="72"/>
  <c r="AP48" i="72"/>
  <c r="AP118" i="72"/>
  <c r="AP70" i="72"/>
  <c r="AP102" i="72"/>
  <c r="AP68" i="72"/>
  <c r="AP92" i="72"/>
  <c r="AP74" i="72"/>
  <c r="AP94" i="72"/>
  <c r="AP132" i="72"/>
  <c r="AP98" i="72"/>
  <c r="AP86" i="72"/>
  <c r="AP54" i="72"/>
  <c r="AP120" i="72"/>
  <c r="AP56" i="72"/>
  <c r="AP60" i="72"/>
  <c r="AP90" i="72"/>
  <c r="AP76" i="72"/>
  <c r="AP116" i="72"/>
  <c r="BB69" i="72"/>
  <c r="BB65" i="72"/>
  <c r="BB61" i="72"/>
  <c r="BB53" i="72"/>
  <c r="BB75" i="72"/>
  <c r="BB67" i="72"/>
  <c r="BB43" i="72"/>
  <c r="BB41" i="72"/>
  <c r="BB73" i="72"/>
  <c r="BB55" i="72"/>
  <c r="BB49" i="72"/>
  <c r="BB47" i="72"/>
  <c r="BB51" i="72"/>
  <c r="BB63" i="72"/>
  <c r="BB45" i="72"/>
  <c r="BB57" i="72"/>
  <c r="BB59" i="72"/>
  <c r="BB71" i="72"/>
  <c r="N130" i="72"/>
  <c r="N70" i="72"/>
  <c r="N112" i="72"/>
  <c r="N56" i="72"/>
  <c r="N78" i="72"/>
  <c r="N62" i="72"/>
  <c r="N72" i="72"/>
  <c r="N52" i="72"/>
  <c r="N48" i="72"/>
  <c r="N114" i="72"/>
  <c r="N118" i="72"/>
  <c r="N42" i="72"/>
  <c r="CM42" i="72" s="1"/>
  <c r="CN42" i="72" s="1"/>
  <c r="N64" i="72"/>
  <c r="N98" i="72"/>
  <c r="N124" i="72"/>
  <c r="N54" i="72"/>
  <c r="N68" i="72"/>
  <c r="N46" i="72"/>
  <c r="N76" i="72"/>
  <c r="N90" i="72"/>
  <c r="N86" i="72"/>
  <c r="N116" i="72"/>
  <c r="N74" i="72"/>
  <c r="N120" i="72"/>
  <c r="N58" i="72"/>
  <c r="N92" i="72"/>
  <c r="N66" i="72"/>
  <c r="N126" i="72"/>
  <c r="N84" i="72"/>
  <c r="N94" i="72"/>
  <c r="N122" i="72"/>
  <c r="N50" i="72"/>
  <c r="N82" i="72"/>
  <c r="N80" i="72"/>
  <c r="N110" i="72"/>
  <c r="N102" i="72"/>
  <c r="N104" i="72"/>
  <c r="N44" i="72"/>
  <c r="N100" i="72"/>
  <c r="N96" i="72"/>
  <c r="N108" i="72"/>
  <c r="N128" i="72"/>
  <c r="N60" i="72"/>
  <c r="N106" i="72"/>
  <c r="N88" i="72"/>
  <c r="AX69" i="72"/>
  <c r="AX67" i="72"/>
  <c r="AX53" i="72"/>
  <c r="AX55" i="72"/>
  <c r="AX65" i="72"/>
  <c r="AX71" i="72"/>
  <c r="AX57" i="72"/>
  <c r="AX73" i="72"/>
  <c r="AX63" i="72"/>
  <c r="AX43" i="72"/>
  <c r="AX75" i="72"/>
  <c r="AX51" i="72"/>
  <c r="AX47" i="72"/>
  <c r="AX59" i="72"/>
  <c r="AX49" i="72"/>
  <c r="AX45" i="72"/>
  <c r="AX61" i="72"/>
  <c r="AX41" i="72"/>
  <c r="BJ47" i="72"/>
  <c r="BJ63" i="72"/>
  <c r="BJ45" i="72"/>
  <c r="BJ43" i="72"/>
  <c r="BJ73" i="72"/>
  <c r="BJ67" i="72"/>
  <c r="BJ61" i="72"/>
  <c r="BJ65" i="72"/>
  <c r="BJ51" i="72"/>
  <c r="BJ57" i="72"/>
  <c r="BJ69" i="72"/>
  <c r="BJ59" i="72"/>
  <c r="BJ71" i="72"/>
  <c r="BJ55" i="72"/>
  <c r="BJ53" i="72"/>
  <c r="BJ49" i="72"/>
  <c r="BJ75" i="72"/>
  <c r="CP42" i="72" l="1"/>
  <c r="BZ39" i="72"/>
  <c r="CM103" i="72"/>
  <c r="CO103" i="72" s="1"/>
  <c r="CM125" i="72"/>
  <c r="CO125" i="72" s="1"/>
  <c r="CM75" i="72"/>
  <c r="CO75" i="72" s="1"/>
  <c r="CM105" i="72"/>
  <c r="CO105" i="72" s="1"/>
  <c r="CM91" i="72"/>
  <c r="CO91" i="72" s="1"/>
  <c r="CM65" i="72"/>
  <c r="CO65" i="72" s="1"/>
  <c r="CM101" i="72"/>
  <c r="CO101" i="72" s="1"/>
  <c r="CM61" i="72"/>
  <c r="CO61" i="72" s="1"/>
  <c r="CM63" i="72"/>
  <c r="CO63" i="72" s="1"/>
  <c r="CM109" i="72"/>
  <c r="CO109" i="72" s="1"/>
  <c r="CM115" i="72"/>
  <c r="CO115" i="72" s="1"/>
  <c r="CM108" i="72"/>
  <c r="CN108" i="72" s="1"/>
  <c r="CM130" i="72"/>
  <c r="CN130" i="72" s="1"/>
  <c r="CM92" i="72"/>
  <c r="CN92" i="72" s="1"/>
  <c r="CM88" i="72"/>
  <c r="CN88" i="72" s="1"/>
  <c r="CM128" i="72"/>
  <c r="CN128" i="72" s="1"/>
  <c r="CM120" i="72"/>
  <c r="CN120" i="72" s="1"/>
  <c r="CM78" i="72"/>
  <c r="CN78" i="72" s="1"/>
  <c r="CM86" i="72"/>
  <c r="CN86" i="72" s="1"/>
  <c r="CM60" i="72"/>
  <c r="CN60" i="72" s="1"/>
  <c r="CM96" i="72"/>
  <c r="CN96" i="72" s="1"/>
  <c r="CM74" i="72"/>
  <c r="CN74" i="72" s="1"/>
  <c r="CM111" i="72"/>
  <c r="CO111" i="72" s="1"/>
  <c r="CM85" i="72"/>
  <c r="CO85" i="72" s="1"/>
  <c r="CM121" i="72"/>
  <c r="CO121" i="72" s="1"/>
  <c r="CM95" i="72"/>
  <c r="CO95" i="72" s="1"/>
  <c r="CM59" i="72"/>
  <c r="CO59" i="72" s="1"/>
  <c r="CM47" i="72"/>
  <c r="CO47" i="72" s="1"/>
  <c r="CM69" i="72"/>
  <c r="CO69" i="72" s="1"/>
  <c r="CM113" i="72"/>
  <c r="CO113" i="72" s="1"/>
  <c r="CM81" i="72"/>
  <c r="CO81" i="72" s="1"/>
  <c r="CM83" i="72"/>
  <c r="CO83" i="72" s="1"/>
  <c r="CM53" i="72"/>
  <c r="CO53" i="72" s="1"/>
  <c r="CM54" i="72"/>
  <c r="CN54" i="72" s="1"/>
  <c r="CM116" i="72"/>
  <c r="CN116" i="72" s="1"/>
  <c r="CM58" i="72"/>
  <c r="CN58" i="72" s="1"/>
  <c r="CM68" i="72"/>
  <c r="CN68" i="72" s="1"/>
  <c r="CM104" i="72"/>
  <c r="CN104" i="72" s="1"/>
  <c r="CM50" i="72"/>
  <c r="CN50" i="72" s="1"/>
  <c r="CM126" i="72"/>
  <c r="CN126" i="72" s="1"/>
  <c r="CM132" i="72"/>
  <c r="CN132" i="72" s="1"/>
  <c r="CM102" i="72"/>
  <c r="CN102" i="72" s="1"/>
  <c r="CM82" i="72"/>
  <c r="CN82" i="72" s="1"/>
  <c r="CM110" i="72"/>
  <c r="CN110" i="72" s="1"/>
  <c r="CM93" i="72"/>
  <c r="CO93" i="72" s="1"/>
  <c r="CM87" i="72"/>
  <c r="CO87" i="72" s="1"/>
  <c r="CM67" i="72"/>
  <c r="CO67" i="72" s="1"/>
  <c r="CM117" i="72"/>
  <c r="CO117" i="72" s="1"/>
  <c r="CM57" i="72"/>
  <c r="CO57" i="72" s="1"/>
  <c r="CM123" i="72"/>
  <c r="CO123" i="72" s="1"/>
  <c r="CM49" i="72"/>
  <c r="CO49" i="72" s="1"/>
  <c r="CM129" i="72"/>
  <c r="CO129" i="72" s="1"/>
  <c r="CM55" i="72"/>
  <c r="CO55" i="72" s="1"/>
  <c r="CM79" i="72"/>
  <c r="CO79" i="72" s="1"/>
  <c r="CM127" i="72"/>
  <c r="CO127" i="72" s="1"/>
  <c r="CM43" i="72"/>
  <c r="CO43" i="72" s="1"/>
  <c r="CM98" i="72"/>
  <c r="CN98" i="72" s="1"/>
  <c r="CM122" i="72"/>
  <c r="CN122" i="72" s="1"/>
  <c r="CM106" i="72"/>
  <c r="CN106" i="72" s="1"/>
  <c r="CM90" i="72"/>
  <c r="CN90" i="72" s="1"/>
  <c r="CM94" i="72"/>
  <c r="CN94" i="72" s="1"/>
  <c r="CM72" i="72"/>
  <c r="CN72" i="72" s="1"/>
  <c r="CM80" i="72"/>
  <c r="CN80" i="72" s="1"/>
  <c r="CM64" i="72"/>
  <c r="CN64" i="72" s="1"/>
  <c r="CM62" i="72"/>
  <c r="CN62" i="72" s="1"/>
  <c r="CM100" i="72"/>
  <c r="CN100" i="72" s="1"/>
  <c r="CM124" i="72"/>
  <c r="CN124" i="72" s="1"/>
  <c r="CM44" i="72"/>
  <c r="CN44" i="72" s="1"/>
  <c r="CP44" i="72" s="1"/>
  <c r="CM119" i="72"/>
  <c r="CO119" i="72" s="1"/>
  <c r="CM45" i="72"/>
  <c r="CO45" i="72" s="1"/>
  <c r="CM97" i="72"/>
  <c r="CO97" i="72" s="1"/>
  <c r="CM51" i="72"/>
  <c r="CO51" i="72" s="1"/>
  <c r="CM99" i="72"/>
  <c r="CO99" i="72" s="1"/>
  <c r="CM77" i="72"/>
  <c r="CO77" i="72" s="1"/>
  <c r="CM73" i="72"/>
  <c r="CO73" i="72" s="1"/>
  <c r="CM131" i="72"/>
  <c r="CO131" i="72" s="1"/>
  <c r="CM107" i="72"/>
  <c r="CO107" i="72" s="1"/>
  <c r="CM71" i="72"/>
  <c r="CO71" i="72" s="1"/>
  <c r="CM89" i="72"/>
  <c r="CO89" i="72" s="1"/>
  <c r="CM56" i="72"/>
  <c r="CN56" i="72" s="1"/>
  <c r="CM76" i="72"/>
  <c r="CN76" i="72" s="1"/>
  <c r="CM46" i="72"/>
  <c r="CN46" i="72" s="1"/>
  <c r="CP46" i="72" s="1"/>
  <c r="CM52" i="72"/>
  <c r="CN52" i="72" s="1"/>
  <c r="CM112" i="72"/>
  <c r="CN112" i="72" s="1"/>
  <c r="CM84" i="72"/>
  <c r="CN84" i="72" s="1"/>
  <c r="CM48" i="72"/>
  <c r="CN48" i="72" s="1"/>
  <c r="CM66" i="72"/>
  <c r="CN66" i="72" s="1"/>
  <c r="CM118" i="72"/>
  <c r="CN118" i="72" s="1"/>
  <c r="CM114" i="72"/>
  <c r="CN114" i="72" s="1"/>
  <c r="CM70" i="72"/>
  <c r="CN70" i="72" s="1"/>
  <c r="CP56" i="72" l="1"/>
  <c r="CP48" i="72"/>
  <c r="CP52" i="72"/>
  <c r="CP54" i="72"/>
  <c r="H279" i="48" s="1"/>
  <c r="H281" i="48" s="1"/>
  <c r="H285" i="48" s="1"/>
  <c r="H287" i="48" s="1"/>
  <c r="F203" i="65" s="1"/>
  <c r="I203" i="65" s="1"/>
  <c r="I206" i="65" s="1"/>
  <c r="CP50" i="72"/>
  <c r="K203" i="65" l="1"/>
  <c r="K206" i="65" s="1"/>
</calcChain>
</file>

<file path=xl/sharedStrings.xml><?xml version="1.0" encoding="utf-8"?>
<sst xmlns="http://schemas.openxmlformats.org/spreadsheetml/2006/main" count="2154" uniqueCount="875">
  <si>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</si>
  <si>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</si>
  <si>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</si>
  <si>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</si>
  <si>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</si>
  <si>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</si>
  <si>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</si>
  <si>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</si>
  <si>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Total Transmission Related Reserves</t>
  </si>
  <si>
    <t>Description of the Prepayments</t>
  </si>
  <si>
    <t>Total Account 454 and 456</t>
  </si>
  <si>
    <t>Amount offset in line 4 above</t>
  </si>
  <si>
    <t>Total Income Taxes</t>
  </si>
  <si>
    <t>Summary</t>
  </si>
  <si>
    <t>Net Property, Plant &amp; Equipment</t>
  </si>
  <si>
    <t>Taxes Other than Income</t>
  </si>
  <si>
    <t>Common Stock</t>
  </si>
  <si>
    <t>(Note P)</t>
  </si>
  <si>
    <t>Revenue Credits</t>
  </si>
  <si>
    <t>C</t>
  </si>
  <si>
    <t>Common Depreciation - Electric Only</t>
  </si>
  <si>
    <t>Gross Plant Allocator</t>
  </si>
  <si>
    <t>Total  Capitalization</t>
  </si>
  <si>
    <t>Total Long Term Debt</t>
  </si>
  <si>
    <t>Total Return ( R )</t>
  </si>
  <si>
    <t>Form No. 1 balance (p.266)</t>
  </si>
  <si>
    <t>Immaterial</t>
  </si>
  <si>
    <t>In filling out this attachment, a full and complete description of each item and justification for the allocation to Columns A-D and each separate ADIT item will be listed, dissimilar items</t>
  </si>
  <si>
    <t>Total Long Term Debt (WCLTD)</t>
  </si>
  <si>
    <t>REVENUE REQUIREMENT</t>
  </si>
  <si>
    <t>I</t>
  </si>
  <si>
    <t>Total Taxes Other than Income</t>
  </si>
  <si>
    <t>J</t>
  </si>
  <si>
    <t>Long Term Interest</t>
  </si>
  <si>
    <t>Long Term Debt</t>
  </si>
  <si>
    <t>Downtown Project 2007</t>
  </si>
  <si>
    <t xml:space="preserve">    Less LTD Interest on Securitization Bonds</t>
  </si>
  <si>
    <t>p323.160b</t>
  </si>
  <si>
    <t>p323.162b</t>
  </si>
  <si>
    <t>Depreciation Expense</t>
  </si>
  <si>
    <t>Accumulated Depreciation (Total Electric Plant)</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</si>
  <si>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</si>
  <si>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</si>
  <si>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</si>
  <si>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</si>
  <si>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</si>
  <si>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</si>
  <si>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</si>
  <si>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</si>
  <si>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</si>
  <si>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</si>
  <si>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</si>
  <si>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</si>
  <si>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</si>
  <si>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p354.21.b</t>
  </si>
  <si>
    <t>p354.28b</t>
  </si>
  <si>
    <t>p354.27b</t>
  </si>
  <si>
    <t>p207.104g</t>
  </si>
  <si>
    <t>p219.29c</t>
  </si>
  <si>
    <t>p205.5.g &amp; p207.99.g</t>
  </si>
  <si>
    <t xml:space="preserve">p219.28.c </t>
  </si>
  <si>
    <t>p321.112.b</t>
  </si>
  <si>
    <t>p321.96.b</t>
  </si>
  <si>
    <t>p323.185.b</t>
  </si>
  <si>
    <t>p323.189.b</t>
  </si>
  <si>
    <t>p323.191.b</t>
  </si>
  <si>
    <t>p323.189b</t>
  </si>
  <si>
    <t>p336.10 b&amp;c</t>
  </si>
  <si>
    <t>p356 or p336.11d</t>
  </si>
  <si>
    <t>(Line 192)</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</si>
  <si>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</si>
  <si>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</si>
  <si>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</si>
  <si>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Schedule 1A</t>
  </si>
  <si>
    <t>Other Taxes</t>
  </si>
  <si>
    <t>Downtown Project 2009</t>
  </si>
  <si>
    <t>p207.95g</t>
  </si>
  <si>
    <t>p207.58.g</t>
  </si>
  <si>
    <t>p219.25.c</t>
  </si>
  <si>
    <t>(Notes A &amp; L)</t>
  </si>
  <si>
    <t>p266.h</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</si>
  <si>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</si>
  <si>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</si>
  <si>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</si>
  <si>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</si>
  <si>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</si>
  <si>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</si>
  <si>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</si>
  <si>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</si>
  <si>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</si>
  <si>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</si>
  <si>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</si>
  <si>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</si>
  <si>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(Note S)</t>
  </si>
  <si>
    <t xml:space="preserve">All Regulatory Commission Expenses </t>
  </si>
  <si>
    <t>General &amp; Common Expenses Allocated to Transmission</t>
  </si>
  <si>
    <t>Total Materials &amp; Supplies Allocated to Transmission</t>
  </si>
  <si>
    <t>Materials and Supplies</t>
  </si>
  <si>
    <t>Included in cost of debt computation</t>
  </si>
  <si>
    <t>Company Records</t>
  </si>
  <si>
    <t>P</t>
  </si>
  <si>
    <t>x</t>
  </si>
  <si>
    <t>Accumulated Depreciation</t>
  </si>
  <si>
    <t>Prepayments</t>
  </si>
  <si>
    <t>Cash Working Capital</t>
  </si>
  <si>
    <t>Allocators</t>
  </si>
  <si>
    <t>Less A&amp;G Wages Expense</t>
  </si>
  <si>
    <t>Common Plant In Service - Electric</t>
  </si>
  <si>
    <t>Transmission Gross Plant</t>
  </si>
  <si>
    <t>Transmission Net Plant</t>
  </si>
  <si>
    <t>Total Accumulated Depreciation</t>
  </si>
  <si>
    <t>Total Plant In Service</t>
  </si>
  <si>
    <t>Wages &amp; Salary Allocation Factor</t>
  </si>
  <si>
    <t>TOTAL Plant In Service</t>
  </si>
  <si>
    <t>Common Plant (Electric Only)</t>
  </si>
  <si>
    <t>Prepaid Pensions</t>
  </si>
  <si>
    <t xml:space="preserve">Included amount associated with proceedings before FERC.  </t>
  </si>
  <si>
    <t>Less extraordinary property losses</t>
  </si>
  <si>
    <t>Plus amotization of extraordinary property losses</t>
  </si>
  <si>
    <t>Extraordinary Property Loss</t>
  </si>
  <si>
    <t>Number of years</t>
  </si>
  <si>
    <t>w/ interest</t>
  </si>
  <si>
    <t xml:space="preserve">     Plus Schedule 12 payments billed to Transmission Owner and booked to Account 565</t>
  </si>
  <si>
    <t>Payments made under Schedule 12 of the PJM OATT that are not directly assessed to load in the zone under Schedule 12 are included in Transmission O&amp;M.</t>
  </si>
  <si>
    <t>If they are booked to account 565, they are included in on line 64.</t>
  </si>
  <si>
    <t>Securitization bonds may be included in the capital structure per settlement in ER05-515.</t>
  </si>
  <si>
    <t>As provided for in Section 34.1 of the PJM OATT and the PJM established billing determinants will not be revised or updated in the annual rate reconciliations per settlement in ER05-515.</t>
  </si>
  <si>
    <t>Plus any increased ROE calculated on Attachment 7 other than PJM Sch. 12 projects</t>
  </si>
  <si>
    <t>Attachment 7</t>
  </si>
  <si>
    <t>Schedule 12</t>
  </si>
  <si>
    <t>Account 456 - Other Electric Revenues (Note 1)</t>
  </si>
  <si>
    <t>Net Revenues (17a - 17b)</t>
  </si>
  <si>
    <t>50% Share of Net Revenues (17c/2)</t>
  </si>
  <si>
    <t>Net Revenue Credit (17d + 17e)</t>
  </si>
  <si>
    <t>NOTES:</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</si>
  <si>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</si>
  <si>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may be weighted average of small projects</t>
  </si>
  <si>
    <t>Rent from Electric Property - Transmission Related (Note 3)</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</si>
  <si>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</si>
  <si>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</si>
  <si>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</si>
  <si>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</si>
  <si>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</si>
  <si>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Total Electric Administrative &amp; General Cost Support</t>
  </si>
  <si>
    <t>Merger Costs</t>
  </si>
  <si>
    <t>Not Merger Related</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</si>
  <si>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utilize lines 17a - 17g, the utility must track in separate subaccounts the revenues and costs associated with each secondary use (except for the cost of the associated income taxes).</t>
  </si>
  <si>
    <t>Year 2</t>
  </si>
  <si>
    <t>Post results of Step 3 on PJM web site</t>
  </si>
  <si>
    <t>Year 3</t>
  </si>
  <si>
    <t>Reconciliation - TO adds the difference between the Reconciliation in Step 8 and the forecast in Line 5 with interest to the result of Step 7 (this difference is also added to Step 8 in the subsequent year)</t>
  </si>
  <si>
    <t>Post results of Step 9 on PJM web site</t>
  </si>
  <si>
    <t xml:space="preserve">Must run Appendix A with cap adds from row 99 in line 21 &amp; line 20 filled as per row 85 to get this number </t>
  </si>
  <si>
    <t>Rev Req based on Year 1 data without Cap Adds</t>
  </si>
  <si>
    <t>New Transmission Plant Additions for Year 2  (weighted by months in service)</t>
  </si>
  <si>
    <t>New Transmission Plant Additions for Year 3  (weighted by months in service)</t>
  </si>
  <si>
    <t>Revenue Requirement for Year 3</t>
  </si>
  <si>
    <t>Rev Req based on Current Year data with estimated Cap Adds for Year 3 (Step 8)</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</si>
  <si>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</si>
  <si>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</si>
  <si>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</si>
  <si>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</si>
  <si>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</si>
  <si>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</si>
  <si>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</si>
  <si>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</si>
  <si>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</si>
  <si>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</si>
  <si>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</si>
  <si>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</si>
  <si>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</si>
  <si>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 xml:space="preserve">    Plus Securitization Adjustment</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</si>
  <si>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</si>
  <si>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</si>
  <si>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</si>
  <si>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</si>
  <si>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</si>
  <si>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</si>
  <si>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</si>
  <si>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</si>
  <si>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p118.29c</t>
  </si>
  <si>
    <t>p227.6c &amp; 15.c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</si>
  <si>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</si>
  <si>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</si>
  <si>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</si>
  <si>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</si>
  <si>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</si>
  <si>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</si>
  <si>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</si>
  <si>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</si>
  <si>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</si>
  <si>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</si>
  <si>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</si>
  <si>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</si>
  <si>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</si>
  <si>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</si>
  <si>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Total A&amp;G</t>
  </si>
  <si>
    <t>General &amp; Intangible</t>
  </si>
  <si>
    <t>Transmission Plant In Service</t>
  </si>
  <si>
    <t>Note ADIT associated with Gain or Loss on Reacquired Debt is included in Column A here and included in Cost of Debt on Appendix A, Line 110</t>
  </si>
  <si>
    <t>Total General &amp; Common</t>
  </si>
  <si>
    <t>TOTAL Accumulated Depreciation</t>
  </si>
  <si>
    <t>TOTAL Net Property, Plant &amp; Equipment</t>
  </si>
  <si>
    <t>Adjustment to Rate Base</t>
  </si>
  <si>
    <t>Plant Calculations</t>
  </si>
  <si>
    <t>Net Plant</t>
  </si>
  <si>
    <t>Net Plant Allocator</t>
  </si>
  <si>
    <t>Rate Base</t>
  </si>
  <si>
    <t xml:space="preserve">Income Tax Component = </t>
  </si>
  <si>
    <t>Accumulated Common Amortization - Electric</t>
  </si>
  <si>
    <t>p352-353</t>
  </si>
  <si>
    <t>p336.7b&amp;c</t>
  </si>
  <si>
    <t>Gas-related &amp; accordingly excluded</t>
  </si>
  <si>
    <t xml:space="preserve"> enter positive</t>
  </si>
  <si>
    <t xml:space="preserve">     CIT=(T/1-T) * Investment Return * (1-(WCLTD/R)) =</t>
  </si>
  <si>
    <t>Plant Allocation Factors</t>
  </si>
  <si>
    <t>Wage &amp; Salary Allocation Factor</t>
  </si>
  <si>
    <t>p227.8c</t>
  </si>
  <si>
    <t>1/8th Rule</t>
  </si>
  <si>
    <t>TOTAL Adjustment to Rate Base</t>
  </si>
  <si>
    <t>General Depreciation</t>
  </si>
  <si>
    <t>(Note T)</t>
  </si>
  <si>
    <t>Total</t>
  </si>
  <si>
    <t>B</t>
  </si>
  <si>
    <t>Proprietary Capital</t>
  </si>
  <si>
    <t>Operation &amp; Maintenance Expense</t>
  </si>
  <si>
    <t>(Note A)</t>
  </si>
  <si>
    <t>(Note C)</t>
  </si>
  <si>
    <t>(Note L)</t>
  </si>
  <si>
    <t>p323.156b</t>
  </si>
  <si>
    <t>Amortized Investment Tax Credit</t>
  </si>
  <si>
    <t>Prepayments (Account 165)</t>
  </si>
  <si>
    <t>Total Transmission Allocated</t>
  </si>
  <si>
    <t>Transmission Accumulated Depreciation</t>
  </si>
  <si>
    <t>Electric Plant in Service</t>
  </si>
  <si>
    <t>Investment Return</t>
  </si>
  <si>
    <t>Income Taxes</t>
  </si>
  <si>
    <t>Gross Revenue Requirement</t>
  </si>
  <si>
    <t xml:space="preserve">    Less EPRI Dues</t>
  </si>
  <si>
    <t>Subtotal - Transmission Related</t>
  </si>
  <si>
    <t>T/(1-T)</t>
  </si>
  <si>
    <t>T/ (1-T)</t>
  </si>
  <si>
    <t>p</t>
  </si>
  <si>
    <t>(percent of federal income tax deductible for state purposes)</t>
  </si>
  <si>
    <t>Notes</t>
  </si>
  <si>
    <t>Accumulated Intangible Amortization</t>
  </si>
  <si>
    <t>Accumulated Common Plant Depreciation - Electric</t>
  </si>
  <si>
    <t>Allocator</t>
  </si>
  <si>
    <t>p214</t>
  </si>
  <si>
    <t>p110.46d</t>
  </si>
  <si>
    <t>x 1/8</t>
  </si>
  <si>
    <t>enter negative</t>
  </si>
  <si>
    <t>Fixed</t>
  </si>
  <si>
    <t>(Note Q)</t>
  </si>
  <si>
    <t>T</t>
  </si>
  <si>
    <t>Net Revenue Requirement</t>
  </si>
  <si>
    <t>O&amp;M</t>
  </si>
  <si>
    <t xml:space="preserve">     Less Account 565</t>
  </si>
  <si>
    <t>p200.21c</t>
  </si>
  <si>
    <t>Subtotal</t>
  </si>
  <si>
    <t>Electric portion only</t>
  </si>
  <si>
    <t>Transmission Portion Only</t>
  </si>
  <si>
    <t>(Notes A &amp; B)</t>
  </si>
  <si>
    <t>Accumulated Investment Tax Credit Account No. 255</t>
  </si>
  <si>
    <t xml:space="preserve">    Less Property Insurance Account 924</t>
  </si>
  <si>
    <t xml:space="preserve">    Less Regulatory Commission Exp Account 928</t>
  </si>
  <si>
    <t xml:space="preserve">    Less General Advertising Exp Account 930.1</t>
  </si>
  <si>
    <t>(Note G)</t>
  </si>
  <si>
    <t>Regulatory Commission Exp Account 928</t>
  </si>
  <si>
    <t>General Advertising Exp Account 930.1</t>
  </si>
  <si>
    <t>Property Insurance Account 924</t>
  </si>
  <si>
    <t>(Note I)</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</si>
  <si>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</si>
  <si>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</si>
  <si>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</si>
  <si>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</si>
  <si>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</si>
  <si>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</si>
  <si>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</si>
  <si>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</si>
  <si>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</si>
  <si>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</si>
  <si>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</si>
  <si>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</si>
  <si>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</si>
  <si>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</si>
  <si>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</si>
  <si>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</si>
  <si>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Personal property</t>
  </si>
  <si>
    <t>Miscellaneous</t>
  </si>
  <si>
    <t>Unemployment</t>
  </si>
  <si>
    <t>Use &amp; Sales Tax</t>
  </si>
  <si>
    <t>Franchise</t>
  </si>
  <si>
    <t>PURTA</t>
  </si>
  <si>
    <t>Capital Stock Tax</t>
  </si>
  <si>
    <t>Corp License</t>
  </si>
  <si>
    <t>Accumulated Deferred Income Taxes</t>
  </si>
  <si>
    <t xml:space="preserve">Safety related advertising included in Account 930.1  </t>
  </si>
  <si>
    <t xml:space="preserve">Education and outreach expenses relating to transmission, for example siting or billing </t>
  </si>
  <si>
    <t>(Note B)</t>
  </si>
  <si>
    <t xml:space="preserve">Plant </t>
  </si>
  <si>
    <t>Related</t>
  </si>
  <si>
    <t>Labor</t>
  </si>
  <si>
    <t>Gas, Prod</t>
  </si>
  <si>
    <t>Or Other</t>
  </si>
  <si>
    <t>Only</t>
  </si>
  <si>
    <t>Instructions for Account 190:</t>
  </si>
  <si>
    <t>Instructions for Account 283:</t>
  </si>
  <si>
    <t>Instructions for Account 282:</t>
  </si>
  <si>
    <t>2.  ADIT items related only to Transmission are directly assigned to Column B</t>
  </si>
  <si>
    <t>3.  ADIT items related Plant and not in Columns A &amp; B are directly assigned to Column C</t>
  </si>
  <si>
    <t>4.  ADIT items related to labor and not in Columns A &amp; B are directly assigned to Column D</t>
  </si>
  <si>
    <t>Page 1 of 4</t>
  </si>
  <si>
    <t>Page 2 of 4</t>
  </si>
  <si>
    <t>Page 3 of 4</t>
  </si>
  <si>
    <t>Page 4 of 4</t>
  </si>
  <si>
    <t>Subtotal - p234</t>
  </si>
  <si>
    <t>ADIT</t>
  </si>
  <si>
    <t>1.  ADIT items related only to Non-Electric Operations (e.g., Gas, Water, Sewer) or Production are directly assigned to Column A</t>
  </si>
  <si>
    <t>Plant Related</t>
  </si>
  <si>
    <t>Page 263</t>
  </si>
  <si>
    <t>Col (i)</t>
  </si>
  <si>
    <t>Gross Premium (insurance) Tax</t>
  </si>
  <si>
    <t>Labor Related</t>
  </si>
  <si>
    <t>Other Included</t>
  </si>
  <si>
    <t>Total Plant Related</t>
  </si>
  <si>
    <t>Total Labor Related</t>
  </si>
  <si>
    <t>Total Other Included</t>
  </si>
  <si>
    <t>Currently Excluded</t>
  </si>
  <si>
    <t>Allocated</t>
  </si>
  <si>
    <t>Amount</t>
  </si>
  <si>
    <t>ADIT net of FASB 106 and 109</t>
  </si>
  <si>
    <t>Exhibit B</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</si>
  <si>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</si>
  <si>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</si>
  <si>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</si>
  <si>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</si>
  <si>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</si>
  <si>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</si>
  <si>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Net Transmission Plant</t>
  </si>
  <si>
    <t>Line #</t>
  </si>
  <si>
    <t>Note</t>
  </si>
  <si>
    <t>Project A</t>
  </si>
  <si>
    <t>Life</t>
  </si>
  <si>
    <t>CIAC</t>
  </si>
  <si>
    <t>Details</t>
  </si>
  <si>
    <t>Invest Yr</t>
  </si>
  <si>
    <t>ROE Incentive</t>
  </si>
  <si>
    <t>No</t>
  </si>
  <si>
    <t>Yes</t>
  </si>
  <si>
    <t>W Incentive</t>
  </si>
  <si>
    <t>FCR if a CIAC</t>
  </si>
  <si>
    <t>FCR if not a CIAC</t>
  </si>
  <si>
    <t>FCR for This Project</t>
  </si>
  <si>
    <t xml:space="preserve">Line B less Line A </t>
  </si>
  <si>
    <t>Investment</t>
  </si>
  <si>
    <t>Annual Depreciation Exp</t>
  </si>
  <si>
    <t xml:space="preserve">For Reconciliation only - remove New Transmission Plant Additions for Current Calendar Year  </t>
  </si>
  <si>
    <t>Excludes prior period adjustments in the first year of the formula's operation and reconciliation for the first year</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</si>
  <si>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</si>
  <si>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</si>
  <si>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</si>
  <si>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Q</t>
  </si>
  <si>
    <t>To accomodate varying in-service dates for different phases of these projects, it may be necessary to perform the above calculations by vintage.</t>
  </si>
  <si>
    <t>Lives shown above are illustrative only</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</si>
  <si>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172 of Appendix A.</t>
  </si>
  <si>
    <t xml:space="preserve">Remove all investment below 69 kV or generator step up transformers included in transmission plant in service that </t>
  </si>
  <si>
    <t>are not a result of the RTEP Process</t>
  </si>
  <si>
    <t>(adjusted to include any Reconciliation amount from prior year)</t>
  </si>
  <si>
    <t>FCR W/O Incentive</t>
  </si>
  <si>
    <t>Revenue</t>
  </si>
  <si>
    <t>Beginning</t>
  </si>
  <si>
    <t>Depreciation</t>
  </si>
  <si>
    <t>Ending</t>
  </si>
  <si>
    <t>Project B</t>
  </si>
  <si>
    <t>Project C</t>
  </si>
  <si>
    <t>Project D</t>
  </si>
  <si>
    <t>Project E</t>
  </si>
  <si>
    <t>Project F</t>
  </si>
  <si>
    <t>Project G</t>
  </si>
  <si>
    <t>Project H</t>
  </si>
  <si>
    <t>Project I</t>
  </si>
  <si>
    <t>….</t>
  </si>
  <si>
    <t>…..</t>
  </si>
  <si>
    <t>Incentive Charged</t>
  </si>
  <si>
    <t>Revenue Credit</t>
  </si>
  <si>
    <t>Formula Line</t>
  </si>
  <si>
    <t>Real property (State, Municipal or Local)</t>
  </si>
  <si>
    <t>New Plant Carrying Charge</t>
  </si>
  <si>
    <t>W/O Incentive</t>
  </si>
  <si>
    <t xml:space="preserve">      Less LTD on Securitization Bonds</t>
  </si>
  <si>
    <t>SIT for Year</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</si>
  <si>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</si>
  <si>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</si>
  <si>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</si>
  <si>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</si>
  <si>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</si>
  <si>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</si>
  <si>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</si>
  <si>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</si>
  <si>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</si>
  <si>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</si>
  <si>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</si>
  <si>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</si>
  <si>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</si>
  <si>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Max (p401.29 to 40d)</t>
  </si>
  <si>
    <t>PJM Formula Line #s, Descriptions, Notes, Form 1 Page #s and Instructions</t>
  </si>
  <si>
    <t>Electric Portion</t>
  </si>
  <si>
    <t>EPRI Dues</t>
  </si>
  <si>
    <t>Outstanding Network Credits Worksheet</t>
  </si>
  <si>
    <t>Education and Out Reach Worksheet</t>
  </si>
  <si>
    <t>Excluded Plant Worksheet</t>
  </si>
  <si>
    <t>EPRI Dues Worksheet</t>
  </si>
  <si>
    <t>Electric / Non-electric Worksheet</t>
  </si>
  <si>
    <t>Transmission / Non-transmission Worksheet</t>
  </si>
  <si>
    <t>MultiState Workpaper</t>
  </si>
  <si>
    <t>X</t>
  </si>
  <si>
    <t>PJM Load Worksheet</t>
  </si>
  <si>
    <t>Regulatory Expense Related to Transmission Worksheet</t>
  </si>
  <si>
    <t>(Note H)</t>
  </si>
  <si>
    <t>(Line 11)</t>
  </si>
  <si>
    <t>(Line 12)</t>
  </si>
  <si>
    <t>Form 1 Amount</t>
  </si>
  <si>
    <t>Non-electric  Portion</t>
  </si>
  <si>
    <t>Enter Details</t>
  </si>
  <si>
    <t>Enter</t>
  </si>
  <si>
    <t>Transmission Related</t>
  </si>
  <si>
    <t>Expensed Lease in Form 1 Amount</t>
  </si>
  <si>
    <t>Safety Related</t>
  </si>
  <si>
    <t>Enter State</t>
  </si>
  <si>
    <t>Enter %</t>
  </si>
  <si>
    <t>Enter Calculation</t>
  </si>
  <si>
    <t>State 1</t>
  </si>
  <si>
    <t>State 2</t>
  </si>
  <si>
    <t>State 3</t>
  </si>
  <si>
    <t>State 4</t>
  </si>
  <si>
    <t>State 5</t>
  </si>
  <si>
    <t>Education &amp; Outreach</t>
  </si>
  <si>
    <t>Other</t>
  </si>
  <si>
    <t>Enter $</t>
  </si>
  <si>
    <t>Description of the Facilities</t>
  </si>
  <si>
    <t>Enter  Total $</t>
  </si>
  <si>
    <t>Add more lines if necessary</t>
  </si>
  <si>
    <t>General Description of the Facilities</t>
  </si>
  <si>
    <t>Specific Description of the Facility</t>
  </si>
  <si>
    <t>General Description of the Credits</t>
  </si>
  <si>
    <t>Specific Description of the Credits</t>
  </si>
  <si>
    <t>Description of the Credits</t>
  </si>
  <si>
    <t xml:space="preserve">Description &amp; PJM Documentation </t>
  </si>
  <si>
    <t>Interest on Outstanding Network Credits Worksheet</t>
  </si>
  <si>
    <t>Description of the Interest on the Credits</t>
  </si>
  <si>
    <t>Specific 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</si>
  <si>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</si>
  <si>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</si>
  <si>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</si>
  <si>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</si>
  <si>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</si>
  <si>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</si>
  <si>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</si>
  <si>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</si>
  <si>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</si>
  <si>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</si>
  <si>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 xml:space="preserve">Composite Income Taxes                                                                                                       </t>
  </si>
  <si>
    <t>Net Revenue Requirement Less Return and Taxes</t>
  </si>
  <si>
    <t>In Service Month (1-12)</t>
  </si>
  <si>
    <t>Step</t>
  </si>
  <si>
    <t>Month</t>
  </si>
  <si>
    <t>Year</t>
  </si>
  <si>
    <t>Action</t>
  </si>
  <si>
    <t>Exec Summary</t>
  </si>
  <si>
    <t>April</t>
  </si>
  <si>
    <t>May</t>
  </si>
  <si>
    <t>June</t>
  </si>
  <si>
    <t>Weighting</t>
  </si>
  <si>
    <t>One 12th</t>
  </si>
  <si>
    <t>Jan</t>
  </si>
  <si>
    <t>Feb</t>
  </si>
  <si>
    <t>Mar</t>
  </si>
  <si>
    <t>Apr</t>
  </si>
  <si>
    <t>Jun</t>
  </si>
  <si>
    <t>Jul</t>
  </si>
  <si>
    <t>Aug</t>
  </si>
  <si>
    <t>Sep</t>
  </si>
  <si>
    <t>Oct</t>
  </si>
  <si>
    <t>Nov</t>
  </si>
  <si>
    <t>Dec</t>
  </si>
  <si>
    <t>Post On PJM Web Site Rev Req and Formula with Exhibits</t>
  </si>
  <si>
    <t>Interest on Amount of Refunds or Surcharges</t>
  </si>
  <si>
    <t>Yr</t>
  </si>
  <si>
    <t>1/12 of Step 9</t>
  </si>
  <si>
    <t>Interest 35.19a for</t>
  </si>
  <si>
    <t>Interest</t>
  </si>
  <si>
    <t>Refunds Owed</t>
  </si>
  <si>
    <t>March Current Yr</t>
  </si>
  <si>
    <t>Months</t>
  </si>
  <si>
    <t>Balance</t>
  </si>
  <si>
    <t>Amort</t>
  </si>
  <si>
    <t>Total Transmission Plant In Service</t>
  </si>
  <si>
    <t>New Transmission Plant Additions for Current Calendar Year  (weighted by months in service)</t>
  </si>
  <si>
    <t xml:space="preserve">    Less Accumulated Depreciation Associated with Facilities with Outstanding Network Credits</t>
  </si>
  <si>
    <t>Safety Related Advertising Worksheet</t>
  </si>
  <si>
    <t>Non-transmission Related</t>
  </si>
  <si>
    <t>CWIP In Form 1 Amount</t>
  </si>
  <si>
    <t>Non-safety Related</t>
  </si>
  <si>
    <t>Draft - Work in Progress</t>
  </si>
  <si>
    <t>Exhibit E - Cap Add Worksheet</t>
  </si>
  <si>
    <t>Cost Support Matrix                                                                                                                                                                          PJM Formula Line #s, Descriptions, Notes, Form 1 Page #s and Instructions</t>
  </si>
  <si>
    <t>Electric / Non-electric Cost Support</t>
  </si>
  <si>
    <t>CWIP &amp; Expensed Lease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</si>
  <si>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</si>
  <si>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</si>
  <si>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</si>
  <si>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</si>
  <si>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</si>
  <si>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</si>
  <si>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</si>
  <si>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</si>
  <si>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MultiState Cost Support</t>
  </si>
  <si>
    <t>Interest on Outstanding Network Credits Cost Support</t>
  </si>
  <si>
    <t xml:space="preserve">  Rate Formula Template, since they are recovered elsewhere.</t>
  </si>
  <si>
    <t>CWIP &amp; Expensed Lease Worksheet</t>
  </si>
  <si>
    <t>Composite Income Taxes                                                                                                                                                                          (Note L)</t>
  </si>
  <si>
    <t>Return Calculation</t>
  </si>
  <si>
    <t>O</t>
  </si>
  <si>
    <t>The FCR resulting from Formula in a given year is used for that year only</t>
  </si>
  <si>
    <t>Therefore actual revenues collected in a year do not change based on cost data for subsequent years</t>
  </si>
  <si>
    <t>Est. In Service Date</t>
  </si>
  <si>
    <t>Actual In Service Date</t>
  </si>
  <si>
    <t>Interest 35.19a for March Current Yr</t>
  </si>
  <si>
    <t>TO adds weighted Cap Adds to plant in service in Formula</t>
  </si>
  <si>
    <t>with amounts exceeding $100,000 will be listed separately.</t>
  </si>
  <si>
    <t>Attachment 1- Accumulated Deferred Income Taxes (ADIT) Worksheet</t>
  </si>
  <si>
    <t>ADITC-255</t>
  </si>
  <si>
    <t>Item</t>
  </si>
  <si>
    <t>Amortization</t>
  </si>
  <si>
    <t>Rate Base Treatment</t>
  </si>
  <si>
    <t>Balance to line 41 of Appendix A</t>
  </si>
  <si>
    <t>Total Form No. 1 (p xxx.z)</t>
  </si>
  <si>
    <t>Difference  /1</t>
  </si>
  <si>
    <t>/1 Difference must be zero</t>
  </si>
  <si>
    <t>Criteria for Allocation:</t>
  </si>
  <si>
    <t>FN1 #</t>
  </si>
  <si>
    <t>Prepayments except Prepaid Pensions, except Other Taxes</t>
  </si>
  <si>
    <t>Transmission Related Account 242 Reserves</t>
  </si>
  <si>
    <t>Allocation</t>
  </si>
  <si>
    <t>Directly Assignable to Transmission</t>
  </si>
  <si>
    <t>Labor Related, General plant related or Common Plant related</t>
  </si>
  <si>
    <t>Attachment 5a - Allocations of Costs to Affiliates</t>
  </si>
  <si>
    <t>The true-up in Step 8</t>
  </si>
  <si>
    <t>The forecast in Prior Year</t>
  </si>
  <si>
    <t>Result of Formula for true-up</t>
  </si>
  <si>
    <t>Total with interest</t>
  </si>
  <si>
    <t>ATTACHMENT H-2A</t>
  </si>
  <si>
    <t>For the true-up, new transmission plant which was actually placed in service weighted by the number of months it was actually in service</t>
  </si>
  <si>
    <t>Revenues included in lines 1-11 which are subject to 50/50 sharing</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</si>
  <si>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</si>
  <si>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TO estimates all transmission Cap Adds for Year 2 weighted based on Months expected to be in service in Year 2 (e.g, 2005)</t>
  </si>
  <si>
    <t>Results of Step 3 go into effect for the Rate Year 1 (e.g., June 1, 2005 - May 31, 2006)</t>
  </si>
  <si>
    <t>TO populates the formula with Year 2 data from FERC Form 1 for Year 2 (e.g, 2005)</t>
  </si>
  <si>
    <t>TO estimates Cap Adds during Year 3 weighted based on Months expected to be in service in Year 3 (e.g., 2006)</t>
  </si>
  <si>
    <t>Conastone 500kV Substation Project- 2008</t>
  </si>
  <si>
    <t>General and Intangible Plant</t>
  </si>
  <si>
    <t>Reconciliation - TO calculates Reconciliation by removing from Year 2 data - the total Cap Adds placed in service in Year 2 and adding weighted average in Year 2 actual Cap Adds in Reconciliation</t>
  </si>
  <si>
    <t>Results of Step 9 go into effect for Rate Year 2 (e.g., June 1, 2006 - May 31, 2007)</t>
  </si>
  <si>
    <t>TO populates the formula with Year 1 data from FERC Form 1 for Year 1 (e.g., 2004)</t>
  </si>
  <si>
    <t>Must run Appendix A to get this number (without any cap adds in line 21 of Appendix A)</t>
  </si>
  <si>
    <t>Remove all Cap Adds placed in service in year 2</t>
  </si>
  <si>
    <t>Add weighted Cap Adds actually placed in service in Year 2</t>
  </si>
  <si>
    <t xml:space="preserve">For Reconciliation only - remove actual New Transmission Plant Additions for Year 2  </t>
  </si>
  <si>
    <t>(Year 2 data with total of Year 2 Cap Adds removed and monthly weighted average of Year 2 actual Cap Adds added in)</t>
  </si>
  <si>
    <t>The difference between the true-up in Step 8 and the forecast in Prior Year with interest</t>
  </si>
  <si>
    <t>True-up amount</t>
  </si>
  <si>
    <t>Amount of transmission plant excluded from rates, includes investment in generation step-up transformers to the extent included in Plant in Service.</t>
  </si>
  <si>
    <t>Calculation of the above Securitization Adjustments</t>
  </si>
  <si>
    <t xml:space="preserve">Taxes Other than Income                                                    </t>
  </si>
  <si>
    <t>Wages &amp; Salary Allocator /1</t>
  </si>
  <si>
    <t>Must run Appendix A to get this number (with prospective weighted cap adds in line 21)</t>
  </si>
  <si>
    <t>Must run Appendix A to get this number (without any cap adds in line 21)</t>
  </si>
  <si>
    <t>Excluded because the underlying account(s) are not included in model</t>
  </si>
  <si>
    <t>Formula Rate</t>
  </si>
  <si>
    <t>FERC Form 1  Page # or Instruction</t>
  </si>
  <si>
    <t>(Yes or No)</t>
  </si>
  <si>
    <t>Included because the pension asset is included in rate base.  Related to accrual recognition of expense for book purposes &amp; deductibility of cash fundings for tax purposes.  The amount included is the electric portion as allocated by the application of the modified version of the Massachusetts formula.</t>
  </si>
  <si>
    <t>Excluded as per page 8 line 16 of Alan Heintz's direct testimony in FERC Case No. ER05-515</t>
  </si>
  <si>
    <t>Current Period Changes in Transmission Related Account 242 Reserves</t>
  </si>
  <si>
    <t>Northwest to Finksburg 2009</t>
  </si>
  <si>
    <t>Primarily taxes. BGE is combination utility.</t>
  </si>
  <si>
    <t>Federal Income</t>
  </si>
  <si>
    <t>Maryland Income</t>
  </si>
  <si>
    <t>Pennsylvania Income</t>
  </si>
  <si>
    <t>PSC Assessment</t>
  </si>
  <si>
    <t>Expense Items</t>
  </si>
  <si>
    <t>A&amp;G</t>
  </si>
  <si>
    <t>Less line 17g</t>
  </si>
  <si>
    <t>Attachment A Line #s, Descriptions, Notes, Form 1 Page #s and Instructions</t>
  </si>
  <si>
    <t>Environmental Surcharge</t>
  </si>
  <si>
    <t>Pole License</t>
  </si>
  <si>
    <t>Montgomery County Fuel Energy</t>
  </si>
  <si>
    <t>Universal Service Fund</t>
  </si>
  <si>
    <t>Total as reported on p. 263(i)</t>
  </si>
  <si>
    <t>Account 454 - Rent from Electric Property</t>
  </si>
  <si>
    <t>Total Rent Revenues</t>
  </si>
  <si>
    <t>Revenue Adjustment to determine Revenue Credit</t>
  </si>
  <si>
    <t>Amortization to line 132 of Appendix A</t>
  </si>
  <si>
    <t>Transmission Related Account 242 Reserves (exclude current year environmental site related reserves)</t>
  </si>
  <si>
    <t xml:space="preserve">Net Plant Carrying Charge </t>
  </si>
  <si>
    <t>Net Plant Carrying Charge without Depreciation</t>
  </si>
  <si>
    <t>Net Plant Carrying Charge without Depreciation, Return, nor Income Taxes</t>
  </si>
  <si>
    <t>W Enhancement</t>
  </si>
  <si>
    <t>W/O Enhancement</t>
  </si>
  <si>
    <t>Net Plant Carrying Charge</t>
  </si>
  <si>
    <t>Net Plant Carrying Charge Calculation per 100 basis point increase in ROE</t>
  </si>
  <si>
    <t>Net Plant Carrying Charge per 100 basis point increase in ROE without Depreciation</t>
  </si>
  <si>
    <t xml:space="preserve">Net Plant Carrying Charge per 100 basis point increase in ROE </t>
  </si>
  <si>
    <t xml:space="preserve">Net Revenue Requirement per 100 basis point increase in ROE </t>
  </si>
  <si>
    <t xml:space="preserve">Return and Taxes per 100 basis point increase in ROE </t>
  </si>
  <si>
    <t>Appendix A % plus 100 Basis Pts</t>
  </si>
  <si>
    <t>Attachment 4 - Calculation of 100 Basis Point Increase in ROE</t>
  </si>
  <si>
    <t>Return and Taxes with 100 Basis Point increase in ROE</t>
  </si>
  <si>
    <t>100 Basis Point increase in ROE and Income Taxes</t>
  </si>
  <si>
    <t>Respondent is both Electric and Gas Utility. Plant allocated using the Modified</t>
  </si>
  <si>
    <t>See Line 7</t>
  </si>
  <si>
    <t>See Line 11</t>
  </si>
  <si>
    <t>See Line 12</t>
  </si>
  <si>
    <t xml:space="preserve">Respondent amortizes investment tax credits against income tax expense. </t>
  </si>
  <si>
    <t>See Form 1</t>
  </si>
  <si>
    <t>None</t>
  </si>
  <si>
    <t>Maryland</t>
  </si>
  <si>
    <t>Maryland Only</t>
  </si>
  <si>
    <t>BG&amp;E Zone</t>
  </si>
  <si>
    <t>5. Since deferred income taxes arise when items are included in taxable income in different periods than they are included in rates - therefore, if the item giving rise to the ADIT is not included in the formula, the associated ADIT amount shall be excluded</t>
  </si>
  <si>
    <t>version of the Massachusetts Formula as approved by the MD PSC</t>
  </si>
  <si>
    <t>Therefore zero is reported on this line.</t>
  </si>
  <si>
    <t>Specific identification based on plant records</t>
  </si>
  <si>
    <t>PJM Zonal Peak Load per 34.1 of the PJM OATT</t>
  </si>
  <si>
    <t>Shaded cells are input cells</t>
  </si>
  <si>
    <t>Attachment 1 - Accumulated Deferred Income Taxes (ADIT) Worksheet</t>
  </si>
  <si>
    <t>Attachment 2 - Taxes Other Than Income Worksheet</t>
  </si>
  <si>
    <t>Attachment 3 - Revenue Credit Workpaper</t>
  </si>
  <si>
    <t>Attachment 5 - Cost Support</t>
  </si>
  <si>
    <t>Attachment 7 - Transmission Enhancement Charge Worksheet</t>
  </si>
  <si>
    <t>Attachment 6 - Estimate and True-up Worksheet</t>
  </si>
  <si>
    <t>Attachment 8 - Company Exhibit - Securitization Workpaper</t>
  </si>
  <si>
    <t>Attachment 6</t>
  </si>
  <si>
    <t>Per FERC's order in Docket No. ER07-576, the Conastone and Waugh Chapel substation projects get an ROE of 12.3%.  The rest of transmission rate base</t>
  </si>
  <si>
    <t>gets an ROE of 11.3%.</t>
  </si>
  <si>
    <t>Attachment 1</t>
  </si>
  <si>
    <t>Attachment 8</t>
  </si>
  <si>
    <t>Attachment 5</t>
  </si>
  <si>
    <t>Attachment 3</t>
  </si>
  <si>
    <t>Attachment 4</t>
  </si>
  <si>
    <t>Less FASB 109 Above if not separately removed</t>
  </si>
  <si>
    <t>Less FASB 106 Above if not separately removed</t>
  </si>
  <si>
    <t>(Line 126 + Line 137)</t>
  </si>
  <si>
    <t>The FCR resulting from Formula in a given year is used for that year only.</t>
  </si>
  <si>
    <t>(Sum Line 1)</t>
  </si>
  <si>
    <t xml:space="preserve">Regulatory Commission Expenses directly related to transmission service, RTO filings, or transmission siting itemized in Form 1 at 351.h. </t>
  </si>
  <si>
    <t>All EPRI Annual Membership Dues</t>
  </si>
  <si>
    <t>(Sum Lines 2-10)</t>
  </si>
  <si>
    <t>ROE Incentive (Basis Points)</t>
  </si>
  <si>
    <t xml:space="preserve">Subtotal - p277 </t>
  </si>
  <si>
    <t xml:space="preserve">Subtotal - p275  </t>
  </si>
  <si>
    <t>Baltimore Gas and Electric Company</t>
  </si>
  <si>
    <t>Respondent is both Electric and Gas Utility.  Common allocated to gas and electric using the Modified version of the Massachusetts Formula approved by the MD PSC.</t>
  </si>
  <si>
    <t>Waugh Chapel 500 kV Substation Project 2008</t>
  </si>
  <si>
    <t>p356.1</t>
  </si>
  <si>
    <t>Fuel Energy</t>
  </si>
  <si>
    <t>p117.62c through 67c</t>
  </si>
  <si>
    <t>p112.18d through 21d</t>
  </si>
  <si>
    <t>p111.81.c</t>
  </si>
  <si>
    <t>p113.61c</t>
  </si>
  <si>
    <t>P200.4.c</t>
  </si>
  <si>
    <t>Line 5</t>
  </si>
  <si>
    <t>p112.16c</t>
  </si>
  <si>
    <t>p112.12c</t>
  </si>
  <si>
    <t>p112.3c</t>
  </si>
  <si>
    <t>[Line 129 * (1 + Line 130) * Line 131]</t>
  </si>
  <si>
    <t xml:space="preserve">  Total</t>
  </si>
  <si>
    <t>Costs associated with revenues in line 17a that are included in FERC accounts recovered through the formula times the allocator used to functionalize the amounts in the FERC account to the transmission service at issue.</t>
  </si>
  <si>
    <t>Electric / non-electric cost support above</t>
  </si>
  <si>
    <t xml:space="preserve">p266.17f </t>
  </si>
  <si>
    <t xml:space="preserve">Federal FICA </t>
  </si>
  <si>
    <t>Transmission O&amp;M Reserves</t>
  </si>
  <si>
    <t>Enter Negative</t>
  </si>
  <si>
    <t xml:space="preserve">Prepayments </t>
  </si>
  <si>
    <t xml:space="preserve">      Less ADIT associated with Gain or Loss</t>
  </si>
  <si>
    <t>Facility Credits under Section 30.9 of the PJM OATT paid by Utility</t>
  </si>
  <si>
    <t xml:space="preserve">Attachment 5 </t>
  </si>
  <si>
    <t xml:space="preserve">Amount </t>
  </si>
  <si>
    <t>Difference</t>
  </si>
  <si>
    <t xml:space="preserve">Other taxes that are incurred through ownership of plant including transmission plant will be allocated based on the Gross Plant </t>
  </si>
  <si>
    <t>Allocator.  If the taxes are 100% recovered at retail they may not be included</t>
  </si>
  <si>
    <t xml:space="preserve">On November 16, 2007, the Federal Energy Regulatory Commission (FERC) granted Baltimore Gas and Electric (BGE) in Docket No. ER07-576 incentive rate </t>
  </si>
  <si>
    <t xml:space="preserve">treatment for 6 projects designated in the PJM Regional Transmission Expansion Plan (RTEP) as Transmission Owner Initiated (TOI).  Specifically, FERC </t>
  </si>
  <si>
    <t xml:space="preserve">granted an additional 100 basis points to the return on equity (ROE) for these projects, resulting in a final ROE, for these projects, of 12.3%.  </t>
  </si>
  <si>
    <t xml:space="preserve">See Note J above for two other projects that were previously awarded an authorized ROE of 12.3%.  FERC's November 16, 2007 order authorized </t>
  </si>
  <si>
    <t xml:space="preserve">a rate effective date of June 1, 2007.  The impact of this incentive rate treatment on BGE's network transmission service rate will be gradual because </t>
  </si>
  <si>
    <t xml:space="preserve">each of the involved projects will be placed in service on successive dates.   Also, rate stability will be preserved for the remaining period of the current </t>
  </si>
  <si>
    <t xml:space="preserve">formula rate billing cycle.   This is because, in accordance with the annual adjustments utilized in BGE's formula rate, the June 1, 2007 effective date </t>
  </si>
  <si>
    <t xml:space="preserve">for the incentive adders approved in the November 16, 2007 order will be reflected in BGE's next annual adjustment to be posted no later than May 15,  </t>
  </si>
  <si>
    <t xml:space="preserve">2008, effective June 1, 2008.  This approved procedure will avoid the need for an out-of-cycle billing adjustment for the June 1, 2007  - May 31, </t>
  </si>
  <si>
    <t>2008 billing cycle that would otherwise be necessitated to implement invoicing by PJM in mid-cycle based on the timing of issuance of the November 16,</t>
  </si>
  <si>
    <t>2007 order.</t>
  </si>
  <si>
    <t>Other taxes that are incurred through ownership of only general or intangible plant will be allocated based on the Wages and Salary</t>
  </si>
  <si>
    <t>Downtown Project 2008</t>
  </si>
  <si>
    <t>Other taxes that are assessed based on labor, will be allocated based on the Wages and Salary Allocator</t>
  </si>
  <si>
    <t>Gross Revenue Credits</t>
  </si>
  <si>
    <t>Total Revenue Credits</t>
  </si>
  <si>
    <t>17a</t>
  </si>
  <si>
    <t>17b</t>
  </si>
  <si>
    <t>Costs associated with revenues in line 17a</t>
  </si>
  <si>
    <t>17c</t>
  </si>
  <si>
    <t>17d</t>
  </si>
  <si>
    <t>17e</t>
  </si>
  <si>
    <t>17g</t>
  </si>
  <si>
    <t>Allocated to</t>
  </si>
  <si>
    <t>BG&amp;E</t>
  </si>
  <si>
    <t>Electric</t>
  </si>
  <si>
    <t>Gas</t>
  </si>
  <si>
    <t>Explanation of the method</t>
  </si>
  <si>
    <t xml:space="preserve">FERC Form 1.  Specifically, the ratio to distribute common regulated utility expenses to gas </t>
  </si>
  <si>
    <t xml:space="preserve">and electric is based on a modified version of the Massachusetts formula and is influenced by </t>
  </si>
  <si>
    <t>each line of business's share of total utility labor, depreciation, amortization, and taxes.  BGE</t>
  </si>
  <si>
    <t>has consistently used this approach to distribute common costs to the gas and electric lines</t>
  </si>
  <si>
    <t>of business for the last 20 years with no adverse comment from state or federal regulators</t>
  </si>
  <si>
    <t>during this interval.</t>
  </si>
  <si>
    <t>For Reconciliation Only</t>
  </si>
  <si>
    <t>Exclude Construction Work In Progress and leases that are expensed as O&amp;M (rather than amortized).  New Transmission plant included</t>
  </si>
  <si>
    <t xml:space="preserve">which is expected to be placed in service in the current calendar year weighted by number of months it is expected to be in-service.  </t>
  </si>
  <si>
    <t>Point to Point Service revenues for which the load is not included in the divisor received by transmission owner</t>
  </si>
  <si>
    <r>
      <t>Net revenues associated with Network Integration Transmission Service (NITS) for which the load is not included in the divisor (difference between NITS credits from PJM and PJM NITS charges paid by Transmission Owner)</t>
    </r>
    <r>
      <rPr>
        <sz val="10"/>
        <color indexed="10"/>
        <rFont val="Arial"/>
        <family val="2"/>
      </rPr>
      <t xml:space="preserve"> </t>
    </r>
    <r>
      <rPr>
        <sz val="10"/>
        <rFont val="Arial"/>
        <family val="2"/>
      </rPr>
      <t>(Note 4)</t>
    </r>
  </si>
  <si>
    <t>See (Note J) on Appendix A</t>
  </si>
  <si>
    <t>Utility Total Amount</t>
  </si>
  <si>
    <t>Justification</t>
  </si>
  <si>
    <t>for Assignment to Columns A-D</t>
  </si>
  <si>
    <t>17f</t>
  </si>
  <si>
    <t>Line 17f less line 17a</t>
  </si>
  <si>
    <t>Instructions:</t>
  </si>
  <si>
    <t>Amount in Form 1 is already electric only.</t>
  </si>
  <si>
    <t>p336.1.d</t>
  </si>
  <si>
    <t>Remainder electric distribution related</t>
  </si>
  <si>
    <t>Education &amp; outreach advertising in account 930.1 specifically related to transmission</t>
  </si>
  <si>
    <t>Electric advertising cost in account 930.1 associated with safety</t>
  </si>
  <si>
    <t>Pension asset is the extent to which inception to date pension contributions are higher than actually determined levels of pension cost</t>
  </si>
  <si>
    <t>p230a</t>
  </si>
  <si>
    <t>Waugh Chapel 500 kV Substation Project 2010</t>
  </si>
  <si>
    <t>Conastone 500kV Substation Project- 2010</t>
  </si>
  <si>
    <t>Downtown Project 2010</t>
  </si>
  <si>
    <t>Conastone kV Substation Project 2009</t>
  </si>
  <si>
    <t>Waugh Chapel 500kV Substation Project- 2009</t>
  </si>
  <si>
    <t>Northwest to Finksburg 2010</t>
  </si>
  <si>
    <t>p227.c</t>
  </si>
  <si>
    <t>p207.58g</t>
  </si>
  <si>
    <t>p219.25c</t>
  </si>
  <si>
    <t>Waugh Chapel 500/230 kV Transformer 2011</t>
  </si>
  <si>
    <t>p356 or p336.11b</t>
  </si>
  <si>
    <t>The common and general expense conforms with the Maryland Public Service Commission in Case No. 9096.</t>
  </si>
  <si>
    <t>Northwest to Finksburg 2011</t>
  </si>
  <si>
    <t xml:space="preserve">Costs distributed to BGE are recorded to the appropriate common A&amp;G expense </t>
  </si>
  <si>
    <t xml:space="preserve">accounts on BGE's books.  All common expenses (including allocations of cost from </t>
  </si>
  <si>
    <t>Waugh Chapel 500 kV Substation Project 2011</t>
  </si>
  <si>
    <t>General Depreciation multiplied by wage and salary allocator</t>
  </si>
  <si>
    <t>The Dedicated Facility Project revenue requirement grid(s) shown above reflect the revenue requirements associated with a directly assigned transmission charge.   The revenue</t>
  </si>
  <si>
    <t>requirement associated with this project in any given year is included on line 146 of Attachment H-2A ("the Gross Revenue Requirement") of BGE's formula rate model .</t>
  </si>
  <si>
    <t xml:space="preserve">This same revenue requirement is in turn credited on line 153 of Attachment H-2A ("Revenue Credits") such that this directly assigned transmission charge has no impact on </t>
  </si>
  <si>
    <t>Attachment H-2A, line 155 ("Net Revenue Requirement").  In this way BGE's wholesale transmission customers are insulated from any revenue requirement effect from</t>
  </si>
  <si>
    <t>the Dedicated Facility Project.</t>
  </si>
  <si>
    <t>Per FERC's orders in Docket No. ER07-576, the Conastone and Waugh Chapel substation projects, the Downtown Project, and the Northwest to Finksburg project get an ROE of 12.3%.  Per FERC's order in Docket No. XXXX-YYY, the MAPP</t>
  </si>
  <si>
    <t>project gets an ROE of 12.8%.  The rest of transmission rate base gets an ROE of 11.3%.</t>
  </si>
  <si>
    <t xml:space="preserve">cost allocation factors are assigned to the various headquarters functions to be distributed. </t>
  </si>
  <si>
    <t xml:space="preserve">This BSC cost distribution approach is documented in BGE's Cost Allocation Manual which </t>
  </si>
  <si>
    <t xml:space="preserve">the BSC) are distributed to the electric and gas lines of business as noted on page 356.1 of the   </t>
  </si>
  <si>
    <t>Waugh Chapel 500/230 kV Transformer 2012</t>
  </si>
  <si>
    <t>Transmission Depreciation</t>
  </si>
  <si>
    <t>Merger costs associated with the Company's merger with Exelon.</t>
  </si>
  <si>
    <t>Amount in Form 1 is already electric only. Non-electric portion represents merger costs associated with the Company's merger with Exelon. The common and general expense conforms with the Maryland Public Service Commission in Case No. 9096.</t>
  </si>
  <si>
    <t xml:space="preserve">is periodically filed with the Maryland Public Service Commission.  </t>
  </si>
  <si>
    <t>R</t>
  </si>
  <si>
    <t>This entry reflects the hold harmless requirement in the FERC's March 9, 2012 Merger Order in Docket Nos, EC11-83, et al. at pages 40-41 and 48.</t>
  </si>
  <si>
    <t>$16,112,532- Transmission Substation/Land</t>
  </si>
  <si>
    <t>Dedicated Facility Project 2014</t>
  </si>
  <si>
    <t>True-Up Amount</t>
  </si>
  <si>
    <t>True-Up as Stated in Formula</t>
  </si>
  <si>
    <t>Att.6 Step 9</t>
  </si>
  <si>
    <t>Att. H-2A line 168</t>
  </si>
  <si>
    <t>To credit ratepayers for costs to achieve included in the 2013 update.</t>
  </si>
  <si>
    <t>Description of the Adjustment</t>
  </si>
  <si>
    <t>Attachments 5 &amp; 6</t>
  </si>
  <si>
    <t>Bad Debt - Change in Provision</t>
  </si>
  <si>
    <t>Accrued Bonus</t>
  </si>
  <si>
    <t>Deferred Investment Tax Credit</t>
  </si>
  <si>
    <t>AMI Reg Liability Adjustment CEG</t>
  </si>
  <si>
    <t>Workers Compensation Reserve</t>
  </si>
  <si>
    <t>Gas Inventory Overheads CEG</t>
  </si>
  <si>
    <t>BCBS Claim Adjustment CEG</t>
  </si>
  <si>
    <t>Addback of Other Equity Compensation</t>
  </si>
  <si>
    <t>GCRC Expenses CEG</t>
  </si>
  <si>
    <t>Gas Demand Charge CEG</t>
  </si>
  <si>
    <t>Charitable Contributions NC</t>
  </si>
  <si>
    <t>Miscellaneous Accrued Expenses</t>
  </si>
  <si>
    <t>Net Operating Losses (Federal and State)</t>
  </si>
  <si>
    <t>Electric portion included because rate base should include BGE's receivable from Maryland for tax benefits accounted for but deferred due to the NOL.</t>
  </si>
  <si>
    <t>Deferred Balance Sheet Only Items CEG</t>
  </si>
  <si>
    <t>ARO Adjustment Property</t>
  </si>
  <si>
    <t>Depreciation Addback-Book</t>
  </si>
  <si>
    <t>Depreciation Deduct-Tax Fed Only</t>
  </si>
  <si>
    <t>AFUDC Equity Adj - Md Only</t>
  </si>
  <si>
    <t>Less:  Federal Bonus Deprec</t>
  </si>
  <si>
    <t>State Bonus Depr Adj MD</t>
  </si>
  <si>
    <t>Misc</t>
  </si>
  <si>
    <t>Deferral of MD State Taxes</t>
  </si>
  <si>
    <t>AMI Pilot Program CEG</t>
  </si>
  <si>
    <t>AMI Reg Asset Adjustment CEG</t>
  </si>
  <si>
    <t>Amort of Inc Tax Recov - Reg Asset CEG</t>
  </si>
  <si>
    <t>DEFERRED FUEL - NC</t>
  </si>
  <si>
    <t>DRI Program CEG</t>
  </si>
  <si>
    <t>ENERGY EFFICIENCY PROGRAMS REG ASSET</t>
  </si>
  <si>
    <t>ENVIRONMENTAL CLEAN-UP COSTS PRV</t>
  </si>
  <si>
    <t>Interest Income CEG</t>
  </si>
  <si>
    <t>Loss on Reacquired Debt CEG</t>
  </si>
  <si>
    <t>POLR CEG</t>
  </si>
  <si>
    <t>Reg Asset - Storm Cost Amort CEG</t>
  </si>
  <si>
    <t>Reg Asset Elec Trans Rt True Up CEG</t>
  </si>
  <si>
    <t>Reg Asset - Med D Inc All</t>
  </si>
  <si>
    <t>Reg Asset- ARO Electric &amp; Gas</t>
  </si>
  <si>
    <t>Reg Asset- Cost to Achieve</t>
  </si>
  <si>
    <t>Reg Asset - Rate Case Case Expense</t>
  </si>
  <si>
    <t>Reg Asset - Smart Energy Rewards</t>
  </si>
  <si>
    <t>Reg Asset - Sparrow's Point</t>
  </si>
  <si>
    <t>RIF Reg Asset Amort</t>
  </si>
  <si>
    <t>RSB Unamort Debt CEG</t>
  </si>
  <si>
    <t>Sevrnce Cost-Reg Asset</t>
  </si>
  <si>
    <t>Generation Assets</t>
  </si>
  <si>
    <t>Merger Costs Current</t>
  </si>
  <si>
    <t>Prepaid IT Expense</t>
  </si>
  <si>
    <t>Prepaids</t>
  </si>
  <si>
    <t>Property Tax Payable</t>
  </si>
  <si>
    <t>Deferral of Maryland State Income Tax</t>
  </si>
  <si>
    <t>Respondent is both Electric and Gas Utility. Plant generally allocated using the net plant ratio.  Non-electric portion also represents merger costs associated with the Company's merger with Exelon.</t>
  </si>
  <si>
    <t>Transmission-specific software recorded in Account 303 ($5,825,735) offset by an abandoned transmission project placed in service in 2013 ($179,699).</t>
  </si>
  <si>
    <t>Transmission-specific software recorded in Account 303 ($3,866,330) offset by an abandoned transmission project placed in service in 2013 ($3,685).</t>
  </si>
  <si>
    <t>Transmission-specific and distribution-specific software included in Account 303 ($20,102,936) and merger costs associated with the Company's merger with Exelon ($6,886,461).</t>
  </si>
  <si>
    <t>Transmission-specific and distribution-specific software included in Account 303 ($7,421,562) and merger costs associated with the Company's merger with Exelon ($836,695).</t>
  </si>
  <si>
    <t>Transmission-specific and distribution-specific software amortization recorded as intangible amortization ($2,394,093) and merger costs associated with the Company's merger with Exelon ($823,948).</t>
  </si>
  <si>
    <t>Transmission-specific software amortization recorded as intangible amortization ($1,166,940) offset by depreciation associated with an abandoned transmission project ($3,685)</t>
  </si>
  <si>
    <t xml:space="preserve">EPRI Dues </t>
  </si>
  <si>
    <t>p323.197b</t>
  </si>
  <si>
    <t>Actual calculation of the results of the method for 2013:</t>
  </si>
  <si>
    <t xml:space="preserve">In 2013 the regulated electric business received 72.9% of common utility expenses and gas </t>
  </si>
  <si>
    <t>received a 27.1% share.</t>
  </si>
  <si>
    <t>Summary of Administrative and General Expense (A&amp;G) Charged to BGE by</t>
  </si>
  <si>
    <t>Exelon Business Services Company (BSC)</t>
  </si>
  <si>
    <t xml:space="preserve">Exelon Business Services Company (BSC) costs are distributed to all affiliates.  Appropriate </t>
  </si>
  <si>
    <t>p200.21.c</t>
  </si>
  <si>
    <t xml:space="preserve">Included because plant in service is included in rate base.  Related to the accrual of AFUDC for book purposes for book purposes but not for tax purposes. </t>
  </si>
  <si>
    <t xml:space="preserve">Included because plant in service is included in rate base.  Related to the use of accelerated depreciation for tax purposes. </t>
  </si>
  <si>
    <t xml:space="preserve">Included because plant in service is included in rate base.  Related to the use of accelerated depreciation for tax purposes.  </t>
  </si>
  <si>
    <t xml:space="preserve">Included because plant in service is included in rate base.  Related to the recognition of capital for book purposes and a period cost for tax purposes.  </t>
  </si>
  <si>
    <t xml:space="preserve">Included because prepayments are included in rate base.  Related to accelerated deductibility of these amounts for tax purposes. </t>
  </si>
  <si>
    <t>Included because the majority of book-tax differences relate to plant which is included in the model.</t>
  </si>
  <si>
    <t>The electric plant conforms with the Maryland Public Service Commission in Case No. 9096.  Non-electric portion represents merger costs associated with the Company's merger with Exelon ($6,886,461) and an abandoned transmission project placed in service in 2013 ($179,699).</t>
  </si>
  <si>
    <t>The electric reserve conforms with the Maryland Public Service Commission in Case No. 9096.  Non-electric portion represents an abandoned transmission project placed in service in 2013 ($3,685).</t>
  </si>
  <si>
    <t>Accumulated intangible amortization conforms with the Maryland Public Service Commission in Case No. 9096.  Non-electric portion represents impact of merger costs associated with the Company's merger with Exelon.</t>
  </si>
  <si>
    <t>The common and general reserve conforms with the Maryland Public Service Commission in Case No. 9096.  Non-electric portion represents merger costs associated with the Company's merger with Exelon.</t>
  </si>
  <si>
    <t>Pension Expense Provision Asset</t>
  </si>
  <si>
    <t>Post Retirement Benefits</t>
  </si>
  <si>
    <t>FIN 48 INTEREST - NONCURRENT</t>
  </si>
  <si>
    <t>Cap Add WS Dedicated Facilities Project 2014 Carrying Charge</t>
  </si>
  <si>
    <t>FCR WO Incentive</t>
  </si>
  <si>
    <t>Dedicated Facilities Project 2014 FCR WO incentive</t>
  </si>
  <si>
    <t>Cap Add WS</t>
  </si>
  <si>
    <t>The mechanics of the model require that the FCR WO (without) Incentive rate for the Dedicated</t>
  </si>
  <si>
    <t xml:space="preserve">Facilities Project be computed prior to populating the Revenue Credit  from Directly Assigned Transmission Facilities cell on line 9 of Tab 3 - Revenue Credits, whereas the FCR WO Incentive rate </t>
  </si>
  <si>
    <t xml:space="preserve">calculation for the remaining projects included onTab 7 - Cap Add WS is computed with all cells </t>
  </si>
  <si>
    <t>in the model populated.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</si>
</sst>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_);\(#,##0.000\)"/>
    <numFmt numFmtId="176" formatCode="0.000000%"/>
    <numFmt numFmtId="177" formatCode="0.000000000"/>
    <numFmt numFmtId="178" formatCode="#,##0.0000_);\(#,##0.0000\)"/>
    <numFmt numFmtId="179" formatCode="#,##0.00000_);\(#,##0.00000\)"/>
    <numFmt numFmtId="180" formatCode="_(* #,##0.00000_);_(* \(#,##0.00000\);_(* &quot;-&quot;??_);_(@_)"/>
    <numFmt numFmtId="181" formatCode="_(* #,##0.000000000_);_(* \(#,##0.000000000\);_(* &quot;-&quot;??_);_(@_)"/>
  </numFmts>
  <fonts count="60">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ont>
    <font>
      <sz val="10"/>
      <color indexed="12"/>
      <name val="Arial"/>
      <family val="2"/>
    </font>
    <font>
      <b/>
      <sz val="14"/>
      <name val="Arial"/>
      <family val="2"/>
    </font>
    <font>
      <sz val="12"/>
      <color indexed="13"/>
      <name val="Arial"/>
      <family val="2"/>
    </font>
    <font>
      <b/>
      <sz val="12"/>
      <color indexed="13"/>
      <name val="Arial"/>
      <family val="2"/>
    </font>
    <font>
      <sz val="14"/>
      <name val="Arial"/>
      <family val="2"/>
    </font>
    <font>
      <sz val="12"/>
      <name val="Arial Narrow"/>
      <family val="2"/>
    </font>
    <font>
      <b/>
      <sz val="12"/>
      <color indexed="10"/>
      <name val="Arial Narrow"/>
      <family val="2"/>
    </font>
    <font>
      <b/>
      <sz val="14"/>
      <color indexed="13"/>
      <name val="Arial"/>
      <family val="2"/>
    </font>
    <font>
      <b/>
      <sz val="18"/>
      <name val="Arial"/>
      <family val="2"/>
    </font>
    <font>
      <b/>
      <i/>
      <sz val="10"/>
      <name val="Arial"/>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sz val="10"/>
      <color indexed="12"/>
      <name val="Arial Narrow"/>
      <family val="2"/>
    </font>
    <font>
      <sz val="10"/>
      <color indexed="10"/>
      <name val="Arial Narrow"/>
      <family val="2"/>
    </font>
    <font>
      <b/>
      <sz val="12"/>
      <name val="Arial Narrow"/>
      <family val="2"/>
    </font>
    <font>
      <sz val="12"/>
      <color indexed="12"/>
      <name val="Arial Narrow"/>
      <family val="2"/>
    </font>
    <font>
      <b/>
      <sz val="12"/>
      <color indexed="13"/>
      <name val="Arial Narrow"/>
      <family val="2"/>
    </font>
    <font>
      <sz val="12"/>
      <color indexed="13"/>
      <name val="Arial Narrow"/>
      <family val="2"/>
    </font>
    <font>
      <sz val="12"/>
      <color indexed="10"/>
      <name val="Arial Narrow"/>
      <family val="2"/>
    </font>
    <font>
      <b/>
      <u/>
      <sz val="12"/>
      <name val="Arial Narrow"/>
      <family val="2"/>
    </font>
    <font>
      <b/>
      <sz val="14"/>
      <name val="Arial Narrow"/>
      <family val="2"/>
    </font>
    <font>
      <sz val="14"/>
      <name val="Arial Narrow"/>
      <family val="2"/>
    </font>
    <font>
      <b/>
      <i/>
      <sz val="12"/>
      <color indexed="14"/>
      <name val="Arial Narrow"/>
      <family val="2"/>
    </font>
    <font>
      <sz val="9"/>
      <color indexed="10"/>
      <name val="Arial Narrow"/>
      <family val="2"/>
    </font>
    <font>
      <b/>
      <sz val="14"/>
      <color indexed="10"/>
      <name val="Arial"/>
      <family val="2"/>
    </font>
    <font>
      <b/>
      <sz val="16"/>
      <color indexed="10"/>
      <name val="Arial"/>
      <family val="2"/>
    </font>
    <font>
      <sz val="11"/>
      <name val="Arial Narrow"/>
      <family val="2"/>
    </font>
    <font>
      <b/>
      <sz val="16"/>
      <name val="Arial"/>
      <family val="2"/>
    </font>
    <font>
      <sz val="9"/>
      <name val="Arial"/>
      <family val="2"/>
    </font>
    <font>
      <sz val="12"/>
      <color indexed="43"/>
      <name val="Arial"/>
      <family val="2"/>
    </font>
    <font>
      <b/>
      <u/>
      <sz val="10"/>
      <name val="Arial"/>
      <family val="2"/>
    </font>
    <font>
      <i/>
      <sz val="10"/>
      <name val="Arial"/>
      <family val="2"/>
    </font>
    <font>
      <b/>
      <sz val="11"/>
      <name val="Arial"/>
      <family val="2"/>
    </font>
    <font>
      <b/>
      <i/>
      <sz val="12"/>
      <color indexed="8"/>
      <name val="Arial"/>
      <family val="2"/>
    </font>
    <font>
      <b/>
      <u/>
      <sz val="12"/>
      <name val="Arial"/>
      <family val="2"/>
    </font>
    <font>
      <b/>
      <sz val="12"/>
      <color indexed="12"/>
      <name val="Arial"/>
      <family val="2"/>
    </font>
    <font>
      <b/>
      <sz val="9"/>
      <color indexed="10"/>
      <name val="Arial"/>
      <family val="2"/>
    </font>
    <font>
      <b/>
      <i/>
      <sz val="14"/>
      <name val="Arial"/>
      <family val="2"/>
    </font>
    <font>
      <b/>
      <i/>
      <sz val="11"/>
      <name val="Arial"/>
      <family val="2"/>
    </font>
    <font>
      <b/>
      <sz val="9"/>
      <name val="Arial"/>
      <family val="2"/>
    </font>
    <font>
      <sz val="9"/>
      <color indexed="10"/>
      <name val="Arial"/>
      <family val="2"/>
    </font>
    <font>
      <sz val="12"/>
      <color indexed="14"/>
      <name val="Arial"/>
      <family val="2"/>
    </font>
  </fonts>
  <fills count="13">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14"/>
        <bgColor indexed="64"/>
      </patternFill>
    </fill>
    <fill>
      <patternFill patternType="solid">
        <fgColor indexed="45"/>
        <bgColor indexed="64"/>
      </patternFill>
    </fill>
    <fill>
      <patternFill patternType="solid">
        <fgColor rgb="FFFFFF00"/>
        <bgColor indexed="64"/>
      </patternFill>
    </fill>
  </fills>
  <borders count="24">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165" fontId="6" fillId="0" borderId="0"/>
    <xf numFmtId="170" fontId="11" fillId="0" borderId="0" applyProtection="0"/>
    <xf numFmtId="9" fontId="1" fillId="0" borderId="0" applyFont="0" applyFill="0" applyBorder="0" applyAlignment="0" applyProtection="0"/>
  </cellStyleXfs>
  <cellXfs count="1148">
    <xf numFmtId="0" fontId="0" fillId="0" borderId="0" xfId="0"/>
    <xf numFmtId="0" fontId="3" fillId="0" borderId="0" xfId="0" applyFont="1"/>
    <xf numFmtId="0" fontId="0" fillId="0" borderId="0" xfId="0" applyFill="1"/>
    <xf numFmtId="0" fontId="3" fillId="0" borderId="0" xfId="0" applyNumberFormat="1" applyFont="1" applyAlignment="1">
      <alignment horizontal="center"/>
    </xf>
    <xf numFmtId="3" fontId="3" fillId="0" borderId="0" xfId="0" applyNumberFormat="1" applyFont="1" applyAlignment="1"/>
    <xf numFmtId="0" fontId="3" fillId="0" borderId="0" xfId="0" applyNumberFormat="1" applyFont="1" applyAlignment="1"/>
    <xf numFmtId="0" fontId="3" fillId="0" borderId="0" xfId="0" applyNumberFormat="1" applyFont="1" applyAlignment="1">
      <alignment horizontal="right"/>
    </xf>
    <xf numFmtId="0" fontId="3" fillId="0" borderId="0" xfId="0" applyNumberFormat="1" applyFont="1" applyFill="1" applyAlignment="1"/>
    <xf numFmtId="0" fontId="5" fillId="0" borderId="0" xfId="0" applyNumberFormat="1" applyFont="1" applyAlignment="1">
      <alignment horizontal="center"/>
    </xf>
    <xf numFmtId="0" fontId="5" fillId="0" borderId="0" xfId="0" applyFont="1" applyAlignment="1"/>
    <xf numFmtId="0" fontId="9" fillId="0" borderId="0" xfId="0" applyNumberFormat="1" applyFont="1" applyFill="1" applyAlignment="1"/>
    <xf numFmtId="0" fontId="3" fillId="0" borderId="1" xfId="0" applyFont="1" applyBorder="1"/>
    <xf numFmtId="173" fontId="3" fillId="0" borderId="0" xfId="5" applyNumberFormat="1" applyFont="1" applyAlignment="1"/>
    <xf numFmtId="0" fontId="3" fillId="0" borderId="1" xfId="0" applyNumberFormat="1" applyFont="1" applyFill="1" applyBorder="1" applyAlignment="1"/>
    <xf numFmtId="0" fontId="3" fillId="0" borderId="2" xfId="0" applyNumberFormat="1" applyFont="1" applyFill="1" applyBorder="1" applyAlignment="1"/>
    <xf numFmtId="3" fontId="3" fillId="0" borderId="2" xfId="0" applyNumberFormat="1" applyFont="1" applyBorder="1" applyAlignment="1"/>
    <xf numFmtId="0" fontId="3" fillId="0" borderId="2" xfId="0" applyFont="1" applyBorder="1"/>
    <xf numFmtId="3" fontId="3" fillId="0" borderId="2" xfId="0" applyNumberFormat="1" applyFont="1" applyBorder="1"/>
    <xf numFmtId="0" fontId="3" fillId="0" borderId="0" xfId="0" applyNumberFormat="1" applyFont="1" applyFill="1" applyAlignment="1">
      <alignment horizontal="center"/>
    </xf>
    <xf numFmtId="0" fontId="3" fillId="0" borderId="0" xfId="0" applyNumberFormat="1" applyFont="1" applyFill="1" applyBorder="1" applyAlignment="1"/>
    <xf numFmtId="0" fontId="5" fillId="0" borderId="0" xfId="0" applyFont="1"/>
    <xf numFmtId="0" fontId="5" fillId="0" borderId="0" xfId="0" applyNumberFormat="1" applyFont="1" applyAlignment="1">
      <alignment horizontal="right"/>
    </xf>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1" xfId="0" applyNumberFormat="1" applyFont="1" applyFill="1" applyBorder="1" applyAlignment="1">
      <alignment horizontal="left"/>
    </xf>
    <xf numFmtId="0" fontId="5" fillId="0" borderId="1" xfId="0" applyFont="1" applyFill="1" applyBorder="1" applyAlignment="1"/>
    <xf numFmtId="0" fontId="5" fillId="0" borderId="1" xfId="0" applyFont="1" applyBorder="1"/>
    <xf numFmtId="0" fontId="5" fillId="0" borderId="1" xfId="0" applyFont="1" applyFill="1" applyBorder="1"/>
    <xf numFmtId="0" fontId="5" fillId="0" borderId="1" xfId="0" applyFont="1" applyBorder="1" applyAlignment="1"/>
    <xf numFmtId="10" fontId="5" fillId="0" borderId="0" xfId="0" applyNumberFormat="1" applyFont="1" applyFill="1" applyAlignment="1">
      <alignment horizontal="right"/>
    </xf>
    <xf numFmtId="0" fontId="5" fillId="0" borderId="0" xfId="0" applyFont="1" applyBorder="1" applyAlignment="1"/>
    <xf numFmtId="173" fontId="5" fillId="0" borderId="0" xfId="0" applyNumberFormat="1" applyFont="1" applyAlignment="1">
      <alignment horizontal="right"/>
    </xf>
    <xf numFmtId="10" fontId="5" fillId="0" borderId="0" xfId="0" applyNumberFormat="1" applyFont="1" applyAlignment="1">
      <alignment horizontal="right"/>
    </xf>
    <xf numFmtId="0" fontId="5" fillId="0" borderId="0" xfId="0" applyFont="1" applyFill="1" applyAlignment="1">
      <alignment horizontal="left"/>
    </xf>
    <xf numFmtId="0" fontId="5" fillId="0" borderId="0" xfId="0" applyFont="1" applyAlignment="1">
      <alignment horizontal="left"/>
    </xf>
    <xf numFmtId="3" fontId="5" fillId="0" borderId="1" xfId="0" applyNumberFormat="1" applyFont="1" applyBorder="1" applyAlignment="1">
      <alignment horizontal="right"/>
    </xf>
    <xf numFmtId="3" fontId="3" fillId="0" borderId="1" xfId="0" applyNumberFormat="1" applyFont="1" applyBorder="1" applyAlignment="1">
      <alignment horizontal="right"/>
    </xf>
    <xf numFmtId="0" fontId="5" fillId="0" borderId="0" xfId="0" applyFont="1" applyAlignment="1">
      <alignment horizontal="right"/>
    </xf>
    <xf numFmtId="166" fontId="3" fillId="0" borderId="0" xfId="0" applyNumberFormat="1" applyFont="1" applyAlignment="1"/>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0" fontId="5" fillId="0" borderId="0" xfId="0" applyFont="1" applyBorder="1"/>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3" fontId="5" fillId="0" borderId="0" xfId="0" applyNumberFormat="1" applyFont="1"/>
    <xf numFmtId="0" fontId="3" fillId="0" borderId="1" xfId="0" applyNumberFormat="1" applyFont="1" applyBorder="1" applyAlignment="1"/>
    <xf numFmtId="0" fontId="5" fillId="0" borderId="0" xfId="0" applyFont="1" applyAlignment="1">
      <alignment horizontal="center"/>
    </xf>
    <xf numFmtId="0" fontId="5" fillId="0" borderId="0" xfId="0" applyFont="1" applyFill="1" applyAlignment="1">
      <alignment horizontal="center"/>
    </xf>
    <xf numFmtId="0" fontId="5" fillId="0" borderId="3" xfId="0" applyFont="1" applyFill="1" applyBorder="1" applyAlignment="1">
      <alignment horizontal="left"/>
    </xf>
    <xf numFmtId="0" fontId="5" fillId="0" borderId="3" xfId="0" applyNumberFormat="1" applyFont="1" applyBorder="1" applyAlignment="1">
      <alignment horizontal="left"/>
    </xf>
    <xf numFmtId="0" fontId="5" fillId="0" borderId="0" xfId="0" applyFont="1" applyFill="1" applyBorder="1" applyAlignment="1">
      <alignment horizontal="left"/>
    </xf>
    <xf numFmtId="0" fontId="5" fillId="0" borderId="3" xfId="0" applyFont="1" applyBorder="1" applyAlignment="1"/>
    <xf numFmtId="173" fontId="5" fillId="0" borderId="3" xfId="0" applyNumberFormat="1" applyFont="1" applyBorder="1" applyAlignment="1">
      <alignment horizontal="right"/>
    </xf>
    <xf numFmtId="0" fontId="3" fillId="0" borderId="0" xfId="0" applyNumberFormat="1" applyFont="1" applyAlignment="1">
      <alignment horizontal="left"/>
    </xf>
    <xf numFmtId="0" fontId="9"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xf numFmtId="0" fontId="3" fillId="0" borderId="2" xfId="0" applyFont="1" applyBorder="1" applyAlignment="1"/>
    <xf numFmtId="173" fontId="3" fillId="0" borderId="2" xfId="5" applyNumberFormat="1" applyFont="1" applyBorder="1" applyAlignment="1"/>
    <xf numFmtId="0" fontId="5" fillId="0" borderId="2" xfId="0" applyFont="1" applyBorder="1"/>
    <xf numFmtId="168" fontId="3" fillId="0" borderId="2" xfId="0" applyNumberFormat="1" applyFont="1" applyBorder="1" applyAlignment="1">
      <alignment horizontal="left"/>
    </xf>
    <xf numFmtId="169" fontId="3" fillId="0" borderId="2" xfId="0" applyNumberFormat="1" applyFont="1" applyBorder="1" applyAlignment="1">
      <alignment horizontal="center"/>
    </xf>
    <xf numFmtId="0" fontId="5" fillId="0" borderId="0" xfId="0" applyFont="1" applyFill="1" applyBorder="1" applyAlignment="1">
      <alignment horizontal="center" wrapText="1"/>
    </xf>
    <xf numFmtId="0" fontId="5" fillId="0" borderId="2" xfId="0" applyFont="1" applyFill="1" applyBorder="1" applyAlignment="1"/>
    <xf numFmtId="0" fontId="5" fillId="0" borderId="2" xfId="0" applyFont="1" applyBorder="1" applyAlignment="1"/>
    <xf numFmtId="0" fontId="14" fillId="0" borderId="0" xfId="0" applyFont="1" applyFill="1" applyBorder="1" applyAlignment="1">
      <alignment horizontal="center"/>
    </xf>
    <xf numFmtId="0" fontId="15" fillId="0" borderId="0" xfId="0" applyFont="1" applyFill="1" applyBorder="1" applyAlignment="1"/>
    <xf numFmtId="0" fontId="5" fillId="3" borderId="0" xfId="0" applyFont="1" applyFill="1" applyAlignment="1"/>
    <xf numFmtId="0" fontId="5" fillId="3" borderId="0" xfId="0" applyFont="1" applyFill="1"/>
    <xf numFmtId="164" fontId="5" fillId="2" borderId="0" xfId="1" applyNumberFormat="1" applyFont="1" applyFill="1" applyBorder="1"/>
    <xf numFmtId="0" fontId="5" fillId="0" borderId="0" xfId="0" applyNumberFormat="1" applyFont="1" applyBorder="1"/>
    <xf numFmtId="0" fontId="3" fillId="0" borderId="0" xfId="0" applyFont="1" applyBorder="1" applyAlignment="1"/>
    <xf numFmtId="173" fontId="5" fillId="0" borderId="0" xfId="0" applyNumberFormat="1" applyFont="1" applyBorder="1" applyAlignment="1">
      <alignment horizontal="right"/>
    </xf>
    <xf numFmtId="3" fontId="3" fillId="0" borderId="0" xfId="0" applyNumberFormat="1" applyFont="1" applyFill="1" applyBorder="1" applyAlignment="1"/>
    <xf numFmtId="169" fontId="3" fillId="0" borderId="2" xfId="0" applyNumberFormat="1" applyFont="1" applyBorder="1" applyAlignment="1"/>
    <xf numFmtId="168" fontId="3" fillId="0" borderId="0" xfId="0" applyNumberFormat="1" applyFont="1" applyBorder="1" applyAlignment="1">
      <alignment horizontal="left"/>
    </xf>
    <xf numFmtId="43" fontId="5" fillId="0" borderId="0" xfId="0" applyNumberFormat="1" applyFont="1"/>
    <xf numFmtId="176" fontId="5" fillId="0" borderId="0" xfId="5" applyNumberFormat="1" applyFont="1"/>
    <xf numFmtId="43" fontId="5" fillId="0" borderId="0" xfId="1" applyFont="1"/>
    <xf numFmtId="0" fontId="3" fillId="0" borderId="1" xfId="0" applyNumberFormat="1" applyFont="1" applyBorder="1" applyAlignment="1">
      <alignment horizontal="left"/>
    </xf>
    <xf numFmtId="0" fontId="3" fillId="0" borderId="1" xfId="0" applyFont="1" applyFill="1" applyBorder="1" applyAlignment="1"/>
    <xf numFmtId="0" fontId="3" fillId="0" borderId="1" xfId="0" applyFont="1" applyBorder="1" applyAlignment="1"/>
    <xf numFmtId="3" fontId="3" fillId="0" borderId="1" xfId="0" applyNumberFormat="1" applyFont="1" applyBorder="1"/>
    <xf numFmtId="0" fontId="5" fillId="3" borderId="0" xfId="0" applyNumberFormat="1" applyFont="1" applyFill="1" applyAlignment="1">
      <alignment horizontal="center"/>
    </xf>
    <xf numFmtId="0" fontId="15" fillId="3" borderId="0" xfId="0" applyNumberFormat="1" applyFont="1" applyFill="1" applyAlignment="1">
      <alignment horizontal="left"/>
    </xf>
    <xf numFmtId="0" fontId="4" fillId="0" borderId="0" xfId="0" applyFont="1"/>
    <xf numFmtId="0" fontId="16" fillId="0" borderId="4" xfId="0" applyNumberFormat="1" applyFont="1" applyBorder="1" applyAlignment="1">
      <alignment horizontal="center"/>
    </xf>
    <xf numFmtId="0" fontId="16" fillId="0" borderId="4" xfId="0" applyFont="1" applyBorder="1" applyAlignment="1"/>
    <xf numFmtId="0" fontId="13" fillId="0" borderId="5" xfId="0" applyNumberFormat="1" applyFont="1" applyBorder="1" applyAlignment="1">
      <alignment horizontal="center"/>
    </xf>
    <xf numFmtId="0" fontId="13" fillId="0" borderId="4" xfId="0" applyNumberFormat="1" applyFont="1" applyBorder="1" applyAlignment="1">
      <alignment horizontal="left"/>
    </xf>
    <xf numFmtId="0" fontId="13" fillId="0" borderId="4" xfId="0" applyFont="1" applyFill="1" applyBorder="1"/>
    <xf numFmtId="0" fontId="13" fillId="0" borderId="4" xfId="0" applyFont="1" applyBorder="1" applyAlignment="1"/>
    <xf numFmtId="3" fontId="13" fillId="0" borderId="4" xfId="0" applyNumberFormat="1" applyFont="1" applyBorder="1"/>
    <xf numFmtId="164" fontId="5" fillId="0" borderId="0" xfId="1" applyNumberFormat="1" applyFont="1"/>
    <xf numFmtId="0" fontId="5" fillId="0" borderId="3" xfId="0" applyNumberFormat="1" applyFont="1" applyFill="1" applyBorder="1" applyAlignment="1">
      <alignment horizontal="left"/>
    </xf>
    <xf numFmtId="0" fontId="3" fillId="0" borderId="4" xfId="0" applyFont="1" applyBorder="1"/>
    <xf numFmtId="0" fontId="13" fillId="0" borderId="0" xfId="0" applyNumberFormat="1" applyFont="1" applyBorder="1" applyAlignment="1">
      <alignment horizontal="center"/>
    </xf>
    <xf numFmtId="0" fontId="13" fillId="0" borderId="4" xfId="0" applyNumberFormat="1" applyFont="1" applyBorder="1" applyAlignment="1">
      <alignment horizontal="center"/>
    </xf>
    <xf numFmtId="0" fontId="3" fillId="0" borderId="0" xfId="0" applyNumberFormat="1" applyFont="1" applyBorder="1" applyAlignment="1">
      <alignment horizontal="left"/>
    </xf>
    <xf numFmtId="164" fontId="3" fillId="0" borderId="2" xfId="1" applyNumberFormat="1" applyFont="1" applyFill="1" applyBorder="1" applyAlignment="1">
      <alignment horizontal="right"/>
    </xf>
    <xf numFmtId="0" fontId="5" fillId="0" borderId="3" xfId="0" applyNumberFormat="1" applyFont="1" applyBorder="1" applyAlignment="1">
      <alignment horizontal="center"/>
    </xf>
    <xf numFmtId="0" fontId="9" fillId="0" borderId="0" xfId="0" applyFont="1" applyFill="1" applyAlignment="1">
      <alignment horizontal="center"/>
    </xf>
    <xf numFmtId="0" fontId="5" fillId="0" borderId="0" xfId="0" applyFont="1" applyBorder="1" applyAlignment="1">
      <alignment horizontal="center"/>
    </xf>
    <xf numFmtId="0" fontId="7" fillId="0" borderId="0" xfId="0" applyFont="1" applyFill="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3" fillId="0" borderId="2" xfId="0" applyFont="1" applyBorder="1" applyAlignment="1">
      <alignment horizontal="center"/>
    </xf>
    <xf numFmtId="0" fontId="5" fillId="0" borderId="1" xfId="0" applyNumberFormat="1" applyFont="1" applyBorder="1" applyAlignment="1">
      <alignment horizontal="center"/>
    </xf>
    <xf numFmtId="0" fontId="5" fillId="0" borderId="3" xfId="0" applyNumberFormat="1" applyFont="1" applyFill="1" applyBorder="1" applyAlignment="1">
      <alignment horizontal="center"/>
    </xf>
    <xf numFmtId="0" fontId="5" fillId="0" borderId="1" xfId="0" applyFont="1" applyFill="1" applyBorder="1" applyAlignment="1">
      <alignment horizontal="center"/>
    </xf>
    <xf numFmtId="0" fontId="5" fillId="0" borderId="3" xfId="0" applyFont="1" applyBorder="1" applyAlignment="1">
      <alignment horizontal="center"/>
    </xf>
    <xf numFmtId="0" fontId="3" fillId="0" borderId="0" xfId="0" applyFont="1" applyBorder="1" applyAlignment="1">
      <alignment horizontal="center"/>
    </xf>
    <xf numFmtId="3" fontId="3" fillId="0" borderId="2" xfId="0" applyNumberFormat="1" applyFont="1" applyBorder="1" applyAlignment="1">
      <alignment horizontal="center"/>
    </xf>
    <xf numFmtId="0" fontId="5" fillId="0" borderId="0" xfId="0" applyNumberFormat="1" applyFont="1" applyFill="1" applyBorder="1" applyAlignment="1">
      <alignment horizontal="center"/>
    </xf>
    <xf numFmtId="3" fontId="3" fillId="0" borderId="1" xfId="0" applyNumberFormat="1" applyFont="1" applyBorder="1" applyAlignment="1">
      <alignment horizontal="center"/>
    </xf>
    <xf numFmtId="0" fontId="13" fillId="0" borderId="4" xfId="0" applyFont="1" applyBorder="1" applyAlignment="1">
      <alignment horizontal="center"/>
    </xf>
    <xf numFmtId="0" fontId="5" fillId="0" borderId="3" xfId="0" applyFont="1" applyFill="1" applyBorder="1" applyAlignment="1"/>
    <xf numFmtId="0" fontId="7" fillId="0" borderId="0" xfId="0" applyFont="1" applyFill="1" applyBorder="1" applyAlignment="1">
      <alignment horizontal="center"/>
    </xf>
    <xf numFmtId="0" fontId="17" fillId="0" borderId="0" xfId="0" applyFont="1" applyBorder="1" applyAlignment="1"/>
    <xf numFmtId="0" fontId="18" fillId="0" borderId="0" xfId="0" applyFont="1" applyBorder="1" applyAlignment="1">
      <alignment horizontal="center"/>
    </xf>
    <xf numFmtId="37" fontId="17" fillId="0" borderId="0" xfId="0" applyNumberFormat="1" applyFont="1" applyBorder="1" applyAlignment="1">
      <alignment horizontal="left"/>
    </xf>
    <xf numFmtId="0" fontId="17" fillId="0" borderId="0" xfId="0" applyFont="1" applyFill="1" applyAlignment="1"/>
    <xf numFmtId="0" fontId="7" fillId="0" borderId="1" xfId="0" applyFont="1" applyFill="1" applyBorder="1" applyAlignment="1"/>
    <xf numFmtId="0" fontId="7" fillId="0" borderId="3" xfId="0" applyFont="1" applyFill="1" applyBorder="1" applyAlignment="1"/>
    <xf numFmtId="0" fontId="7" fillId="0" borderId="3" xfId="0" applyFont="1" applyFill="1" applyBorder="1" applyAlignment="1">
      <alignment horizontal="center"/>
    </xf>
    <xf numFmtId="0" fontId="7" fillId="0" borderId="1" xfId="0" applyNumberFormat="1"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Alignment="1">
      <alignment horizontal="left"/>
    </xf>
    <xf numFmtId="0" fontId="16" fillId="0" borderId="0" xfId="0" applyNumberFormat="1" applyFont="1" applyBorder="1" applyAlignment="1">
      <alignment horizontal="center"/>
    </xf>
    <xf numFmtId="0" fontId="16" fillId="0" borderId="0" xfId="0" applyFont="1" applyBorder="1" applyAlignment="1"/>
    <xf numFmtId="0" fontId="17" fillId="0" borderId="0" xfId="0" applyFont="1" applyAlignment="1"/>
    <xf numFmtId="0" fontId="3" fillId="0" borderId="0" xfId="0" applyFont="1" applyFill="1"/>
    <xf numFmtId="37" fontId="13" fillId="0" borderId="4" xfId="0" applyNumberFormat="1" applyFont="1" applyBorder="1" applyAlignment="1">
      <alignment horizontal="center"/>
    </xf>
    <xf numFmtId="0" fontId="3" fillId="0" borderId="0" xfId="0" applyFont="1" applyFill="1" applyBorder="1"/>
    <xf numFmtId="3" fontId="3" fillId="0" borderId="0" xfId="0" applyNumberFormat="1" applyFont="1" applyFill="1" applyBorder="1"/>
    <xf numFmtId="10" fontId="8" fillId="0" borderId="0" xfId="0" applyNumberFormat="1" applyFont="1" applyFill="1" applyAlignment="1">
      <alignment horizontal="right"/>
    </xf>
    <xf numFmtId="3" fontId="9" fillId="0" borderId="0" xfId="0" applyNumberFormat="1" applyFont="1" applyBorder="1" applyAlignment="1"/>
    <xf numFmtId="0" fontId="9" fillId="0" borderId="0" xfId="0" applyNumberFormat="1" applyFont="1" applyFill="1" applyBorder="1" applyAlignment="1">
      <alignment horizontal="center"/>
    </xf>
    <xf numFmtId="0" fontId="21" fillId="0" borderId="0" xfId="0" applyFont="1"/>
    <xf numFmtId="0" fontId="0" fillId="0" borderId="0" xfId="0" applyAlignment="1">
      <alignment horizontal="center"/>
    </xf>
    <xf numFmtId="0" fontId="13" fillId="0" borderId="0" xfId="0" applyNumberFormat="1" applyFont="1" applyFill="1" applyBorder="1" applyAlignment="1">
      <alignment horizontal="center"/>
    </xf>
    <xf numFmtId="0" fontId="21" fillId="0" borderId="0" xfId="0" applyFont="1" applyFill="1" applyAlignment="1">
      <alignment horizontal="center"/>
    </xf>
    <xf numFmtId="0" fontId="23" fillId="0" borderId="0" xfId="0" applyFont="1" applyAlignment="1">
      <alignment horizontal="left"/>
    </xf>
    <xf numFmtId="0" fontId="23" fillId="0" borderId="0" xfId="0" applyFont="1"/>
    <xf numFmtId="0" fontId="25" fillId="0" borderId="0" xfId="0" applyFont="1"/>
    <xf numFmtId="0" fontId="25" fillId="0" borderId="0" xfId="0" applyFont="1" applyFill="1"/>
    <xf numFmtId="0" fontId="25" fillId="0" borderId="0" xfId="0" applyFont="1" applyBorder="1"/>
    <xf numFmtId="0" fontId="24" fillId="0" borderId="0" xfId="0" applyFont="1" applyBorder="1"/>
    <xf numFmtId="0" fontId="21" fillId="0" borderId="0" xfId="0" applyFont="1" applyAlignment="1">
      <alignment horizontal="center"/>
    </xf>
    <xf numFmtId="0" fontId="10" fillId="0" borderId="0" xfId="0" applyFont="1"/>
    <xf numFmtId="0" fontId="21" fillId="0" borderId="0" xfId="0" applyNumberFormat="1" applyFont="1" applyFill="1" applyBorder="1" applyAlignment="1">
      <alignment horizontal="center"/>
    </xf>
    <xf numFmtId="0" fontId="21" fillId="0" borderId="0" xfId="0" applyFont="1" applyBorder="1" applyAlignment="1">
      <alignment horizontal="center"/>
    </xf>
    <xf numFmtId="0" fontId="27" fillId="0" borderId="0" xfId="0" applyFont="1" applyAlignment="1">
      <alignment horizontal="center"/>
    </xf>
    <xf numFmtId="0" fontId="10" fillId="0" borderId="0" xfId="0" applyFont="1" applyFill="1"/>
    <xf numFmtId="164" fontId="3" fillId="0" borderId="0" xfId="1" applyNumberFormat="1" applyFont="1" applyAlignment="1"/>
    <xf numFmtId="0" fontId="7" fillId="0" borderId="0" xfId="0" applyFont="1" applyFill="1" applyBorder="1"/>
    <xf numFmtId="3" fontId="5" fillId="0" borderId="0" xfId="0" applyNumberFormat="1" applyFont="1" applyFill="1" applyBorder="1" applyAlignment="1">
      <alignment horizontal="right"/>
    </xf>
    <xf numFmtId="0" fontId="20" fillId="0" borderId="0" xfId="0" applyFont="1" applyFill="1" applyBorder="1" applyAlignment="1">
      <alignment horizontal="left"/>
    </xf>
    <xf numFmtId="0" fontId="3" fillId="0" borderId="0" xfId="0" applyFont="1" applyFill="1" applyBorder="1" applyAlignment="1">
      <alignment horizontal="center" wrapText="1"/>
    </xf>
    <xf numFmtId="0" fontId="5" fillId="0" borderId="0" xfId="0" applyFont="1" applyAlignment="1">
      <alignment wrapText="1"/>
    </xf>
    <xf numFmtId="0" fontId="5" fillId="2" borderId="0" xfId="0" applyFont="1" applyFill="1"/>
    <xf numFmtId="0" fontId="5" fillId="0" borderId="3" xfId="0" applyFont="1" applyBorder="1"/>
    <xf numFmtId="10" fontId="5" fillId="0" borderId="0" xfId="5" applyNumberFormat="1" applyFont="1" applyFill="1"/>
    <xf numFmtId="164" fontId="0" fillId="0" borderId="0" xfId="1" applyNumberFormat="1" applyFont="1"/>
    <xf numFmtId="43" fontId="0" fillId="0" borderId="0" xfId="0" applyNumberForma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164" fontId="0" fillId="0" borderId="0" xfId="1" applyNumberFormat="1" applyFont="1" applyFill="1"/>
    <xf numFmtId="173" fontId="0" fillId="0" borderId="0" xfId="5" applyNumberFormat="1" applyFont="1"/>
    <xf numFmtId="0" fontId="2" fillId="0" borderId="0" xfId="0" applyFont="1" applyAlignment="1">
      <alignment horizontal="left"/>
    </xf>
    <xf numFmtId="0" fontId="5" fillId="2" borderId="3" xfId="0" applyFont="1" applyFill="1" applyBorder="1"/>
    <xf numFmtId="3" fontId="3" fillId="0" borderId="1" xfId="0" applyNumberFormat="1" applyFont="1" applyFill="1" applyBorder="1" applyAlignment="1">
      <alignment horizontal="right"/>
    </xf>
    <xf numFmtId="3" fontId="3" fillId="0" borderId="1" xfId="0" applyNumberFormat="1" applyFont="1" applyBorder="1" applyAlignment="1"/>
    <xf numFmtId="3" fontId="3" fillId="2" borderId="1" xfId="0" applyNumberFormat="1" applyFont="1" applyFill="1" applyBorder="1" applyAlignment="1"/>
    <xf numFmtId="3" fontId="3" fillId="0" borderId="1" xfId="0" applyNumberFormat="1" applyFont="1" applyFill="1" applyBorder="1" applyAlignment="1"/>
    <xf numFmtId="164" fontId="3" fillId="0" borderId="0" xfId="1" applyNumberFormat="1" applyFont="1" applyFill="1" applyAlignment="1"/>
    <xf numFmtId="3" fontId="13" fillId="0" borderId="4" xfId="0" applyNumberFormat="1" applyFont="1" applyBorder="1" applyAlignment="1"/>
    <xf numFmtId="0" fontId="5" fillId="0" borderId="3" xfId="0" applyFont="1" applyFill="1" applyBorder="1" applyAlignment="1">
      <alignment horizontal="center"/>
    </xf>
    <xf numFmtId="0" fontId="30" fillId="0" borderId="0" xfId="0" applyFont="1" applyFill="1" applyBorder="1" applyAlignment="1">
      <alignment horizontal="center"/>
    </xf>
    <xf numFmtId="0" fontId="29" fillId="0" borderId="0" xfId="0" applyFont="1" applyBorder="1" applyAlignment="1">
      <alignment horizontal="center"/>
    </xf>
    <xf numFmtId="0" fontId="29" fillId="0" borderId="0" xfId="0" applyNumberFormat="1" applyFont="1" applyBorder="1" applyAlignment="1">
      <alignment horizontal="left"/>
    </xf>
    <xf numFmtId="0" fontId="32" fillId="0" borderId="0" xfId="0" applyNumberFormat="1" applyFont="1" applyFill="1" applyAlignment="1"/>
    <xf numFmtId="0" fontId="17" fillId="0" borderId="0" xfId="0" applyNumberFormat="1" applyFont="1" applyAlignment="1">
      <alignment horizontal="center"/>
    </xf>
    <xf numFmtId="0" fontId="17" fillId="0" borderId="0" xfId="0" applyFont="1" applyFill="1" applyBorder="1"/>
    <xf numFmtId="0" fontId="17" fillId="0" borderId="0" xfId="0" applyFont="1" applyBorder="1" applyAlignment="1">
      <alignment horizontal="center"/>
    </xf>
    <xf numFmtId="0" fontId="17" fillId="0" borderId="1" xfId="0" applyNumberFormat="1" applyFont="1" applyBorder="1" applyAlignment="1"/>
    <xf numFmtId="3" fontId="17" fillId="0" borderId="1" xfId="0" applyNumberFormat="1" applyFont="1" applyBorder="1" applyAlignment="1"/>
    <xf numFmtId="3" fontId="17" fillId="0" borderId="1" xfId="0" applyNumberFormat="1" applyFont="1" applyBorder="1" applyAlignment="1">
      <alignment horizontal="center"/>
    </xf>
    <xf numFmtId="0" fontId="32" fillId="0" borderId="2" xfId="0" applyNumberFormat="1" applyFont="1" applyFill="1" applyBorder="1" applyAlignment="1"/>
    <xf numFmtId="0" fontId="17" fillId="0" borderId="2" xfId="0" applyFont="1" applyFill="1" applyBorder="1" applyAlignment="1"/>
    <xf numFmtId="3" fontId="17" fillId="0" borderId="2" xfId="0" applyNumberFormat="1" applyFont="1" applyFill="1" applyBorder="1" applyAlignment="1">
      <alignment horizontal="center"/>
    </xf>
    <xf numFmtId="3" fontId="17" fillId="0" borderId="0" xfId="0" applyNumberFormat="1" applyFont="1" applyFill="1" applyAlignment="1">
      <alignment horizontal="center"/>
    </xf>
    <xf numFmtId="0" fontId="33" fillId="0" borderId="0" xfId="0" applyFont="1" applyFill="1" applyBorder="1" applyAlignment="1">
      <alignment horizontal="center"/>
    </xf>
    <xf numFmtId="0" fontId="17" fillId="0" borderId="0" xfId="0" applyFont="1" applyFill="1" applyBorder="1" applyAlignment="1"/>
    <xf numFmtId="0" fontId="34" fillId="3" borderId="0" xfId="0" applyFont="1" applyFill="1" applyBorder="1" applyAlignment="1"/>
    <xf numFmtId="0" fontId="17" fillId="3" borderId="0" xfId="0" applyFont="1" applyFill="1" applyBorder="1" applyAlignment="1"/>
    <xf numFmtId="0" fontId="32" fillId="3" borderId="0" xfId="0" applyNumberFormat="1" applyFont="1" applyFill="1" applyBorder="1" applyAlignment="1">
      <alignment horizontal="center"/>
    </xf>
    <xf numFmtId="0" fontId="34" fillId="0" borderId="0" xfId="0" applyFont="1" applyFill="1" applyBorder="1" applyAlignment="1"/>
    <xf numFmtId="0" fontId="32" fillId="0" borderId="0" xfId="0" applyNumberFormat="1" applyFont="1" applyFill="1" applyBorder="1" applyAlignment="1">
      <alignment horizontal="center"/>
    </xf>
    <xf numFmtId="3" fontId="17" fillId="0" borderId="0" xfId="0" applyNumberFormat="1" applyFont="1" applyBorder="1" applyAlignment="1"/>
    <xf numFmtId="0" fontId="17" fillId="0" borderId="0" xfId="0" applyNumberFormat="1" applyFont="1" applyBorder="1" applyAlignment="1"/>
    <xf numFmtId="3" fontId="17" fillId="0" borderId="0" xfId="0" applyNumberFormat="1" applyFont="1" applyBorder="1" applyAlignment="1">
      <alignment horizontal="center"/>
    </xf>
    <xf numFmtId="0" fontId="32" fillId="0" borderId="0" xfId="0" applyNumberFormat="1" applyFont="1" applyFill="1" applyBorder="1" applyAlignment="1">
      <alignment horizontal="left"/>
    </xf>
    <xf numFmtId="3" fontId="17" fillId="0" borderId="0" xfId="0" applyNumberFormat="1" applyFont="1" applyFill="1" applyBorder="1" applyAlignment="1"/>
    <xf numFmtId="0" fontId="17" fillId="0" borderId="0" xfId="0" applyNumberFormat="1" applyFont="1" applyFill="1" applyBorder="1" applyAlignment="1"/>
    <xf numFmtId="0" fontId="33" fillId="0" borderId="0" xfId="0" applyFont="1" applyFill="1" applyBorder="1"/>
    <xf numFmtId="3" fontId="33" fillId="0" borderId="0" xfId="0" applyNumberFormat="1" applyFont="1" applyFill="1" applyBorder="1" applyAlignment="1">
      <alignment horizontal="center"/>
    </xf>
    <xf numFmtId="0" fontId="17" fillId="0" borderId="0" xfId="0" applyFont="1" applyFill="1" applyBorder="1" applyAlignment="1">
      <alignment horizontal="left"/>
    </xf>
    <xf numFmtId="0" fontId="17" fillId="0" borderId="0" xfId="0" applyNumberFormat="1" applyFont="1" applyBorder="1" applyAlignment="1">
      <alignment horizontal="center"/>
    </xf>
    <xf numFmtId="0" fontId="32" fillId="0" borderId="0" xfId="0" applyFont="1" applyBorder="1" applyAlignment="1">
      <alignment horizontal="left"/>
    </xf>
    <xf numFmtId="0" fontId="17" fillId="0" borderId="0" xfId="0" applyNumberFormat="1" applyFont="1" applyFill="1" applyBorder="1" applyAlignment="1">
      <alignment horizontal="left"/>
    </xf>
    <xf numFmtId="0" fontId="17" fillId="0" borderId="0" xfId="0" applyNumberFormat="1" applyFont="1" applyBorder="1" applyAlignment="1">
      <alignment horizontal="left"/>
    </xf>
    <xf numFmtId="3" fontId="32" fillId="0" borderId="0" xfId="0" applyNumberFormat="1" applyFont="1" applyBorder="1" applyAlignment="1"/>
    <xf numFmtId="3" fontId="32" fillId="0" borderId="0" xfId="0" applyNumberFormat="1" applyFont="1" applyFill="1" applyBorder="1" applyAlignment="1"/>
    <xf numFmtId="0" fontId="17" fillId="0" borderId="0" xfId="0" applyFont="1" applyFill="1" applyBorder="1" applyAlignment="1">
      <alignment horizontal="center"/>
    </xf>
    <xf numFmtId="0" fontId="32" fillId="0" borderId="0" xfId="0" applyNumberFormat="1" applyFont="1" applyBorder="1" applyAlignment="1"/>
    <xf numFmtId="0" fontId="32" fillId="0" borderId="0" xfId="0" applyFont="1" applyBorder="1" applyAlignment="1"/>
    <xf numFmtId="0" fontId="32" fillId="0" borderId="0" xfId="0" applyFont="1" applyBorder="1" applyAlignment="1">
      <alignment horizontal="center"/>
    </xf>
    <xf numFmtId="168" fontId="32" fillId="0" borderId="0" xfId="0" applyNumberFormat="1" applyFont="1" applyBorder="1" applyAlignment="1">
      <alignment horizontal="left"/>
    </xf>
    <xf numFmtId="0" fontId="17" fillId="0" borderId="0" xfId="0" applyFont="1" applyBorder="1"/>
    <xf numFmtId="168" fontId="17" fillId="0" borderId="0" xfId="0" applyNumberFormat="1" applyFont="1" applyBorder="1" applyAlignment="1">
      <alignment horizontal="left"/>
    </xf>
    <xf numFmtId="0" fontId="38" fillId="0" borderId="5" xfId="0" applyNumberFormat="1" applyFont="1" applyBorder="1" applyAlignment="1">
      <alignment horizontal="center"/>
    </xf>
    <xf numFmtId="0" fontId="38" fillId="0" borderId="0" xfId="0" applyNumberFormat="1" applyFont="1" applyBorder="1" applyAlignment="1">
      <alignment horizontal="center"/>
    </xf>
    <xf numFmtId="0" fontId="32" fillId="0" borderId="0" xfId="0" applyNumberFormat="1" applyFont="1" applyBorder="1" applyAlignment="1">
      <alignment horizontal="left"/>
    </xf>
    <xf numFmtId="0" fontId="38" fillId="0" borderId="0" xfId="0" applyNumberFormat="1" applyFont="1" applyFill="1" applyBorder="1" applyAlignment="1"/>
    <xf numFmtId="0" fontId="38" fillId="0" borderId="0" xfId="0" applyFont="1" applyFill="1" applyBorder="1" applyAlignment="1"/>
    <xf numFmtId="3" fontId="38" fillId="0" borderId="0" xfId="0" applyNumberFormat="1" applyFont="1" applyBorder="1" applyAlignment="1">
      <alignment horizontal="center"/>
    </xf>
    <xf numFmtId="0" fontId="17" fillId="0" borderId="0" xfId="0" applyNumberFormat="1" applyFont="1" applyFill="1" applyBorder="1" applyAlignment="1">
      <alignment horizontal="center"/>
    </xf>
    <xf numFmtId="3" fontId="38" fillId="0" borderId="0" xfId="0" applyNumberFormat="1" applyFont="1" applyFill="1" applyBorder="1" applyAlignment="1">
      <alignment horizontal="center"/>
    </xf>
    <xf numFmtId="0" fontId="32" fillId="0" borderId="0" xfId="0" applyNumberFormat="1" applyFont="1" applyFill="1" applyBorder="1" applyAlignment="1"/>
    <xf numFmtId="0" fontId="38" fillId="0" borderId="4" xfId="0" applyNumberFormat="1" applyFont="1" applyBorder="1" applyAlignment="1">
      <alignment horizontal="left"/>
    </xf>
    <xf numFmtId="0" fontId="32" fillId="0" borderId="0" xfId="0" applyFont="1" applyFill="1" applyBorder="1"/>
    <xf numFmtId="0" fontId="33" fillId="0" borderId="0" xfId="0" applyFont="1" applyBorder="1" applyAlignment="1">
      <alignment horizontal="center"/>
    </xf>
    <xf numFmtId="0" fontId="18" fillId="2" borderId="0" xfId="0" applyFont="1" applyFill="1" applyBorder="1" applyAlignment="1">
      <alignment horizontal="center"/>
    </xf>
    <xf numFmtId="0" fontId="38" fillId="0" borderId="4" xfId="0" applyNumberFormat="1" applyFont="1" applyBorder="1" applyAlignment="1">
      <alignment horizontal="center"/>
    </xf>
    <xf numFmtId="0" fontId="32" fillId="0" borderId="6" xfId="0" applyNumberFormat="1" applyFont="1" applyFill="1" applyBorder="1" applyAlignment="1">
      <alignment horizontal="center"/>
    </xf>
    <xf numFmtId="3" fontId="17" fillId="0" borderId="7" xfId="0" applyNumberFormat="1" applyFont="1" applyBorder="1" applyAlignment="1"/>
    <xf numFmtId="0" fontId="17" fillId="0" borderId="6" xfId="0" applyNumberFormat="1" applyFont="1" applyBorder="1" applyAlignment="1">
      <alignment horizontal="center"/>
    </xf>
    <xf numFmtId="0" fontId="33" fillId="0" borderId="0" xfId="0" applyFont="1" applyFill="1" applyBorder="1" applyAlignment="1">
      <alignment horizontal="left"/>
    </xf>
    <xf numFmtId="0" fontId="17" fillId="0" borderId="6" xfId="0" applyFont="1" applyBorder="1" applyAlignment="1">
      <alignment horizontal="center"/>
    </xf>
    <xf numFmtId="0" fontId="17" fillId="0" borderId="7" xfId="0" applyFont="1" applyBorder="1"/>
    <xf numFmtId="0" fontId="17" fillId="0" borderId="7" xfId="0" applyFont="1" applyFill="1" applyBorder="1"/>
    <xf numFmtId="3" fontId="17" fillId="0" borderId="11" xfId="0" applyNumberFormat="1" applyFont="1" applyBorder="1" applyAlignment="1"/>
    <xf numFmtId="0" fontId="17" fillId="0" borderId="7" xfId="0" applyFont="1" applyBorder="1" applyAlignment="1"/>
    <xf numFmtId="3" fontId="17" fillId="0" borderId="12" xfId="0" applyNumberFormat="1" applyFont="1" applyBorder="1" applyAlignment="1"/>
    <xf numFmtId="3" fontId="17" fillId="0" borderId="0" xfId="0" applyNumberFormat="1" applyFont="1" applyFill="1" applyBorder="1" applyAlignment="1">
      <alignment horizontal="center"/>
    </xf>
    <xf numFmtId="0" fontId="17" fillId="0" borderId="6" xfId="0" applyNumberFormat="1" applyFont="1" applyFill="1" applyBorder="1" applyAlignment="1">
      <alignment horizontal="center"/>
    </xf>
    <xf numFmtId="3" fontId="17" fillId="0" borderId="7" xfId="0" applyNumberFormat="1" applyFont="1" applyFill="1" applyBorder="1" applyAlignment="1"/>
    <xf numFmtId="0" fontId="17" fillId="0" borderId="6" xfId="0" applyNumberFormat="1" applyFont="1" applyBorder="1" applyAlignment="1">
      <alignment horizontal="left"/>
    </xf>
    <xf numFmtId="0" fontId="34" fillId="3" borderId="6" xfId="0" applyFont="1" applyFill="1" applyBorder="1" applyAlignment="1">
      <alignment horizontal="left"/>
    </xf>
    <xf numFmtId="0" fontId="17" fillId="3" borderId="7" xfId="0" applyFont="1" applyFill="1" applyBorder="1"/>
    <xf numFmtId="0" fontId="35" fillId="0" borderId="6" xfId="0" applyFont="1" applyFill="1" applyBorder="1" applyAlignment="1">
      <alignment horizontal="center"/>
    </xf>
    <xf numFmtId="0" fontId="17" fillId="0" borderId="6" xfId="0" applyFont="1" applyFill="1" applyBorder="1" applyAlignment="1">
      <alignment horizontal="center"/>
    </xf>
    <xf numFmtId="0" fontId="17" fillId="0" borderId="0" xfId="0" applyFont="1" applyFill="1" applyBorder="1" applyAlignment="1">
      <alignment horizontal="right"/>
    </xf>
    <xf numFmtId="0" fontId="17" fillId="0" borderId="7" xfId="0" applyFont="1" applyFill="1" applyBorder="1" applyAlignment="1">
      <alignment horizontal="left"/>
    </xf>
    <xf numFmtId="0" fontId="18" fillId="0" borderId="0" xfId="0" applyFont="1" applyFill="1" applyBorder="1"/>
    <xf numFmtId="3" fontId="36" fillId="0" borderId="0" xfId="0" applyNumberFormat="1" applyFont="1" applyFill="1" applyBorder="1" applyAlignment="1">
      <alignment horizontal="center"/>
    </xf>
    <xf numFmtId="0" fontId="17" fillId="5" borderId="6" xfId="0" applyNumberFormat="1" applyFont="1" applyFill="1" applyBorder="1" applyAlignment="1">
      <alignment horizontal="center"/>
    </xf>
    <xf numFmtId="3" fontId="33" fillId="0" borderId="7" xfId="0" applyNumberFormat="1" applyFont="1" applyBorder="1" applyAlignment="1">
      <alignment horizontal="right"/>
    </xf>
    <xf numFmtId="0" fontId="37" fillId="0" borderId="0" xfId="0" applyNumberFormat="1" applyFont="1" applyFill="1" applyBorder="1" applyAlignment="1">
      <alignment horizontal="left"/>
    </xf>
    <xf numFmtId="0" fontId="17" fillId="0" borderId="7" xfId="0" applyNumberFormat="1" applyFont="1" applyBorder="1" applyAlignment="1">
      <alignment horizontal="left"/>
    </xf>
    <xf numFmtId="0" fontId="17" fillId="0" borderId="0" xfId="0" applyNumberFormat="1" applyFont="1" applyFill="1" applyBorder="1" applyAlignment="1">
      <alignment horizontal="right"/>
    </xf>
    <xf numFmtId="0" fontId="36" fillId="0" borderId="0" xfId="0" applyFont="1" applyFill="1" applyBorder="1" applyAlignment="1">
      <alignment horizontal="center"/>
    </xf>
    <xf numFmtId="3" fontId="33" fillId="0" borderId="7" xfId="0" applyNumberFormat="1" applyFont="1" applyFill="1" applyBorder="1" applyAlignment="1">
      <alignment horizontal="right"/>
    </xf>
    <xf numFmtId="0" fontId="17" fillId="0" borderId="7" xfId="0" applyNumberFormat="1" applyFont="1" applyFill="1" applyBorder="1" applyAlignment="1">
      <alignment horizontal="left"/>
    </xf>
    <xf numFmtId="0" fontId="17" fillId="0" borderId="0" xfId="0" applyFont="1" applyBorder="1" applyAlignment="1">
      <alignment horizontal="left"/>
    </xf>
    <xf numFmtId="0" fontId="32" fillId="0" borderId="0" xfId="0" applyNumberFormat="1" applyFont="1" applyFill="1" applyBorder="1" applyAlignment="1">
      <alignment horizontal="right"/>
    </xf>
    <xf numFmtId="0" fontId="32" fillId="0" borderId="6" xfId="0" applyFont="1" applyBorder="1"/>
    <xf numFmtId="0" fontId="32" fillId="0" borderId="0" xfId="0" applyFont="1" applyBorder="1"/>
    <xf numFmtId="3" fontId="33" fillId="0" borderId="0" xfId="0" applyNumberFormat="1" applyFont="1" applyBorder="1" applyAlignment="1">
      <alignment horizontal="center"/>
    </xf>
    <xf numFmtId="0" fontId="32" fillId="3" borderId="0" xfId="0" applyNumberFormat="1" applyFont="1" applyFill="1" applyBorder="1" applyAlignment="1">
      <alignment horizontal="left"/>
    </xf>
    <xf numFmtId="0" fontId="17" fillId="0" borderId="7" xfId="0" applyFont="1" applyFill="1" applyBorder="1" applyAlignment="1"/>
    <xf numFmtId="0" fontId="17" fillId="0" borderId="7" xfId="0" applyNumberFormat="1" applyFont="1" applyFill="1" applyBorder="1" applyAlignment="1"/>
    <xf numFmtId="0" fontId="17" fillId="0" borderId="7" xfId="0" applyFont="1" applyBorder="1" applyAlignment="1">
      <alignment horizontal="right"/>
    </xf>
    <xf numFmtId="0" fontId="17" fillId="0" borderId="0" xfId="0" applyNumberFormat="1" applyFont="1" applyBorder="1" applyAlignment="1">
      <alignment horizontal="right"/>
    </xf>
    <xf numFmtId="0" fontId="33" fillId="0" borderId="0" xfId="0" applyNumberFormat="1" applyFont="1" applyFill="1" applyBorder="1" applyAlignment="1">
      <alignment horizontal="center"/>
    </xf>
    <xf numFmtId="0" fontId="17" fillId="0" borderId="7" xfId="0" applyNumberFormat="1" applyFont="1" applyBorder="1" applyAlignment="1"/>
    <xf numFmtId="3" fontId="17" fillId="0" borderId="0" xfId="0" applyNumberFormat="1" applyFont="1" applyBorder="1" applyAlignment="1">
      <alignment horizontal="left"/>
    </xf>
    <xf numFmtId="0" fontId="17" fillId="0" borderId="0" xfId="0" applyNumberFormat="1" applyFont="1" applyFill="1" applyBorder="1"/>
    <xf numFmtId="170" fontId="17" fillId="0" borderId="0" xfId="0" applyNumberFormat="1" applyFont="1" applyBorder="1" applyAlignment="1"/>
    <xf numFmtId="0" fontId="38" fillId="0" borderId="6" xfId="0" applyNumberFormat="1" applyFont="1" applyBorder="1" applyAlignment="1">
      <alignment horizontal="center"/>
    </xf>
    <xf numFmtId="3" fontId="32" fillId="0" borderId="7" xfId="0" applyNumberFormat="1" applyFont="1" applyBorder="1" applyAlignment="1"/>
    <xf numFmtId="0" fontId="40" fillId="0" borderId="6" xfId="0" applyFont="1" applyBorder="1" applyAlignment="1">
      <alignment horizontal="left"/>
    </xf>
    <xf numFmtId="0" fontId="17" fillId="5" borderId="7" xfId="0" applyFont="1" applyFill="1" applyBorder="1" applyAlignment="1"/>
    <xf numFmtId="0" fontId="41" fillId="2" borderId="0" xfId="0" applyFont="1" applyFill="1" applyBorder="1" applyAlignment="1"/>
    <xf numFmtId="0" fontId="38" fillId="0" borderId="13" xfId="0" applyNumberFormat="1" applyFont="1" applyBorder="1" applyAlignment="1">
      <alignment horizontal="center"/>
    </xf>
    <xf numFmtId="0" fontId="33" fillId="0" borderId="0" xfId="0" applyFont="1" applyFill="1" applyBorder="1" applyAlignment="1"/>
    <xf numFmtId="3" fontId="33" fillId="0" borderId="0" xfId="0" applyNumberFormat="1" applyFont="1" applyBorder="1" applyAlignment="1">
      <alignment horizontal="right"/>
    </xf>
    <xf numFmtId="3" fontId="33" fillId="0" borderId="0" xfId="0" applyNumberFormat="1" applyFont="1" applyFill="1" applyBorder="1" applyAlignment="1">
      <alignment horizontal="right"/>
    </xf>
    <xf numFmtId="0" fontId="32" fillId="0" borderId="0" xfId="0" applyNumberFormat="1" applyFont="1" applyBorder="1" applyAlignment="1">
      <alignment horizontal="center"/>
    </xf>
    <xf numFmtId="0" fontId="33" fillId="0" borderId="0" xfId="0" applyNumberFormat="1" applyFont="1" applyBorder="1" applyAlignment="1">
      <alignment horizontal="center"/>
    </xf>
    <xf numFmtId="165" fontId="17" fillId="0" borderId="0" xfId="3" applyFont="1" applyBorder="1" applyAlignment="1">
      <alignment vertical="center"/>
    </xf>
    <xf numFmtId="3" fontId="32" fillId="0" borderId="0" xfId="0" applyNumberFormat="1" applyFont="1" applyBorder="1" applyAlignment="1">
      <alignment horizontal="center"/>
    </xf>
    <xf numFmtId="0" fontId="32" fillId="0" borderId="0" xfId="0" applyFont="1" applyFill="1" applyBorder="1" applyAlignment="1"/>
    <xf numFmtId="0" fontId="39" fillId="0" borderId="0" xfId="0" applyNumberFormat="1" applyFont="1" applyBorder="1" applyAlignment="1">
      <alignment horizontal="center"/>
    </xf>
    <xf numFmtId="0" fontId="38" fillId="0" borderId="0" xfId="0" applyNumberFormat="1" applyFont="1" applyBorder="1" applyAlignment="1">
      <alignment horizontal="left"/>
    </xf>
    <xf numFmtId="0" fontId="38" fillId="0" borderId="0" xfId="0" applyFont="1" applyFill="1" applyBorder="1"/>
    <xf numFmtId="0" fontId="38" fillId="0" borderId="0" xfId="0" applyFont="1" applyBorder="1" applyAlignment="1">
      <alignment horizontal="center"/>
    </xf>
    <xf numFmtId="3" fontId="38" fillId="0" borderId="7" xfId="0" applyNumberFormat="1" applyFont="1" applyBorder="1" applyAlignment="1"/>
    <xf numFmtId="0" fontId="17" fillId="0" borderId="8" xfId="0" applyNumberFormat="1" applyFont="1" applyFill="1" applyBorder="1" applyAlignment="1">
      <alignment horizontal="center"/>
    </xf>
    <xf numFmtId="0" fontId="17" fillId="0" borderId="9" xfId="0" applyNumberFormat="1" applyFont="1" applyBorder="1" applyAlignment="1">
      <alignment horizontal="center"/>
    </xf>
    <xf numFmtId="0" fontId="17" fillId="0" borderId="9" xfId="0" applyFont="1" applyBorder="1" applyAlignment="1"/>
    <xf numFmtId="0" fontId="33" fillId="0" borderId="9" xfId="0" applyFont="1" applyBorder="1" applyAlignment="1">
      <alignment horizontal="center"/>
    </xf>
    <xf numFmtId="0" fontId="17" fillId="0" borderId="10" xfId="0" applyFont="1" applyFill="1" applyBorder="1"/>
    <xf numFmtId="0" fontId="17" fillId="0" borderId="9" xfId="0" applyNumberFormat="1" applyFont="1" applyFill="1" applyBorder="1" applyAlignment="1">
      <alignment horizontal="center"/>
    </xf>
    <xf numFmtId="0" fontId="17" fillId="0" borderId="9" xfId="0" applyNumberFormat="1" applyFont="1" applyFill="1" applyBorder="1" applyAlignment="1"/>
    <xf numFmtId="0" fontId="17" fillId="0" borderId="9" xfId="0" applyFont="1" applyFill="1" applyBorder="1" applyAlignment="1"/>
    <xf numFmtId="3" fontId="33" fillId="0" borderId="9" xfId="0" applyNumberFormat="1" applyFont="1" applyBorder="1" applyAlignment="1">
      <alignment horizontal="center"/>
    </xf>
    <xf numFmtId="3" fontId="17" fillId="0" borderId="9" xfId="0" applyNumberFormat="1" applyFont="1" applyBorder="1" applyAlignment="1"/>
    <xf numFmtId="0" fontId="43" fillId="0" borderId="0" xfId="0" applyFont="1" applyFill="1" applyBorder="1" applyAlignment="1">
      <alignment horizontal="left"/>
    </xf>
    <xf numFmtId="0" fontId="17" fillId="0" borderId="9" xfId="0" applyNumberFormat="1" applyFont="1" applyFill="1" applyBorder="1" applyAlignment="1">
      <alignment horizontal="right"/>
    </xf>
    <xf numFmtId="0" fontId="17" fillId="0" borderId="9" xfId="0" applyNumberFormat="1" applyFont="1" applyFill="1" applyBorder="1" applyAlignment="1">
      <alignment horizontal="left"/>
    </xf>
    <xf numFmtId="0" fontId="33" fillId="0" borderId="9" xfId="0" applyNumberFormat="1" applyFont="1" applyFill="1" applyBorder="1" applyAlignment="1">
      <alignment horizontal="center"/>
    </xf>
    <xf numFmtId="0" fontId="17" fillId="0" borderId="10" xfId="0" applyNumberFormat="1" applyFont="1" applyFill="1" applyBorder="1" applyAlignment="1">
      <alignment horizontal="left"/>
    </xf>
    <xf numFmtId="0" fontId="17" fillId="0" borderId="9" xfId="0" applyNumberFormat="1" applyFont="1" applyBorder="1" applyAlignment="1"/>
    <xf numFmtId="0" fontId="33" fillId="0" borderId="9" xfId="0" applyFont="1" applyFill="1" applyBorder="1" applyAlignment="1">
      <alignment horizontal="center"/>
    </xf>
    <xf numFmtId="3" fontId="17" fillId="0" borderId="10" xfId="0" applyNumberFormat="1" applyFont="1" applyFill="1" applyBorder="1" applyAlignment="1"/>
    <xf numFmtId="0" fontId="17" fillId="0" borderId="9" xfId="0" applyFont="1" applyBorder="1"/>
    <xf numFmtId="3" fontId="33" fillId="0" borderId="9" xfId="0" applyNumberFormat="1" applyFont="1" applyFill="1" applyBorder="1" applyAlignment="1">
      <alignment horizontal="center"/>
    </xf>
    <xf numFmtId="3" fontId="17" fillId="0" borderId="9" xfId="0" applyNumberFormat="1" applyFont="1" applyFill="1" applyBorder="1" applyAlignment="1"/>
    <xf numFmtId="0" fontId="17" fillId="0" borderId="10" xfId="0" applyNumberFormat="1" applyFont="1" applyFill="1" applyBorder="1" applyAlignment="1"/>
    <xf numFmtId="0" fontId="17" fillId="0" borderId="8" xfId="0" applyNumberFormat="1" applyFont="1" applyBorder="1" applyAlignment="1">
      <alignment horizontal="center"/>
    </xf>
    <xf numFmtId="0" fontId="17" fillId="0" borderId="9" xfId="0" applyNumberFormat="1" applyFont="1" applyFill="1" applyBorder="1"/>
    <xf numFmtId="170" fontId="17" fillId="0" borderId="9" xfId="0" applyNumberFormat="1" applyFont="1" applyBorder="1" applyAlignment="1"/>
    <xf numFmtId="0" fontId="33" fillId="0" borderId="9" xfId="0" applyFont="1" applyFill="1" applyBorder="1" applyAlignment="1"/>
    <xf numFmtId="0" fontId="17" fillId="0" borderId="7" xfId="0" applyNumberFormat="1" applyFont="1" applyFill="1" applyBorder="1" applyAlignment="1">
      <alignment horizontal="center"/>
    </xf>
    <xf numFmtId="0" fontId="17" fillId="0" borderId="10" xfId="0" applyNumberFormat="1" applyFont="1" applyFill="1" applyBorder="1" applyAlignment="1">
      <alignment horizontal="center"/>
    </xf>
    <xf numFmtId="0" fontId="25" fillId="0" borderId="7" xfId="0" applyFont="1" applyBorder="1"/>
    <xf numFmtId="0" fontId="25" fillId="0" borderId="9" xfId="0" applyFont="1" applyBorder="1"/>
    <xf numFmtId="0" fontId="25" fillId="0" borderId="6" xfId="0" applyFont="1" applyBorder="1"/>
    <xf numFmtId="0" fontId="25" fillId="0" borderId="0" xfId="0" applyFont="1" applyFill="1" applyBorder="1" applyAlignment="1">
      <alignment horizontal="center" wrapText="1"/>
    </xf>
    <xf numFmtId="0" fontId="29" fillId="0" borderId="6" xfId="0" applyFont="1" applyBorder="1" applyAlignment="1">
      <alignment horizontal="center"/>
    </xf>
    <xf numFmtId="0" fontId="29" fillId="0" borderId="6" xfId="0" applyFont="1" applyBorder="1"/>
    <xf numFmtId="0" fontId="29" fillId="0" borderId="0" xfId="0" applyFont="1" applyFill="1" applyBorder="1" applyAlignment="1">
      <alignment horizontal="center" wrapText="1"/>
    </xf>
    <xf numFmtId="0" fontId="25" fillId="0" borderId="8" xfId="0" applyFont="1" applyBorder="1"/>
    <xf numFmtId="0" fontId="25" fillId="0" borderId="10" xfId="0" applyFont="1" applyBorder="1"/>
    <xf numFmtId="0" fontId="29" fillId="0" borderId="8" xfId="0" applyFont="1" applyBorder="1" applyAlignment="1">
      <alignment horizontal="center"/>
    </xf>
    <xf numFmtId="0" fontId="44" fillId="0" borderId="0" xfId="0" applyFont="1"/>
    <xf numFmtId="0" fontId="24" fillId="6" borderId="14" xfId="0" applyFont="1" applyFill="1" applyBorder="1" applyAlignment="1">
      <alignment horizontal="center" wrapText="1"/>
    </xf>
    <xf numFmtId="0" fontId="24" fillId="6" borderId="15" xfId="0" applyFont="1" applyFill="1" applyBorder="1" applyAlignment="1">
      <alignment horizontal="center" wrapText="1"/>
    </xf>
    <xf numFmtId="0" fontId="29" fillId="0" borderId="10" xfId="0" applyFont="1" applyBorder="1" applyAlignment="1">
      <alignment horizontal="center"/>
    </xf>
    <xf numFmtId="0" fontId="24" fillId="6" borderId="16" xfId="0" applyFont="1" applyFill="1" applyBorder="1" applyAlignment="1">
      <alignment horizontal="center" wrapText="1"/>
    </xf>
    <xf numFmtId="0" fontId="29" fillId="0" borderId="9" xfId="0" applyFont="1" applyBorder="1" applyAlignment="1">
      <alignment horizontal="center"/>
    </xf>
    <xf numFmtId="0" fontId="24" fillId="0" borderId="9" xfId="0" applyFont="1" applyBorder="1"/>
    <xf numFmtId="0" fontId="45" fillId="0" borderId="0" xfId="0" applyFont="1" applyAlignment="1">
      <alignment horizontal="center"/>
    </xf>
    <xf numFmtId="0" fontId="25" fillId="0" borderId="0" xfId="0" applyFont="1" applyFill="1" applyBorder="1" applyAlignment="1">
      <alignment horizontal="center"/>
    </xf>
    <xf numFmtId="0" fontId="8" fillId="6" borderId="14" xfId="0" applyFont="1" applyFill="1" applyBorder="1" applyAlignment="1">
      <alignment horizontal="center"/>
    </xf>
    <xf numFmtId="0" fontId="29" fillId="0" borderId="0" xfId="0" applyFont="1" applyBorder="1"/>
    <xf numFmtId="0" fontId="29" fillId="0" borderId="7" xfId="0" applyFont="1" applyBorder="1" applyAlignment="1">
      <alignment horizontal="center"/>
    </xf>
    <xf numFmtId="3" fontId="3" fillId="0" borderId="0" xfId="0" applyNumberFormat="1" applyFont="1" applyAlignment="1">
      <alignment horizontal="left"/>
    </xf>
    <xf numFmtId="0" fontId="5" fillId="0" borderId="1" xfId="0" applyFont="1" applyBorder="1" applyAlignment="1">
      <alignment horizontal="left"/>
    </xf>
    <xf numFmtId="0" fontId="5" fillId="0" borderId="3" xfId="0" applyFont="1" applyBorder="1" applyAlignment="1">
      <alignment horizontal="left"/>
    </xf>
    <xf numFmtId="0" fontId="3" fillId="0" borderId="0" xfId="0" applyFont="1" applyBorder="1" applyAlignment="1">
      <alignment horizontal="left"/>
    </xf>
    <xf numFmtId="3" fontId="3" fillId="0" borderId="2" xfId="0" applyNumberFormat="1" applyFont="1" applyBorder="1" applyAlignment="1">
      <alignment horizontal="left"/>
    </xf>
    <xf numFmtId="0" fontId="5" fillId="0" borderId="3" xfId="0" applyFont="1" applyFill="1" applyBorder="1"/>
    <xf numFmtId="0" fontId="5" fillId="4" borderId="0" xfId="0" applyNumberFormat="1" applyFont="1" applyFill="1" applyAlignment="1">
      <alignment horizontal="center"/>
    </xf>
    <xf numFmtId="0" fontId="8" fillId="0" borderId="0" xfId="0" applyFont="1"/>
    <xf numFmtId="0" fontId="25" fillId="0" borderId="16" xfId="0" applyFont="1" applyBorder="1"/>
    <xf numFmtId="0" fontId="25" fillId="0" borderId="14" xfId="0" applyFont="1" applyBorder="1" applyAlignment="1">
      <alignment horizontal="center"/>
    </xf>
    <xf numFmtId="0" fontId="29" fillId="0" borderId="16" xfId="0" applyFont="1" applyBorder="1" applyAlignment="1">
      <alignment horizontal="center"/>
    </xf>
    <xf numFmtId="0" fontId="29" fillId="0" borderId="14" xfId="0" applyFont="1" applyBorder="1" applyAlignment="1">
      <alignment horizontal="center"/>
    </xf>
    <xf numFmtId="164" fontId="29" fillId="0" borderId="15" xfId="1" applyNumberFormat="1" applyFont="1" applyBorder="1" applyAlignment="1">
      <alignment horizontal="center"/>
    </xf>
    <xf numFmtId="0" fontId="29" fillId="0" borderId="15" xfId="0" applyFont="1" applyBorder="1" applyAlignment="1">
      <alignment horizontal="center"/>
    </xf>
    <xf numFmtId="0" fontId="25" fillId="0" borderId="0" xfId="0" applyFont="1" applyBorder="1" applyAlignment="1">
      <alignment horizontal="center"/>
    </xf>
    <xf numFmtId="0" fontId="25" fillId="0" borderId="6" xfId="0" applyFont="1" applyBorder="1" applyAlignment="1">
      <alignment horizontal="center"/>
    </xf>
    <xf numFmtId="164" fontId="25" fillId="0" borderId="7" xfId="1" applyNumberFormat="1" applyFont="1" applyBorder="1" applyAlignment="1">
      <alignment horizontal="center"/>
    </xf>
    <xf numFmtId="0" fontId="25" fillId="0" borderId="7" xfId="0" applyFont="1" applyBorder="1" applyAlignment="1">
      <alignment horizontal="center"/>
    </xf>
    <xf numFmtId="164" fontId="25" fillId="0" borderId="7" xfId="1" applyNumberFormat="1" applyFont="1" applyBorder="1"/>
    <xf numFmtId="164" fontId="25" fillId="0" borderId="6" xfId="1" applyNumberFormat="1" applyFont="1" applyBorder="1"/>
    <xf numFmtId="164" fontId="25" fillId="0" borderId="0" xfId="1" applyNumberFormat="1" applyFont="1" applyBorder="1"/>
    <xf numFmtId="0" fontId="25" fillId="0" borderId="9" xfId="0" applyFont="1" applyBorder="1" applyAlignment="1">
      <alignment horizontal="center"/>
    </xf>
    <xf numFmtId="164" fontId="25" fillId="0" borderId="8" xfId="1" applyNumberFormat="1" applyFont="1" applyBorder="1"/>
    <xf numFmtId="164" fontId="25" fillId="0" borderId="9" xfId="1" applyNumberFormat="1" applyFont="1" applyBorder="1"/>
    <xf numFmtId="164" fontId="25" fillId="0" borderId="10" xfId="1" applyNumberFormat="1" applyFont="1" applyBorder="1"/>
    <xf numFmtId="0" fontId="29" fillId="0" borderId="17" xfId="0" applyFont="1" applyBorder="1" applyAlignment="1">
      <alignment horizontal="center"/>
    </xf>
    <xf numFmtId="0" fontId="29" fillId="0" borderId="14" xfId="0" applyFont="1" applyFill="1" applyBorder="1" applyAlignment="1">
      <alignment horizontal="center"/>
    </xf>
    <xf numFmtId="0" fontId="29" fillId="0" borderId="15" xfId="0" applyFont="1" applyFill="1" applyBorder="1" applyAlignment="1">
      <alignment horizontal="center"/>
    </xf>
    <xf numFmtId="0" fontId="25" fillId="0" borderId="18" xfId="0" applyFont="1" applyBorder="1" applyAlignment="1">
      <alignment horizontal="center"/>
    </xf>
    <xf numFmtId="164" fontId="25" fillId="0" borderId="0" xfId="0" applyNumberFormat="1" applyFont="1" applyBorder="1"/>
    <xf numFmtId="167" fontId="25" fillId="0" borderId="7" xfId="0" applyNumberFormat="1" applyFont="1" applyBorder="1"/>
    <xf numFmtId="167" fontId="25" fillId="0" borderId="0" xfId="0" applyNumberFormat="1" applyFont="1" applyBorder="1"/>
    <xf numFmtId="164" fontId="25" fillId="0" borderId="6" xfId="0" applyNumberFormat="1" applyFont="1" applyBorder="1"/>
    <xf numFmtId="164" fontId="29" fillId="0" borderId="6" xfId="0" applyNumberFormat="1" applyFont="1" applyBorder="1"/>
    <xf numFmtId="164" fontId="29" fillId="0" borderId="18" xfId="0" applyNumberFormat="1" applyFont="1" applyBorder="1"/>
    <xf numFmtId="164" fontId="29" fillId="0" borderId="0" xfId="0" applyNumberFormat="1" applyFont="1" applyBorder="1"/>
    <xf numFmtId="164" fontId="29" fillId="0" borderId="7" xfId="1" applyNumberFormat="1" applyFont="1" applyBorder="1"/>
    <xf numFmtId="164" fontId="29" fillId="0" borderId="8" xfId="0" applyNumberFormat="1" applyFont="1" applyBorder="1"/>
    <xf numFmtId="164" fontId="29" fillId="0" borderId="19" xfId="0" applyNumberFormat="1" applyFont="1" applyBorder="1"/>
    <xf numFmtId="164" fontId="29" fillId="0" borderId="9" xfId="0" applyNumberFormat="1" applyFont="1" applyBorder="1"/>
    <xf numFmtId="164" fontId="29" fillId="0" borderId="10" xfId="1" applyNumberFormat="1" applyFont="1" applyBorder="1"/>
    <xf numFmtId="167" fontId="25" fillId="0" borderId="9" xfId="0" applyNumberFormat="1" applyFont="1" applyBorder="1"/>
    <xf numFmtId="0" fontId="25" fillId="0" borderId="0" xfId="0" applyFont="1" applyAlignment="1">
      <alignment horizontal="center"/>
    </xf>
    <xf numFmtId="164" fontId="25" fillId="0" borderId="0" xfId="1" applyNumberFormat="1" applyFont="1"/>
    <xf numFmtId="167" fontId="25" fillId="0" borderId="0" xfId="2" applyNumberFormat="1" applyFont="1"/>
    <xf numFmtId="0" fontId="29" fillId="0" borderId="17" xfId="0" applyFont="1" applyFill="1" applyBorder="1" applyAlignment="1">
      <alignment horizontal="center"/>
    </xf>
    <xf numFmtId="167" fontId="25" fillId="0" borderId="18" xfId="2" applyNumberFormat="1" applyFont="1" applyBorder="1"/>
    <xf numFmtId="167" fontId="25" fillId="0" borderId="19" xfId="2" applyNumberFormat="1" applyFont="1" applyBorder="1"/>
    <xf numFmtId="0" fontId="25" fillId="0" borderId="6" xfId="0" applyFont="1" applyFill="1" applyBorder="1"/>
    <xf numFmtId="164" fontId="25" fillId="0" borderId="6" xfId="1" applyNumberFormat="1" applyFont="1" applyFill="1" applyBorder="1"/>
    <xf numFmtId="164" fontId="25" fillId="0" borderId="0" xfId="1" applyNumberFormat="1" applyFont="1" applyFill="1" applyBorder="1"/>
    <xf numFmtId="164" fontId="25" fillId="0" borderId="7" xfId="1" applyNumberFormat="1" applyFont="1" applyFill="1" applyBorder="1"/>
    <xf numFmtId="0" fontId="3"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164" fontId="0" fillId="0" borderId="0" xfId="1" applyNumberFormat="1" applyFont="1" applyFill="1" applyBorder="1"/>
    <xf numFmtId="0" fontId="25" fillId="0" borderId="15" xfId="0" applyFont="1" applyBorder="1"/>
    <xf numFmtId="0" fontId="25" fillId="0" borderId="7" xfId="0" applyFont="1" applyFill="1" applyBorder="1"/>
    <xf numFmtId="0" fontId="46" fillId="0" borderId="0" xfId="0" applyFont="1"/>
    <xf numFmtId="0" fontId="10" fillId="0" borderId="6" xfId="0" applyFont="1" applyBorder="1"/>
    <xf numFmtId="3" fontId="5" fillId="0" borderId="0" xfId="0" applyNumberFormat="1" applyFont="1" applyAlignment="1">
      <alignment horizontal="center"/>
    </xf>
    <xf numFmtId="0" fontId="5" fillId="7" borderId="14" xfId="0" applyFont="1" applyFill="1" applyBorder="1" applyAlignment="1"/>
    <xf numFmtId="0" fontId="5" fillId="7" borderId="14" xfId="0" applyFont="1" applyFill="1" applyBorder="1" applyAlignment="1">
      <alignment horizontal="center"/>
    </xf>
    <xf numFmtId="0" fontId="20" fillId="7" borderId="16" xfId="0" applyFont="1" applyFill="1" applyBorder="1" applyAlignment="1">
      <alignment horizontal="left"/>
    </xf>
    <xf numFmtId="3" fontId="3" fillId="0" borderId="0" xfId="0" applyNumberFormat="1" applyFont="1" applyFill="1" applyAlignment="1"/>
    <xf numFmtId="0" fontId="4" fillId="0" borderId="0" xfId="0" applyFont="1" applyFill="1"/>
    <xf numFmtId="0" fontId="27" fillId="0" borderId="0" xfId="0" applyFont="1" applyAlignment="1">
      <alignment horizontal="right"/>
    </xf>
    <xf numFmtId="0" fontId="2" fillId="0" borderId="0" xfId="0" applyFont="1" applyAlignment="1"/>
    <xf numFmtId="0" fontId="48" fillId="0" borderId="0" xfId="0" applyFont="1" applyAlignment="1"/>
    <xf numFmtId="164" fontId="1" fillId="2" borderId="0" xfId="1" applyNumberFormat="1" applyFont="1" applyFill="1" applyAlignment="1">
      <alignment wrapText="1"/>
    </xf>
    <xf numFmtId="0" fontId="7" fillId="0" borderId="3" xfId="0" applyFont="1" applyBorder="1" applyAlignment="1">
      <alignment horizontal="center"/>
    </xf>
    <xf numFmtId="0" fontId="43" fillId="0" borderId="5" xfId="0" applyFont="1" applyFill="1" applyBorder="1" applyAlignment="1">
      <alignment horizontal="left"/>
    </xf>
    <xf numFmtId="0" fontId="21" fillId="0" borderId="0" xfId="0" applyFont="1" applyFill="1"/>
    <xf numFmtId="3" fontId="28" fillId="0" borderId="0" xfId="0" applyNumberFormat="1" applyFont="1"/>
    <xf numFmtId="3" fontId="28" fillId="0" borderId="3" xfId="0" applyNumberFormat="1" applyFont="1" applyBorder="1"/>
    <xf numFmtId="3" fontId="7" fillId="0" borderId="3" xfId="0" applyNumberFormat="1" applyFont="1" applyFill="1" applyBorder="1" applyAlignment="1">
      <alignment horizontal="center"/>
    </xf>
    <xf numFmtId="0" fontId="51" fillId="5" borderId="0" xfId="0" applyFont="1" applyFill="1"/>
    <xf numFmtId="0" fontId="51" fillId="5" borderId="0" xfId="0" applyFont="1" applyFill="1" applyAlignment="1"/>
    <xf numFmtId="0" fontId="51" fillId="5" borderId="0" xfId="0" applyFont="1" applyFill="1" applyBorder="1" applyAlignment="1">
      <alignment horizontal="center" wrapText="1"/>
    </xf>
    <xf numFmtId="0" fontId="51" fillId="5" borderId="0" xfId="0" applyFont="1" applyFill="1" applyBorder="1" applyAlignment="1"/>
    <xf numFmtId="0" fontId="51" fillId="5" borderId="0" xfId="0" applyFont="1" applyFill="1" applyBorder="1"/>
    <xf numFmtId="164" fontId="5" fillId="0" borderId="0" xfId="0" applyNumberFormat="1" applyFont="1"/>
    <xf numFmtId="0" fontId="3" fillId="0" borderId="0" xfId="0" applyFont="1" applyAlignment="1"/>
    <xf numFmtId="3" fontId="3" fillId="2" borderId="0" xfId="0" applyNumberFormat="1" applyFont="1" applyFill="1" applyAlignment="1"/>
    <xf numFmtId="164" fontId="21" fillId="0" borderId="0" xfId="1" applyNumberFormat="1" applyFont="1" applyFill="1" applyAlignment="1">
      <alignment horizontal="center"/>
    </xf>
    <xf numFmtId="164" fontId="26" fillId="0" borderId="0" xfId="1" applyNumberFormat="1" applyFont="1" applyFill="1" applyAlignment="1">
      <alignment horizontal="center"/>
    </xf>
    <xf numFmtId="164" fontId="21" fillId="0" borderId="0" xfId="1" applyNumberFormat="1" applyFont="1" applyFill="1" applyAlignment="1">
      <alignment horizontal="right"/>
    </xf>
    <xf numFmtId="3" fontId="28" fillId="0" borderId="0" xfId="0" applyNumberFormat="1" applyFont="1" applyFill="1"/>
    <xf numFmtId="3" fontId="3" fillId="0" borderId="0" xfId="0" applyNumberFormat="1" applyFont="1" applyFill="1" applyBorder="1" applyAlignment="1">
      <alignment horizontal="right"/>
    </xf>
    <xf numFmtId="0" fontId="4" fillId="0" borderId="0" xfId="0" applyFont="1" applyFill="1" applyBorder="1"/>
    <xf numFmtId="164" fontId="3" fillId="2" borderId="0" xfId="1" applyNumberFormat="1" applyFont="1" applyFill="1" applyAlignment="1"/>
    <xf numFmtId="0" fontId="2" fillId="0" borderId="0" xfId="0" applyFont="1"/>
    <xf numFmtId="0" fontId="50" fillId="0" borderId="0" xfId="0" applyFont="1"/>
    <xf numFmtId="41" fontId="2" fillId="0" borderId="0" xfId="0" applyNumberFormat="1" applyFont="1" applyAlignment="1">
      <alignment horizontal="center"/>
    </xf>
    <xf numFmtId="41" fontId="2" fillId="0" borderId="0" xfId="0" applyNumberFormat="1" applyFont="1" applyFill="1" applyAlignment="1">
      <alignment horizontal="center"/>
    </xf>
    <xf numFmtId="0" fontId="12" fillId="0" borderId="0" xfId="0" applyFont="1" applyFill="1" applyAlignment="1">
      <alignment horizontal="left" wrapText="1"/>
    </xf>
    <xf numFmtId="0" fontId="47" fillId="0" borderId="0" xfId="0" applyFont="1" applyFill="1" applyBorder="1"/>
    <xf numFmtId="0" fontId="3" fillId="0" borderId="2" xfId="0" applyFont="1" applyFill="1" applyBorder="1"/>
    <xf numFmtId="3" fontId="3" fillId="0" borderId="2" xfId="0" applyNumberFormat="1" applyFont="1" applyFill="1" applyBorder="1"/>
    <xf numFmtId="0" fontId="43" fillId="0" borderId="0" xfId="0" applyNumberFormat="1" applyFont="1" applyFill="1" applyBorder="1" applyAlignment="1">
      <alignment horizontal="left"/>
    </xf>
    <xf numFmtId="0" fontId="20" fillId="7" borderId="8" xfId="0" applyFont="1" applyFill="1" applyBorder="1" applyAlignment="1">
      <alignment horizontal="left"/>
    </xf>
    <xf numFmtId="3" fontId="7" fillId="0" borderId="0" xfId="0" applyNumberFormat="1" applyFont="1" applyFill="1" applyAlignment="1"/>
    <xf numFmtId="0" fontId="19" fillId="0" borderId="0" xfId="0" applyNumberFormat="1" applyFont="1" applyFill="1" applyBorder="1" applyAlignment="1">
      <alignment horizontal="left"/>
    </xf>
    <xf numFmtId="164" fontId="3" fillId="0" borderId="0" xfId="1" applyNumberFormat="1" applyFont="1" applyFill="1"/>
    <xf numFmtId="0" fontId="1" fillId="0" borderId="0" xfId="0" applyFont="1" applyFill="1"/>
    <xf numFmtId="164" fontId="1" fillId="0" borderId="0" xfId="1" applyNumberFormat="1" applyFont="1"/>
    <xf numFmtId="0" fontId="1" fillId="0" borderId="0" xfId="0" applyFont="1"/>
    <xf numFmtId="0" fontId="13" fillId="0" borderId="0" xfId="0" applyFont="1" applyAlignment="1">
      <alignment horizontal="center"/>
    </xf>
    <xf numFmtId="0" fontId="2" fillId="0" borderId="0" xfId="0" applyFont="1" applyAlignment="1">
      <alignment horizontal="center"/>
    </xf>
    <xf numFmtId="0" fontId="42" fillId="6" borderId="16" xfId="0" applyFont="1" applyFill="1" applyBorder="1" applyAlignment="1">
      <alignment horizontal="center"/>
    </xf>
    <xf numFmtId="0" fontId="42" fillId="6" borderId="14" xfId="0" applyFont="1" applyFill="1" applyBorder="1" applyAlignment="1">
      <alignment horizontal="center"/>
    </xf>
    <xf numFmtId="164" fontId="1" fillId="0" borderId="0" xfId="0" applyNumberFormat="1" applyFont="1" applyBorder="1"/>
    <xf numFmtId="0" fontId="46" fillId="0" borderId="0" xfId="0" applyFont="1" applyAlignment="1">
      <alignment horizontal="center"/>
    </xf>
    <xf numFmtId="0" fontId="1" fillId="0" borderId="9" xfId="0" applyFont="1" applyBorder="1"/>
    <xf numFmtId="0" fontId="1" fillId="0" borderId="22" xfId="0" applyFont="1" applyBorder="1" applyAlignment="1">
      <alignment horizontal="center"/>
    </xf>
    <xf numFmtId="0" fontId="1" fillId="0" borderId="18" xfId="0" applyFont="1" applyBorder="1" applyAlignment="1">
      <alignment horizontal="center"/>
    </xf>
    <xf numFmtId="0" fontId="1" fillId="0" borderId="22" xfId="0" applyFont="1" applyFill="1" applyBorder="1"/>
    <xf numFmtId="0" fontId="1" fillId="0" borderId="22" xfId="0" applyFont="1" applyBorder="1"/>
    <xf numFmtId="0" fontId="1" fillId="0" borderId="0" xfId="0" applyFont="1" applyAlignment="1">
      <alignment horizontal="center"/>
    </xf>
    <xf numFmtId="0" fontId="3" fillId="0" borderId="1" xfId="0" applyNumberFormat="1" applyFont="1" applyFill="1" applyBorder="1" applyAlignment="1">
      <alignment horizontal="left"/>
    </xf>
    <xf numFmtId="0" fontId="5" fillId="0" borderId="9" xfId="0" applyNumberFormat="1" applyFont="1" applyFill="1" applyBorder="1" applyAlignment="1">
      <alignment horizontal="left"/>
    </xf>
    <xf numFmtId="0" fontId="5" fillId="0" borderId="0" xfId="0" applyNumberFormat="1" applyFont="1" applyFill="1" applyBorder="1" applyAlignment="1">
      <alignment horizontal="left"/>
    </xf>
    <xf numFmtId="0" fontId="3" fillId="0" borderId="0" xfId="0" applyNumberFormat="1" applyFont="1" applyFill="1" applyAlignment="1">
      <alignment horizontal="left"/>
    </xf>
    <xf numFmtId="0" fontId="5" fillId="0" borderId="9" xfId="0" applyNumberFormat="1" applyFont="1" applyFill="1" applyBorder="1" applyAlignment="1">
      <alignment horizontal="right"/>
    </xf>
    <xf numFmtId="0" fontId="3" fillId="7" borderId="9" xfId="0" applyFont="1" applyFill="1" applyBorder="1" applyAlignment="1"/>
    <xf numFmtId="0" fontId="3" fillId="0" borderId="0" xfId="0" applyFont="1" applyFill="1" applyBorder="1" applyAlignment="1"/>
    <xf numFmtId="0" fontId="5" fillId="0" borderId="1" xfId="0" applyNumberFormat="1" applyFont="1" applyBorder="1" applyAlignment="1"/>
    <xf numFmtId="0" fontId="5" fillId="0" borderId="0" xfId="0" applyNumberFormat="1" applyFont="1" applyAlignment="1"/>
    <xf numFmtId="0" fontId="5" fillId="0" borderId="0" xfId="0" applyNumberFormat="1" applyFont="1" applyFill="1" applyAlignment="1"/>
    <xf numFmtId="0" fontId="5" fillId="0" borderId="3" xfId="0" applyNumberFormat="1" applyFont="1" applyBorder="1" applyAlignment="1"/>
    <xf numFmtId="0" fontId="5" fillId="0" borderId="0" xfId="0" applyNumberFormat="1" applyFont="1" applyBorder="1" applyAlignment="1"/>
    <xf numFmtId="0" fontId="5" fillId="0" borderId="0" xfId="0" applyNumberFormat="1" applyFont="1" applyFill="1" applyBorder="1" applyAlignment="1"/>
    <xf numFmtId="0" fontId="52" fillId="0" borderId="0" xfId="0" applyNumberFormat="1" applyFont="1" applyFill="1" applyAlignment="1">
      <alignment horizontal="left"/>
    </xf>
    <xf numFmtId="0" fontId="3" fillId="0" borderId="1" xfId="0" applyFont="1" applyFill="1" applyBorder="1"/>
    <xf numFmtId="0" fontId="3" fillId="0" borderId="0" xfId="0" applyNumberFormat="1" applyFont="1" applyFill="1" applyAlignment="1">
      <alignment horizontal="right"/>
    </xf>
    <xf numFmtId="0" fontId="51" fillId="5" borderId="0" xfId="0" applyNumberFormat="1" applyFont="1" applyFill="1" applyAlignment="1">
      <alignment horizontal="left"/>
    </xf>
    <xf numFmtId="0" fontId="3" fillId="0" borderId="2" xfId="0" applyNumberFormat="1" applyFont="1" applyBorder="1" applyAlignment="1">
      <alignment horizontal="left"/>
    </xf>
    <xf numFmtId="165" fontId="5" fillId="0" borderId="3" xfId="3" applyFont="1" applyFill="1" applyBorder="1" applyAlignment="1">
      <alignment vertical="center"/>
    </xf>
    <xf numFmtId="3" fontId="5" fillId="0" borderId="0" xfId="0" applyNumberFormat="1" applyFont="1" applyAlignment="1"/>
    <xf numFmtId="3" fontId="5" fillId="0" borderId="0" xfId="0" applyNumberFormat="1" applyFont="1" applyFill="1" applyAlignment="1"/>
    <xf numFmtId="3" fontId="5" fillId="4" borderId="0" xfId="0" applyNumberFormat="1" applyFont="1" applyFill="1" applyAlignment="1"/>
    <xf numFmtId="3" fontId="5" fillId="0" borderId="3" xfId="0" applyNumberFormat="1" applyFont="1" applyFill="1" applyBorder="1" applyAlignment="1"/>
    <xf numFmtId="0" fontId="5" fillId="0" borderId="1" xfId="0" applyNumberFormat="1" applyFont="1" applyFill="1" applyBorder="1" applyAlignment="1"/>
    <xf numFmtId="3" fontId="5" fillId="0" borderId="0" xfId="0" applyNumberFormat="1" applyFont="1" applyAlignment="1">
      <alignment horizontal="left"/>
    </xf>
    <xf numFmtId="0" fontId="5" fillId="0" borderId="0" xfId="0" applyNumberFormat="1" applyFont="1" applyFill="1"/>
    <xf numFmtId="168" fontId="5" fillId="0" borderId="0" xfId="0" applyNumberFormat="1" applyFont="1" applyAlignment="1">
      <alignment horizontal="left"/>
    </xf>
    <xf numFmtId="168" fontId="5" fillId="0" borderId="0" xfId="0" applyNumberFormat="1" applyFont="1" applyBorder="1" applyAlignment="1">
      <alignment horizontal="left"/>
    </xf>
    <xf numFmtId="0" fontId="13" fillId="0" borderId="4" xfId="0" applyNumberFormat="1" applyFont="1" applyFill="1" applyBorder="1" applyAlignment="1"/>
    <xf numFmtId="0" fontId="13" fillId="0" borderId="0" xfId="0" applyNumberFormat="1" applyFont="1" applyFill="1" applyBorder="1" applyAlignment="1"/>
    <xf numFmtId="0" fontId="5" fillId="0" borderId="3" xfId="0" applyNumberFormat="1" applyFont="1" applyFill="1" applyBorder="1" applyAlignment="1"/>
    <xf numFmtId="170" fontId="5" fillId="0" borderId="0" xfId="4" applyFont="1" applyFill="1" applyAlignment="1" applyProtection="1">
      <protection locked="0"/>
    </xf>
    <xf numFmtId="0" fontId="1" fillId="0" borderId="0" xfId="0" applyFont="1" applyAlignment="1">
      <alignment horizontal="left"/>
    </xf>
    <xf numFmtId="0" fontId="1" fillId="0" borderId="14" xfId="0" applyFont="1" applyBorder="1" applyAlignment="1">
      <alignment horizontal="center"/>
    </xf>
    <xf numFmtId="0" fontId="1" fillId="0" borderId="0" xfId="0" applyFont="1" applyBorder="1" applyAlignment="1">
      <alignment horizontal="center"/>
    </xf>
    <xf numFmtId="0" fontId="1" fillId="2" borderId="6" xfId="0" applyFont="1" applyFill="1" applyBorder="1" applyAlignment="1">
      <alignment horizontal="center"/>
    </xf>
    <xf numFmtId="0" fontId="1" fillId="0" borderId="6" xfId="0" applyFont="1" applyBorder="1"/>
    <xf numFmtId="177" fontId="1" fillId="0" borderId="6" xfId="0" applyNumberFormat="1" applyFont="1" applyBorder="1"/>
    <xf numFmtId="164" fontId="1" fillId="2" borderId="6" xfId="1" applyNumberFormat="1" applyFont="1" applyFill="1" applyBorder="1"/>
    <xf numFmtId="164" fontId="1" fillId="0" borderId="6" xfId="1" applyNumberFormat="1" applyFont="1" applyBorder="1"/>
    <xf numFmtId="0" fontId="1" fillId="0" borderId="0" xfId="0" applyFont="1" applyFill="1" applyBorder="1" applyAlignment="1">
      <alignment horizontal="center"/>
    </xf>
    <xf numFmtId="0" fontId="1" fillId="0" borderId="9" xfId="0" applyFont="1" applyBorder="1" applyAlignment="1">
      <alignment horizontal="center"/>
    </xf>
    <xf numFmtId="164" fontId="1" fillId="0" borderId="8" xfId="1" applyNumberFormat="1" applyFont="1" applyBorder="1"/>
    <xf numFmtId="0" fontId="2" fillId="0" borderId="17" xfId="0" applyFont="1" applyBorder="1" applyAlignment="1">
      <alignment horizontal="center"/>
    </xf>
    <xf numFmtId="0" fontId="2" fillId="0" borderId="14" xfId="0" applyFont="1" applyBorder="1" applyAlignment="1">
      <alignment horizontal="center"/>
    </xf>
    <xf numFmtId="164" fontId="2" fillId="0" borderId="18" xfId="0" applyNumberFormat="1" applyFont="1" applyBorder="1"/>
    <xf numFmtId="164" fontId="2" fillId="0" borderId="0" xfId="0" applyNumberFormat="1" applyFont="1" applyBorder="1"/>
    <xf numFmtId="164" fontId="2" fillId="0" borderId="19" xfId="0" applyNumberFormat="1" applyFont="1" applyBorder="1"/>
    <xf numFmtId="164" fontId="2" fillId="0" borderId="9" xfId="0" applyNumberFormat="1" applyFont="1" applyBorder="1"/>
    <xf numFmtId="0" fontId="1" fillId="0" borderId="0" xfId="0" applyFont="1" applyFill="1" applyBorder="1"/>
    <xf numFmtId="0" fontId="46" fillId="11" borderId="0" xfId="0" applyFont="1" applyFill="1" applyAlignment="1">
      <alignment horizontal="center"/>
    </xf>
    <xf numFmtId="16" fontId="46" fillId="0" borderId="0" xfId="0" applyNumberFormat="1" applyFont="1" applyAlignment="1">
      <alignment horizontal="center"/>
    </xf>
    <xf numFmtId="0" fontId="46" fillId="0" borderId="0" xfId="0" applyFont="1" applyAlignment="1">
      <alignment horizontal="center" vertical="top"/>
    </xf>
    <xf numFmtId="0" fontId="46" fillId="11" borderId="0" xfId="0" applyFont="1" applyFill="1" applyAlignment="1">
      <alignment horizontal="center" vertical="top"/>
    </xf>
    <xf numFmtId="0" fontId="46" fillId="0" borderId="0" xfId="0" applyFont="1" applyFill="1" applyAlignment="1">
      <alignment horizontal="center"/>
    </xf>
    <xf numFmtId="0" fontId="46" fillId="0" borderId="0" xfId="0" applyFont="1" applyBorder="1" applyAlignment="1">
      <alignment horizontal="center"/>
    </xf>
    <xf numFmtId="0" fontId="46" fillId="0" borderId="0" xfId="0" applyFont="1" applyFill="1" applyBorder="1" applyAlignment="1">
      <alignment horizontal="center"/>
    </xf>
    <xf numFmtId="0" fontId="5" fillId="0" borderId="0" xfId="0" applyFont="1" applyFill="1" applyBorder="1" applyAlignment="1">
      <alignment vertical="top"/>
    </xf>
    <xf numFmtId="0" fontId="5" fillId="0" borderId="0" xfId="0" applyNumberFormat="1" applyFont="1" applyFill="1" applyBorder="1" applyAlignment="1">
      <alignment vertical="top"/>
    </xf>
    <xf numFmtId="0" fontId="5" fillId="0" borderId="0" xfId="0" applyNumberFormat="1" applyFont="1" applyFill="1" applyBorder="1" applyAlignment="1">
      <alignment horizontal="right"/>
    </xf>
    <xf numFmtId="0" fontId="5" fillId="0" borderId="0" xfId="0" applyFont="1" applyBorder="1" applyAlignment="1">
      <alignment horizontal="left"/>
    </xf>
    <xf numFmtId="0" fontId="5" fillId="0" borderId="9" xfId="0" applyNumberFormat="1" applyFont="1" applyBorder="1" applyAlignment="1">
      <alignment horizontal="center"/>
    </xf>
    <xf numFmtId="0" fontId="5" fillId="0" borderId="9" xfId="0" applyNumberFormat="1" applyFont="1" applyFill="1" applyBorder="1" applyAlignment="1">
      <alignment horizontal="center"/>
    </xf>
    <xf numFmtId="0" fontId="5" fillId="0" borderId="9" xfId="0" applyNumberFormat="1" applyFont="1" applyFill="1" applyBorder="1" applyAlignment="1"/>
    <xf numFmtId="0" fontId="5" fillId="0" borderId="9" xfId="0" applyNumberFormat="1" applyFont="1" applyFill="1" applyBorder="1"/>
    <xf numFmtId="0" fontId="1" fillId="0" borderId="0" xfId="0" applyFont="1" applyBorder="1"/>
    <xf numFmtId="0" fontId="2" fillId="0" borderId="0" xfId="0" applyNumberFormat="1" applyFont="1" applyBorder="1" applyAlignment="1">
      <alignment horizontal="left"/>
    </xf>
    <xf numFmtId="0" fontId="1" fillId="0" borderId="0" xfId="0" applyFont="1" applyFill="1" applyBorder="1" applyAlignment="1">
      <alignment horizontal="right"/>
    </xf>
    <xf numFmtId="0" fontId="3" fillId="0" borderId="0" xfId="0" applyFont="1" applyBorder="1"/>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5" fillId="0" borderId="9" xfId="0" applyNumberFormat="1" applyFont="1" applyBorder="1" applyAlignment="1">
      <alignment horizontal="left"/>
    </xf>
    <xf numFmtId="0" fontId="1" fillId="0" borderId="9" xfId="0" applyFont="1" applyFill="1" applyBorder="1"/>
    <xf numFmtId="0" fontId="5" fillId="0" borderId="9" xfId="0" applyFont="1" applyBorder="1" applyAlignment="1"/>
    <xf numFmtId="0" fontId="51" fillId="5" borderId="0" xfId="0" applyFont="1" applyFill="1" applyAlignment="1">
      <alignment horizontal="left"/>
    </xf>
    <xf numFmtId="0" fontId="1" fillId="0" borderId="0" xfId="0" applyFont="1" applyFill="1" applyAlignment="1"/>
    <xf numFmtId="0" fontId="1" fillId="0" borderId="0" xfId="0" applyFont="1" applyAlignment="1"/>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wrapText="1"/>
    </xf>
    <xf numFmtId="0" fontId="1" fillId="0" borderId="0" xfId="0" applyFont="1" applyFill="1" applyAlignment="1">
      <alignment wrapText="1"/>
    </xf>
    <xf numFmtId="0" fontId="1" fillId="0" borderId="0" xfId="0" applyFont="1" applyAlignment="1">
      <alignment vertical="center" wrapText="1"/>
    </xf>
    <xf numFmtId="0" fontId="5" fillId="0" borderId="0" xfId="0" applyFont="1" applyAlignment="1">
      <alignment vertical="center" wrapText="1"/>
    </xf>
    <xf numFmtId="0" fontId="1" fillId="0" borderId="0" xfId="0" applyFont="1" applyFill="1" applyAlignment="1">
      <alignment vertical="center" wrapText="1"/>
    </xf>
    <xf numFmtId="0" fontId="5" fillId="0" borderId="0" xfId="0" applyFont="1" applyFill="1" applyAlignment="1">
      <alignment vertical="center" wrapText="1"/>
    </xf>
    <xf numFmtId="0" fontId="1" fillId="2" borderId="0" xfId="0" applyFont="1" applyFill="1" applyAlignment="1">
      <alignment horizontal="left" wrapText="1"/>
    </xf>
    <xf numFmtId="0" fontId="1" fillId="2" borderId="0" xfId="0" applyFont="1" applyFill="1"/>
    <xf numFmtId="0" fontId="1" fillId="0" borderId="0" xfId="0" applyFont="1" applyAlignment="1">
      <alignment horizontal="right" wrapText="1"/>
    </xf>
    <xf numFmtId="0" fontId="1" fillId="2" borderId="0" xfId="0" applyFont="1" applyFill="1" applyAlignment="1">
      <alignment horizontal="left" vertical="center" wrapText="1"/>
    </xf>
    <xf numFmtId="37" fontId="1" fillId="0" borderId="0" xfId="0" applyNumberFormat="1" applyFont="1" applyFill="1"/>
    <xf numFmtId="0" fontId="1" fillId="0" borderId="0" xfId="0" applyFont="1" applyFill="1" applyAlignment="1">
      <alignment horizontal="left"/>
    </xf>
    <xf numFmtId="0" fontId="10" fillId="0" borderId="0" xfId="0" applyFont="1" applyBorder="1"/>
    <xf numFmtId="0" fontId="10" fillId="0" borderId="0" xfId="0" applyFont="1" applyFill="1" applyBorder="1"/>
    <xf numFmtId="0" fontId="10" fillId="0" borderId="0" xfId="0" applyFont="1" applyFill="1" applyBorder="1" applyAlignment="1">
      <alignment horizontal="left"/>
    </xf>
    <xf numFmtId="0" fontId="3" fillId="7" borderId="9" xfId="0" applyNumberFormat="1" applyFont="1" applyFill="1" applyBorder="1" applyAlignment="1">
      <alignment horizontal="center"/>
    </xf>
    <xf numFmtId="0" fontId="3" fillId="0" borderId="0" xfId="0" applyNumberFormat="1" applyFont="1" applyFill="1" applyBorder="1" applyAlignment="1">
      <alignment horizontal="center"/>
    </xf>
    <xf numFmtId="0" fontId="51" fillId="5" borderId="0" xfId="0" applyFont="1" applyFill="1" applyBorder="1" applyAlignment="1">
      <alignment horizontal="left"/>
    </xf>
    <xf numFmtId="0" fontId="51" fillId="5" borderId="0" xfId="0" applyNumberFormat="1" applyFont="1" applyFill="1" applyBorder="1" applyAlignment="1">
      <alignment horizontal="center"/>
    </xf>
    <xf numFmtId="3" fontId="5" fillId="2" borderId="0" xfId="0" applyNumberFormat="1" applyFont="1" applyFill="1" applyAlignment="1"/>
    <xf numFmtId="3" fontId="5" fillId="0" borderId="1" xfId="0" applyNumberFormat="1" applyFont="1" applyBorder="1" applyAlignment="1"/>
    <xf numFmtId="3" fontId="5" fillId="0" borderId="1" xfId="0" applyNumberFormat="1" applyFont="1" applyBorder="1" applyAlignment="1">
      <alignment horizontal="center"/>
    </xf>
    <xf numFmtId="3" fontId="5" fillId="0" borderId="2" xfId="0" applyNumberFormat="1" applyFont="1" applyFill="1" applyBorder="1" applyAlignment="1">
      <alignment horizontal="center"/>
    </xf>
    <xf numFmtId="3" fontId="5" fillId="0" borderId="2" xfId="0" applyNumberFormat="1" applyFont="1" applyBorder="1" applyAlignment="1"/>
    <xf numFmtId="3" fontId="5" fillId="0" borderId="0" xfId="0" applyNumberFormat="1" applyFont="1" applyFill="1" applyAlignment="1">
      <alignment horizontal="center"/>
    </xf>
    <xf numFmtId="3" fontId="5" fillId="0" borderId="3" xfId="0" applyNumberFormat="1" applyFont="1" applyBorder="1" applyAlignment="1"/>
    <xf numFmtId="3" fontId="5" fillId="0" borderId="1" xfId="0" applyNumberFormat="1" applyFont="1" applyFill="1" applyBorder="1" applyAlignment="1"/>
    <xf numFmtId="0" fontId="5" fillId="0" borderId="0" xfId="0" applyNumberFormat="1" applyFont="1" applyFill="1" applyAlignment="1">
      <alignment horizontal="center" vertical="top"/>
    </xf>
    <xf numFmtId="3" fontId="5" fillId="2" borderId="3" xfId="0" applyNumberFormat="1" applyFont="1" applyFill="1" applyBorder="1" applyAlignment="1"/>
    <xf numFmtId="3" fontId="5" fillId="0" borderId="0" xfId="0" applyNumberFormat="1" applyFont="1" applyBorder="1" applyAlignment="1"/>
    <xf numFmtId="3" fontId="5" fillId="2" borderId="0" xfId="0" applyNumberFormat="1" applyFont="1" applyFill="1" applyBorder="1" applyAlignment="1"/>
    <xf numFmtId="174" fontId="5" fillId="0" borderId="0" xfId="5" applyNumberFormat="1" applyFont="1" applyAlignment="1"/>
    <xf numFmtId="168" fontId="5" fillId="0" borderId="0" xfId="0" applyNumberFormat="1" applyFont="1" applyAlignment="1">
      <alignment horizontal="center"/>
    </xf>
    <xf numFmtId="3" fontId="5" fillId="0" borderId="0" xfId="0" applyNumberFormat="1" applyFont="1" applyBorder="1" applyAlignment="1">
      <alignment horizontal="center"/>
    </xf>
    <xf numFmtId="174" fontId="5" fillId="0" borderId="0" xfId="5" applyNumberFormat="1" applyFont="1" applyBorder="1" applyAlignment="1"/>
    <xf numFmtId="3" fontId="5" fillId="0" borderId="0" xfId="0" applyNumberFormat="1" applyFont="1" applyFill="1" applyBorder="1" applyAlignment="1"/>
    <xf numFmtId="3" fontId="5" fillId="0" borderId="0" xfId="0" applyNumberFormat="1" applyFont="1" applyBorder="1" applyAlignment="1">
      <alignment horizontal="right"/>
    </xf>
    <xf numFmtId="3" fontId="7" fillId="0" borderId="0" xfId="0" applyNumberFormat="1" applyFont="1" applyAlignment="1">
      <alignment horizontal="right"/>
    </xf>
    <xf numFmtId="3" fontId="7" fillId="0" borderId="0" xfId="0" applyNumberFormat="1" applyFont="1" applyFill="1" applyAlignment="1">
      <alignment horizontal="right"/>
    </xf>
    <xf numFmtId="3" fontId="5" fillId="0" borderId="0" xfId="0" applyNumberFormat="1" applyFont="1" applyFill="1" applyAlignment="1">
      <alignment horizontal="right"/>
    </xf>
    <xf numFmtId="3" fontId="7" fillId="0" borderId="1" xfId="0" applyNumberFormat="1" applyFont="1" applyBorder="1" applyAlignment="1">
      <alignment horizontal="right"/>
    </xf>
    <xf numFmtId="3" fontId="5" fillId="2" borderId="0" xfId="0" applyNumberFormat="1" applyFont="1" applyFill="1" applyAlignment="1">
      <alignment horizontal="right"/>
    </xf>
    <xf numFmtId="3" fontId="7" fillId="0" borderId="3" xfId="0" applyNumberFormat="1" applyFont="1" applyBorder="1" applyAlignment="1">
      <alignment horizontal="right"/>
    </xf>
    <xf numFmtId="0" fontId="3" fillId="0" borderId="1" xfId="0" applyNumberFormat="1" applyFont="1" applyBorder="1" applyAlignment="1">
      <alignment horizontal="center"/>
    </xf>
    <xf numFmtId="3" fontId="53" fillId="0" borderId="1" xfId="0" applyNumberFormat="1" applyFont="1" applyBorder="1" applyAlignment="1">
      <alignment horizontal="right"/>
    </xf>
    <xf numFmtId="171" fontId="5" fillId="0" borderId="0" xfId="5" applyNumberFormat="1" applyFont="1" applyAlignment="1">
      <alignment horizontal="right"/>
    </xf>
    <xf numFmtId="0" fontId="3" fillId="0" borderId="1" xfId="0" applyFont="1" applyBorder="1" applyAlignment="1">
      <alignment horizontal="left"/>
    </xf>
    <xf numFmtId="0" fontId="3" fillId="0" borderId="1" xfId="0" applyFont="1" applyBorder="1" applyAlignment="1">
      <alignment horizontal="center"/>
    </xf>
    <xf numFmtId="3" fontId="3" fillId="0" borderId="0" xfId="0" applyNumberFormat="1" applyFont="1" applyBorder="1" applyAlignment="1">
      <alignment horizontal="right"/>
    </xf>
    <xf numFmtId="3" fontId="5" fillId="0" borderId="2" xfId="0" applyNumberFormat="1" applyFont="1" applyFill="1" applyBorder="1" applyAlignment="1"/>
    <xf numFmtId="0" fontId="51" fillId="5" borderId="0" xfId="0" applyNumberFormat="1" applyFont="1" applyFill="1" applyAlignment="1">
      <alignment horizontal="center"/>
    </xf>
    <xf numFmtId="3" fontId="5" fillId="0" borderId="1" xfId="0" applyNumberFormat="1" applyFont="1" applyFill="1" applyBorder="1" applyAlignment="1">
      <alignment horizontal="center"/>
    </xf>
    <xf numFmtId="3" fontId="5" fillId="2" borderId="3" xfId="0" applyNumberFormat="1" applyFont="1" applyFill="1" applyBorder="1" applyAlignment="1">
      <alignment horizontal="right"/>
    </xf>
    <xf numFmtId="3" fontId="3" fillId="0" borderId="0" xfId="0" applyNumberFormat="1" applyFont="1" applyFill="1" applyAlignment="1">
      <alignment horizontal="right"/>
    </xf>
    <xf numFmtId="3" fontId="5" fillId="0" borderId="2" xfId="0" applyNumberFormat="1" applyFont="1" applyBorder="1" applyAlignment="1">
      <alignment horizontal="center"/>
    </xf>
    <xf numFmtId="173" fontId="7" fillId="0" borderId="0" xfId="0" applyNumberFormat="1" applyFont="1" applyAlignment="1">
      <alignment horizontal="right"/>
    </xf>
    <xf numFmtId="3" fontId="5" fillId="0" borderId="0" xfId="0" applyNumberFormat="1" applyFont="1" applyAlignment="1">
      <alignment horizontal="right"/>
    </xf>
    <xf numFmtId="0" fontId="3" fillId="0" borderId="2" xfId="0" applyNumberFormat="1" applyFont="1" applyBorder="1" applyAlignment="1">
      <alignment horizontal="center"/>
    </xf>
    <xf numFmtId="0" fontId="3" fillId="0" borderId="2" xfId="0" applyFont="1" applyBorder="1" applyAlignment="1">
      <alignment horizontal="right"/>
    </xf>
    <xf numFmtId="3" fontId="3" fillId="0" borderId="2" xfId="0" applyNumberFormat="1" applyFont="1" applyBorder="1" applyAlignment="1">
      <alignment horizontal="right"/>
    </xf>
    <xf numFmtId="0" fontId="51" fillId="5" borderId="0" xfId="0" applyFont="1" applyFill="1" applyBorder="1" applyAlignment="1">
      <alignment horizontal="center"/>
    </xf>
    <xf numFmtId="3" fontId="5" fillId="4" borderId="0" xfId="0" applyNumberFormat="1" applyFont="1" applyFill="1" applyAlignment="1">
      <alignment horizontal="center"/>
    </xf>
    <xf numFmtId="3" fontId="5" fillId="4" borderId="3" xfId="0" applyNumberFormat="1" applyFont="1" applyFill="1" applyBorder="1" applyAlignment="1"/>
    <xf numFmtId="3" fontId="5" fillId="0" borderId="3" xfId="0" applyNumberFormat="1" applyFont="1" applyFill="1" applyBorder="1" applyAlignment="1">
      <alignment horizontal="center"/>
    </xf>
    <xf numFmtId="166" fontId="5" fillId="0" borderId="0" xfId="0" applyNumberFormat="1" applyFont="1" applyAlignment="1"/>
    <xf numFmtId="166" fontId="5" fillId="8" borderId="0" xfId="0" applyNumberFormat="1" applyFont="1" applyFill="1" applyAlignment="1"/>
    <xf numFmtId="3" fontId="5" fillId="0" borderId="0" xfId="0" quotePrefix="1" applyNumberFormat="1" applyFont="1" applyAlignment="1">
      <alignment horizontal="right"/>
    </xf>
    <xf numFmtId="3" fontId="5" fillId="0" borderId="3" xfId="0" applyNumberFormat="1" applyFont="1" applyBorder="1" applyAlignment="1">
      <alignment horizontal="right"/>
    </xf>
    <xf numFmtId="166" fontId="5" fillId="0" borderId="3" xfId="0" applyNumberFormat="1" applyFont="1" applyBorder="1" applyAlignment="1"/>
    <xf numFmtId="169" fontId="5" fillId="0" borderId="0" xfId="0" applyNumberFormat="1" applyFont="1" applyAlignment="1">
      <alignment horizontal="center"/>
    </xf>
    <xf numFmtId="10" fontId="5" fillId="2" borderId="0" xfId="0" applyNumberFormat="1" applyFont="1" applyFill="1"/>
    <xf numFmtId="170" fontId="5" fillId="0" borderId="0" xfId="0" applyNumberFormat="1" applyFont="1" applyAlignment="1"/>
    <xf numFmtId="10" fontId="5" fillId="0" borderId="0" xfId="0" applyNumberFormat="1" applyFont="1" applyFill="1"/>
    <xf numFmtId="10" fontId="5" fillId="0" borderId="0" xfId="5" applyNumberFormat="1" applyFont="1" applyAlignment="1"/>
    <xf numFmtId="10" fontId="5" fillId="0" borderId="0" xfId="5" applyNumberFormat="1" applyFont="1" applyFill="1" applyAlignment="1"/>
    <xf numFmtId="3" fontId="7" fillId="0" borderId="0" xfId="0" applyNumberFormat="1" applyFont="1" applyBorder="1" applyAlignment="1">
      <alignment horizontal="right"/>
    </xf>
    <xf numFmtId="3" fontId="3" fillId="9" borderId="1" xfId="0" applyNumberFormat="1" applyFont="1" applyFill="1" applyBorder="1" applyAlignment="1">
      <alignment horizontal="right"/>
    </xf>
    <xf numFmtId="3" fontId="9" fillId="0" borderId="0" xfId="0" applyNumberFormat="1" applyFont="1" applyBorder="1" applyAlignment="1">
      <alignment horizontal="right"/>
    </xf>
    <xf numFmtId="3" fontId="8" fillId="0" borderId="0" xfId="0" applyNumberFormat="1" applyFont="1" applyBorder="1" applyAlignment="1">
      <alignment horizontal="right"/>
    </xf>
    <xf numFmtId="169" fontId="5" fillId="0" borderId="0" xfId="0" applyNumberFormat="1" applyFont="1" applyAlignment="1"/>
    <xf numFmtId="174" fontId="5" fillId="0" borderId="0" xfId="5" applyNumberFormat="1" applyFont="1" applyFill="1" applyAlignment="1">
      <alignment horizontal="right"/>
    </xf>
    <xf numFmtId="0" fontId="13" fillId="0" borderId="4" xfId="0" applyFont="1" applyFill="1" applyBorder="1" applyAlignment="1"/>
    <xf numFmtId="3" fontId="13" fillId="0" borderId="4" xfId="0" applyNumberFormat="1" applyFont="1" applyBorder="1" applyAlignment="1">
      <alignment horizontal="center"/>
    </xf>
    <xf numFmtId="0" fontId="13" fillId="0" borderId="0" xfId="0" applyFont="1" applyFill="1" applyBorder="1" applyAlignment="1"/>
    <xf numFmtId="3" fontId="13" fillId="0" borderId="0" xfId="0" applyNumberFormat="1" applyFont="1" applyBorder="1" applyAlignment="1">
      <alignment horizontal="center"/>
    </xf>
    <xf numFmtId="3" fontId="13" fillId="0" borderId="0" xfId="0" applyNumberFormat="1" applyFont="1" applyBorder="1"/>
    <xf numFmtId="3" fontId="5" fillId="0" borderId="0" xfId="0" applyNumberFormat="1" applyFont="1" applyFill="1" applyBorder="1"/>
    <xf numFmtId="0" fontId="13" fillId="0" borderId="3" xfId="0" applyFont="1" applyFill="1" applyBorder="1" applyAlignment="1"/>
    <xf numFmtId="3" fontId="5" fillId="2" borderId="3" xfId="0" applyNumberFormat="1" applyFont="1" applyFill="1" applyBorder="1"/>
    <xf numFmtId="3" fontId="13" fillId="0" borderId="0" xfId="0" applyNumberFormat="1" applyFont="1" applyFill="1" applyBorder="1" applyAlignment="1">
      <alignment horizontal="center"/>
    </xf>
    <xf numFmtId="10" fontId="5" fillId="0" borderId="0" xfId="5" applyNumberFormat="1" applyFont="1" applyFill="1" applyBorder="1"/>
    <xf numFmtId="3" fontId="13" fillId="0" borderId="3" xfId="0" applyNumberFormat="1" applyFont="1" applyBorder="1" applyAlignment="1">
      <alignment horizontal="center"/>
    </xf>
    <xf numFmtId="3" fontId="5" fillId="0" borderId="3" xfId="0" applyNumberFormat="1" applyFont="1" applyFill="1" applyBorder="1"/>
    <xf numFmtId="164" fontId="5" fillId="2" borderId="0" xfId="1" applyNumberFormat="1" applyFont="1" applyFill="1" applyAlignment="1"/>
    <xf numFmtId="37" fontId="3" fillId="2" borderId="0" xfId="0" applyNumberFormat="1" applyFont="1" applyFill="1" applyBorder="1" applyAlignment="1">
      <alignment horizontal="right"/>
    </xf>
    <xf numFmtId="0" fontId="54" fillId="0" borderId="0" xfId="0" applyFont="1" applyFill="1" applyAlignment="1"/>
    <xf numFmtId="37" fontId="5" fillId="0" borderId="0" xfId="0" applyNumberFormat="1" applyFont="1" applyBorder="1" applyAlignment="1">
      <alignment horizontal="left"/>
    </xf>
    <xf numFmtId="37" fontId="3" fillId="8" borderId="0" xfId="0" applyNumberFormat="1" applyFont="1" applyFill="1" applyBorder="1" applyAlignment="1">
      <alignment horizontal="right"/>
    </xf>
    <xf numFmtId="0" fontId="8" fillId="0" borderId="0" xfId="0" applyFont="1" applyBorder="1" applyAlignment="1">
      <alignment horizontal="center"/>
    </xf>
    <xf numFmtId="37" fontId="3" fillId="0" borderId="0" xfId="0" applyNumberFormat="1" applyFont="1" applyBorder="1" applyAlignment="1">
      <alignment horizontal="right"/>
    </xf>
    <xf numFmtId="0" fontId="8" fillId="0" borderId="0" xfId="0" applyFont="1" applyFill="1" applyBorder="1" applyAlignment="1">
      <alignment horizontal="center"/>
    </xf>
    <xf numFmtId="37" fontId="5" fillId="0" borderId="0" xfId="0" applyNumberFormat="1" applyFont="1" applyFill="1" applyBorder="1" applyAlignment="1">
      <alignment horizontal="left"/>
    </xf>
    <xf numFmtId="39" fontId="3" fillId="0" borderId="0" xfId="0" applyNumberFormat="1" applyFont="1" applyBorder="1" applyAlignment="1">
      <alignment horizontal="right"/>
    </xf>
    <xf numFmtId="175" fontId="3" fillId="0" borderId="0" xfId="0" applyNumberFormat="1" applyFont="1" applyBorder="1" applyAlignment="1">
      <alignment horizontal="right"/>
    </xf>
    <xf numFmtId="0" fontId="16" fillId="0" borderId="0" xfId="0" applyNumberFormat="1" applyFont="1" applyFill="1" applyBorder="1" applyAlignment="1">
      <alignment horizontal="center"/>
    </xf>
    <xf numFmtId="3" fontId="5" fillId="3" borderId="0" xfId="0" applyNumberFormat="1" applyFont="1" applyFill="1" applyAlignment="1">
      <alignment horizontal="center"/>
    </xf>
    <xf numFmtId="164" fontId="1" fillId="2" borderId="0" xfId="1" applyNumberFormat="1" applyFont="1" applyFill="1"/>
    <xf numFmtId="0" fontId="1" fillId="7" borderId="0" xfId="0" applyFont="1" applyFill="1"/>
    <xf numFmtId="164" fontId="1" fillId="0" borderId="0" xfId="1" applyNumberFormat="1" applyFont="1" applyFill="1"/>
    <xf numFmtId="173" fontId="1" fillId="0" borderId="0" xfId="5" applyNumberFormat="1" applyFont="1"/>
    <xf numFmtId="0" fontId="1" fillId="0" borderId="16" xfId="0" applyFont="1" applyBorder="1"/>
    <xf numFmtId="0" fontId="2" fillId="0" borderId="16" xfId="0" applyFont="1" applyBorder="1" applyAlignment="1">
      <alignment horizontal="center"/>
    </xf>
    <xf numFmtId="0" fontId="2" fillId="0" borderId="15" xfId="0" applyFont="1" applyBorder="1" applyAlignment="1">
      <alignment horizontal="center"/>
    </xf>
    <xf numFmtId="0" fontId="1" fillId="0" borderId="15" xfId="0" applyFont="1" applyBorder="1"/>
    <xf numFmtId="0" fontId="1" fillId="0" borderId="6" xfId="0" applyFont="1" applyFill="1" applyBorder="1"/>
    <xf numFmtId="0" fontId="1" fillId="0" borderId="7" xfId="0" applyFont="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1" fillId="0" borderId="7" xfId="0" applyFont="1" applyBorder="1"/>
    <xf numFmtId="164" fontId="1" fillId="0" borderId="7" xfId="1" applyNumberFormat="1" applyFont="1" applyBorder="1" applyAlignment="1">
      <alignment horizontal="center"/>
    </xf>
    <xf numFmtId="164" fontId="1" fillId="0" borderId="7" xfId="1" applyNumberFormat="1" applyFont="1" applyFill="1" applyBorder="1" applyAlignment="1">
      <alignment horizontal="center"/>
    </xf>
    <xf numFmtId="0" fontId="1" fillId="0" borderId="6" xfId="0" applyFont="1" applyBorder="1" applyAlignment="1">
      <alignment horizontal="center"/>
    </xf>
    <xf numFmtId="164" fontId="1" fillId="0" borderId="7" xfId="1" applyNumberFormat="1" applyFont="1" applyBorder="1"/>
    <xf numFmtId="164" fontId="1" fillId="0" borderId="7" xfId="1" applyNumberFormat="1" applyFont="1" applyFill="1" applyBorder="1"/>
    <xf numFmtId="166" fontId="1" fillId="0" borderId="0" xfId="0" applyNumberFormat="1" applyFont="1" applyBorder="1"/>
    <xf numFmtId="164" fontId="1" fillId="0" borderId="0" xfId="1" applyNumberFormat="1" applyFont="1" applyBorder="1"/>
    <xf numFmtId="164" fontId="1" fillId="0" borderId="6" xfId="1" applyNumberFormat="1" applyFont="1" applyFill="1" applyBorder="1"/>
    <xf numFmtId="164" fontId="1" fillId="0" borderId="0" xfId="1" applyNumberFormat="1" applyFont="1" applyFill="1" applyBorder="1"/>
    <xf numFmtId="0" fontId="1" fillId="0" borderId="7" xfId="0" applyFont="1" applyFill="1" applyBorder="1"/>
    <xf numFmtId="0" fontId="1" fillId="0" borderId="8" xfId="0" applyFont="1" applyBorder="1"/>
    <xf numFmtId="164" fontId="1" fillId="0" borderId="9" xfId="1" applyNumberFormat="1" applyFont="1" applyBorder="1"/>
    <xf numFmtId="164" fontId="1" fillId="0" borderId="10" xfId="1" applyNumberFormat="1" applyFont="1" applyBorder="1"/>
    <xf numFmtId="164" fontId="1" fillId="0" borderId="8" xfId="1" applyNumberFormat="1" applyFont="1" applyFill="1" applyBorder="1"/>
    <xf numFmtId="164" fontId="1" fillId="0" borderId="9" xfId="1" applyNumberFormat="1" applyFont="1" applyFill="1" applyBorder="1"/>
    <xf numFmtId="164" fontId="1" fillId="0" borderId="10" xfId="1" applyNumberFormat="1" applyFont="1" applyFill="1" applyBorder="1"/>
    <xf numFmtId="0" fontId="1" fillId="0" borderId="10" xfId="0" applyFont="1" applyBorder="1"/>
    <xf numFmtId="164" fontId="2" fillId="0" borderId="15" xfId="1" applyNumberFormat="1" applyFont="1" applyBorder="1" applyAlignment="1">
      <alignment horizontal="center"/>
    </xf>
    <xf numFmtId="0" fontId="2" fillId="0" borderId="16"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7" xfId="0" applyFont="1" applyFill="1" applyBorder="1" applyAlignment="1">
      <alignment horizontal="center"/>
    </xf>
    <xf numFmtId="164" fontId="1" fillId="0" borderId="6" xfId="0" applyNumberFormat="1" applyFont="1" applyBorder="1"/>
    <xf numFmtId="0" fontId="2" fillId="0" borderId="6" xfId="0"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167" fontId="1" fillId="0" borderId="18" xfId="2" applyNumberFormat="1" applyFont="1" applyBorder="1"/>
    <xf numFmtId="167" fontId="1" fillId="0" borderId="7" xfId="0" applyNumberFormat="1" applyFont="1" applyBorder="1"/>
    <xf numFmtId="167" fontId="1" fillId="0" borderId="0" xfId="0" applyNumberFormat="1" applyFont="1" applyBorder="1"/>
    <xf numFmtId="164" fontId="1" fillId="0" borderId="0" xfId="0" applyNumberFormat="1" applyFont="1"/>
    <xf numFmtId="164" fontId="1" fillId="0" borderId="6" xfId="0" applyNumberFormat="1" applyFont="1" applyFill="1" applyBorder="1"/>
    <xf numFmtId="164" fontId="1" fillId="0" borderId="0" xfId="0" applyNumberFormat="1" applyFont="1" applyFill="1" applyBorder="1"/>
    <xf numFmtId="167" fontId="1" fillId="0" borderId="0" xfId="0" applyNumberFormat="1" applyFont="1"/>
    <xf numFmtId="164" fontId="2" fillId="0" borderId="7" xfId="1" applyNumberFormat="1" applyFont="1" applyBorder="1"/>
    <xf numFmtId="164" fontId="2" fillId="0" borderId="0" xfId="0" applyNumberFormat="1" applyFont="1" applyFill="1" applyBorder="1"/>
    <xf numFmtId="164" fontId="2" fillId="0" borderId="7" xfId="1" applyNumberFormat="1" applyFont="1" applyFill="1" applyBorder="1"/>
    <xf numFmtId="164" fontId="2" fillId="0" borderId="0" xfId="1" applyNumberFormat="1" applyFont="1" applyFill="1" applyBorder="1"/>
    <xf numFmtId="164" fontId="2" fillId="0" borderId="8" xfId="0" applyNumberFormat="1" applyFont="1" applyBorder="1"/>
    <xf numFmtId="164" fontId="2" fillId="0" borderId="10" xfId="1" applyNumberFormat="1" applyFont="1" applyBorder="1"/>
    <xf numFmtId="164" fontId="2" fillId="0" borderId="9" xfId="0" applyNumberFormat="1" applyFont="1" applyFill="1" applyBorder="1"/>
    <xf numFmtId="164" fontId="2" fillId="0" borderId="10" xfId="1" applyNumberFormat="1" applyFont="1" applyFill="1" applyBorder="1"/>
    <xf numFmtId="164" fontId="2" fillId="0" borderId="9" xfId="1" applyNumberFormat="1" applyFont="1" applyFill="1" applyBorder="1"/>
    <xf numFmtId="167" fontId="1" fillId="0" borderId="19" xfId="2" applyNumberFormat="1" applyFont="1" applyBorder="1"/>
    <xf numFmtId="167" fontId="1" fillId="0" borderId="9" xfId="0" applyNumberFormat="1" applyFont="1" applyBorder="1"/>
    <xf numFmtId="167" fontId="1" fillId="0" borderId="0" xfId="2" applyNumberFormat="1" applyFont="1"/>
    <xf numFmtId="43" fontId="1" fillId="0" borderId="0" xfId="0" applyNumberFormat="1" applyFont="1"/>
    <xf numFmtId="0" fontId="56" fillId="0" borderId="0" xfId="0" applyFont="1"/>
    <xf numFmtId="0" fontId="57" fillId="0" borderId="0" xfId="0" applyFont="1" applyAlignment="1">
      <alignment horizontal="left"/>
    </xf>
    <xf numFmtId="0" fontId="46" fillId="0" borderId="0" xfId="0" applyFont="1" applyAlignment="1">
      <alignment horizontal="left"/>
    </xf>
    <xf numFmtId="0" fontId="46" fillId="0" borderId="0" xfId="0" applyFont="1" applyFill="1" applyAlignment="1">
      <alignment wrapText="1"/>
    </xf>
    <xf numFmtId="0" fontId="57" fillId="0" borderId="0" xfId="0" applyFont="1" applyFill="1" applyAlignment="1">
      <alignment horizontal="left"/>
    </xf>
    <xf numFmtId="164" fontId="46" fillId="0" borderId="0" xfId="1" applyNumberFormat="1" applyFont="1"/>
    <xf numFmtId="167" fontId="46" fillId="2" borderId="0" xfId="2" applyNumberFormat="1" applyFont="1" applyFill="1"/>
    <xf numFmtId="0" fontId="58" fillId="0" borderId="0" xfId="0" applyFont="1" applyFill="1" applyAlignment="1">
      <alignment horizontal="left"/>
    </xf>
    <xf numFmtId="164" fontId="46" fillId="5" borderId="0" xfId="1" applyNumberFormat="1" applyFont="1" applyFill="1"/>
    <xf numFmtId="164" fontId="46" fillId="0" borderId="0" xfId="0" applyNumberFormat="1" applyFont="1"/>
    <xf numFmtId="164" fontId="46" fillId="5" borderId="3" xfId="1" applyNumberFormat="1" applyFont="1" applyFill="1" applyBorder="1"/>
    <xf numFmtId="164" fontId="46" fillId="0" borderId="0" xfId="1" applyNumberFormat="1" applyFont="1" applyFill="1"/>
    <xf numFmtId="167" fontId="46" fillId="0" borderId="0" xfId="0" applyNumberFormat="1" applyFont="1"/>
    <xf numFmtId="167" fontId="46" fillId="10" borderId="0" xfId="2" applyNumberFormat="1" applyFont="1" applyFill="1"/>
    <xf numFmtId="167" fontId="46" fillId="0" borderId="0" xfId="2" applyNumberFormat="1" applyFont="1"/>
    <xf numFmtId="0" fontId="46" fillId="0" borderId="0" xfId="0" applyFont="1" applyAlignment="1"/>
    <xf numFmtId="0" fontId="46" fillId="0" borderId="0" xfId="0" applyFont="1" applyBorder="1"/>
    <xf numFmtId="0" fontId="22" fillId="0" borderId="0" xfId="0" applyFont="1" applyBorder="1"/>
    <xf numFmtId="0" fontId="46" fillId="0" borderId="0" xfId="0" applyFont="1" applyFill="1" applyBorder="1"/>
    <xf numFmtId="167" fontId="46" fillId="0" borderId="0" xfId="2" applyNumberFormat="1" applyFont="1" applyFill="1" applyAlignment="1">
      <alignment horizontal="left"/>
    </xf>
    <xf numFmtId="167" fontId="46" fillId="0" borderId="0" xfId="2" applyNumberFormat="1" applyFont="1" applyAlignment="1">
      <alignment horizontal="left"/>
    </xf>
    <xf numFmtId="164" fontId="46" fillId="0" borderId="3" xfId="1" applyNumberFormat="1" applyFont="1" applyFill="1" applyBorder="1"/>
    <xf numFmtId="173" fontId="46" fillId="0" borderId="0" xfId="5" applyNumberFormat="1" applyFont="1" applyFill="1"/>
    <xf numFmtId="164" fontId="46" fillId="2" borderId="0" xfId="0" applyNumberFormat="1" applyFont="1" applyFill="1"/>
    <xf numFmtId="0" fontId="46" fillId="0" borderId="0" xfId="2" applyNumberFormat="1" applyFont="1" applyFill="1" applyAlignment="1">
      <alignment horizontal="left"/>
    </xf>
    <xf numFmtId="164" fontId="46" fillId="2" borderId="0" xfId="1" applyNumberFormat="1" applyFont="1" applyFill="1"/>
    <xf numFmtId="164" fontId="46" fillId="10" borderId="0" xfId="0" applyNumberFormat="1" applyFont="1" applyFill="1" applyAlignment="1">
      <alignment horizontal="left"/>
    </xf>
    <xf numFmtId="164" fontId="46" fillId="0" borderId="0" xfId="0" applyNumberFormat="1" applyFont="1" applyFill="1"/>
    <xf numFmtId="0" fontId="46" fillId="0" borderId="0" xfId="0" applyFont="1" applyFill="1"/>
    <xf numFmtId="0" fontId="22" fillId="0" borderId="0" xfId="0" applyFont="1"/>
    <xf numFmtId="164" fontId="46" fillId="5" borderId="0" xfId="0" applyNumberFormat="1" applyFont="1" applyFill="1"/>
    <xf numFmtId="164" fontId="46" fillId="0" borderId="0" xfId="0" applyNumberFormat="1" applyFont="1" applyAlignment="1">
      <alignment horizontal="left"/>
    </xf>
    <xf numFmtId="0" fontId="46" fillId="0" borderId="0" xfId="0" applyNumberFormat="1" applyFont="1" applyAlignment="1">
      <alignment horizontal="left"/>
    </xf>
    <xf numFmtId="173" fontId="46" fillId="2" borderId="0" xfId="5" applyNumberFormat="1" applyFont="1" applyFill="1"/>
    <xf numFmtId="164" fontId="46" fillId="0" borderId="0" xfId="0" applyNumberFormat="1" applyFont="1" applyAlignment="1">
      <alignment horizontal="center"/>
    </xf>
    <xf numFmtId="173" fontId="46" fillId="0" borderId="0" xfId="5" applyNumberFormat="1" applyFont="1"/>
    <xf numFmtId="173" fontId="46" fillId="0" borderId="0" xfId="0" applyNumberFormat="1" applyFont="1"/>
    <xf numFmtId="168" fontId="46" fillId="0" borderId="0" xfId="5" applyNumberFormat="1" applyFont="1"/>
    <xf numFmtId="167" fontId="46" fillId="10" borderId="0" xfId="0" applyNumberFormat="1" applyFont="1" applyFill="1"/>
    <xf numFmtId="0" fontId="46" fillId="0" borderId="0" xfId="0" applyFont="1" applyFill="1" applyAlignment="1">
      <alignment horizontal="left"/>
    </xf>
    <xf numFmtId="167" fontId="46" fillId="0" borderId="0" xfId="0" applyNumberFormat="1" applyFont="1" applyAlignment="1">
      <alignment horizontal="center"/>
    </xf>
    <xf numFmtId="0" fontId="1" fillId="0" borderId="0" xfId="0" applyFont="1" applyFill="1" applyAlignment="1">
      <alignment horizontal="center"/>
    </xf>
    <xf numFmtId="5" fontId="1" fillId="0" borderId="0" xfId="0" applyNumberFormat="1" applyFont="1"/>
    <xf numFmtId="0" fontId="1" fillId="0" borderId="0" xfId="0" applyFont="1" applyAlignment="1">
      <alignment horizontal="right"/>
    </xf>
    <xf numFmtId="0" fontId="55" fillId="0" borderId="0" xfId="0" applyFont="1" applyAlignment="1">
      <alignment horizontal="center"/>
    </xf>
    <xf numFmtId="0" fontId="22" fillId="0" borderId="0" xfId="0" applyFont="1" applyAlignment="1">
      <alignment horizontal="right"/>
    </xf>
    <xf numFmtId="0" fontId="10" fillId="6" borderId="16" xfId="0" applyFont="1" applyFill="1" applyBorder="1" applyAlignment="1">
      <alignment horizontal="center" wrapText="1"/>
    </xf>
    <xf numFmtId="0" fontId="10" fillId="6" borderId="14" xfId="0" applyFont="1" applyFill="1" applyBorder="1" applyAlignment="1">
      <alignment horizontal="center" wrapText="1"/>
    </xf>
    <xf numFmtId="0" fontId="5" fillId="0" borderId="6" xfId="0" applyFont="1" applyBorder="1" applyAlignment="1">
      <alignment horizontal="center"/>
    </xf>
    <xf numFmtId="0" fontId="5" fillId="0" borderId="7" xfId="0" applyFont="1" applyBorder="1"/>
    <xf numFmtId="0" fontId="5" fillId="0" borderId="6" xfId="0" applyNumberFormat="1" applyFont="1" applyFill="1" applyBorder="1" applyAlignment="1">
      <alignment horizontal="center"/>
    </xf>
    <xf numFmtId="3" fontId="5" fillId="0" borderId="7" xfId="0" applyNumberFormat="1" applyFont="1" applyFill="1" applyBorder="1" applyAlignment="1"/>
    <xf numFmtId="3" fontId="1" fillId="0" borderId="6" xfId="0" applyNumberFormat="1" applyFont="1" applyBorder="1" applyAlignment="1">
      <alignment horizontal="center"/>
    </xf>
    <xf numFmtId="3" fontId="1" fillId="0" borderId="0" xfId="0" applyNumberFormat="1" applyFont="1" applyBorder="1" applyAlignment="1">
      <alignment horizontal="center"/>
    </xf>
    <xf numFmtId="3" fontId="5" fillId="0" borderId="7" xfId="0" applyNumberFormat="1" applyFont="1" applyBorder="1" applyAlignment="1"/>
    <xf numFmtId="3" fontId="5" fillId="0" borderId="0"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0" xfId="0" applyFont="1" applyFill="1" applyBorder="1" applyAlignment="1">
      <alignment horizontal="left" wrapText="1"/>
    </xf>
    <xf numFmtId="0" fontId="1" fillId="0" borderId="7" xfId="0" applyFont="1" applyFill="1" applyBorder="1" applyAlignment="1">
      <alignment horizontal="left" wrapText="1"/>
    </xf>
    <xf numFmtId="0" fontId="5" fillId="0" borderId="6" xfId="0" applyFont="1" applyFill="1" applyBorder="1" applyAlignment="1">
      <alignment horizontal="center"/>
    </xf>
    <xf numFmtId="0" fontId="5" fillId="0" borderId="0" xfId="0" applyFont="1" applyFill="1" applyBorder="1" applyAlignment="1">
      <alignment horizontal="right"/>
    </xf>
    <xf numFmtId="3" fontId="7" fillId="0" borderId="0" xfId="0" applyNumberFormat="1" applyFont="1" applyFill="1" applyBorder="1" applyAlignment="1">
      <alignment horizontal="center"/>
    </xf>
    <xf numFmtId="0" fontId="9" fillId="0" borderId="0" xfId="0" applyFont="1" applyFill="1" applyBorder="1" applyAlignment="1">
      <alignment horizontal="center"/>
    </xf>
    <xf numFmtId="3" fontId="7" fillId="0" borderId="7" xfId="0" applyNumberFormat="1" applyFont="1" applyFill="1" applyBorder="1" applyAlignment="1">
      <alignment horizontal="right"/>
    </xf>
    <xf numFmtId="0" fontId="5" fillId="0" borderId="6" xfId="0" applyFont="1" applyFill="1" applyBorder="1" applyAlignment="1">
      <alignment horizontal="center" vertical="top"/>
    </xf>
    <xf numFmtId="0" fontId="5" fillId="0" borderId="0" xfId="0" applyFont="1" applyFill="1" applyBorder="1" applyAlignment="1">
      <alignment horizontal="center" vertical="top"/>
    </xf>
    <xf numFmtId="0" fontId="7" fillId="0" borderId="0" xfId="0" applyFont="1" applyBorder="1" applyAlignment="1">
      <alignment horizontal="center" vertical="top"/>
    </xf>
    <xf numFmtId="0" fontId="5" fillId="0" borderId="7" xfId="0" applyNumberFormat="1" applyFont="1" applyFill="1" applyBorder="1" applyAlignment="1">
      <alignment horizontal="left" vertical="top"/>
    </xf>
    <xf numFmtId="3" fontId="1" fillId="0" borderId="6" xfId="0" applyNumberFormat="1" applyFont="1" applyBorder="1" applyAlignment="1">
      <alignment horizontal="center" vertical="top"/>
    </xf>
    <xf numFmtId="3" fontId="1" fillId="0" borderId="0" xfId="0" applyNumberFormat="1" applyFont="1" applyFill="1" applyBorder="1" applyAlignment="1">
      <alignment horizontal="center" vertical="top"/>
    </xf>
    <xf numFmtId="0" fontId="7" fillId="0" borderId="0" xfId="0" applyFont="1" applyBorder="1" applyAlignment="1">
      <alignment horizontal="center"/>
    </xf>
    <xf numFmtId="0" fontId="5" fillId="0" borderId="7" xfId="0" applyNumberFormat="1" applyFont="1" applyFill="1" applyBorder="1" applyAlignment="1">
      <alignment horizontal="left"/>
    </xf>
    <xf numFmtId="0" fontId="5" fillId="0" borderId="7" xfId="0" applyFont="1" applyFill="1" applyBorder="1" applyAlignment="1"/>
    <xf numFmtId="0" fontId="7" fillId="0" borderId="0"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NumberFormat="1" applyFont="1" applyFill="1" applyBorder="1" applyAlignment="1">
      <alignment horizontal="center" vertical="top"/>
    </xf>
    <xf numFmtId="3" fontId="7" fillId="0" borderId="0" xfId="0" applyNumberFormat="1" applyFont="1" applyBorder="1" applyAlignment="1">
      <alignment horizontal="center" vertical="top"/>
    </xf>
    <xf numFmtId="3" fontId="5" fillId="0" borderId="7" xfId="0" applyNumberFormat="1" applyFont="1" applyFill="1" applyBorder="1" applyAlignment="1">
      <alignment horizontal="center" vertical="top"/>
    </xf>
    <xf numFmtId="3" fontId="1" fillId="0" borderId="6" xfId="0" applyNumberFormat="1" applyFont="1" applyFill="1" applyBorder="1" applyAlignment="1">
      <alignment horizontal="center" vertical="top"/>
    </xf>
    <xf numFmtId="3" fontId="1" fillId="0" borderId="0" xfId="0" applyNumberFormat="1" applyFont="1" applyBorder="1" applyAlignment="1">
      <alignment horizontal="center" vertical="top"/>
    </xf>
    <xf numFmtId="3" fontId="7" fillId="0" borderId="0" xfId="0" applyNumberFormat="1" applyFont="1" applyBorder="1" applyAlignment="1">
      <alignment horizontal="center"/>
    </xf>
    <xf numFmtId="0" fontId="1" fillId="0" borderId="0" xfId="0" applyFont="1" applyFill="1" applyBorder="1" applyAlignment="1">
      <alignment horizontal="left"/>
    </xf>
    <xf numFmtId="0" fontId="5" fillId="0" borderId="7" xfId="0" applyFont="1" applyBorder="1" applyAlignment="1">
      <alignment horizontal="right"/>
    </xf>
    <xf numFmtId="0" fontId="5" fillId="0" borderId="6" xfId="0" applyNumberFormat="1" applyFont="1" applyBorder="1" applyAlignment="1">
      <alignment horizontal="center"/>
    </xf>
    <xf numFmtId="0" fontId="5" fillId="0" borderId="8" xfId="0" applyNumberFormat="1" applyFont="1" applyFill="1" applyBorder="1" applyAlignment="1">
      <alignment horizontal="center"/>
    </xf>
    <xf numFmtId="0" fontId="5" fillId="0" borderId="9" xfId="0" applyFont="1" applyFill="1" applyBorder="1" applyAlignment="1">
      <alignment horizontal="center"/>
    </xf>
    <xf numFmtId="0" fontId="7" fillId="0" borderId="9" xfId="0" applyNumberFormat="1" applyFont="1" applyFill="1" applyBorder="1" applyAlignment="1">
      <alignment horizontal="center"/>
    </xf>
    <xf numFmtId="0" fontId="5" fillId="0" borderId="10" xfId="0" applyNumberFormat="1" applyFont="1" applyFill="1" applyBorder="1" applyAlignment="1">
      <alignment horizontal="left"/>
    </xf>
    <xf numFmtId="3" fontId="1" fillId="0" borderId="8" xfId="0" applyNumberFormat="1" applyFont="1" applyBorder="1" applyAlignment="1">
      <alignment horizontal="center"/>
    </xf>
    <xf numFmtId="3" fontId="1" fillId="0" borderId="9" xfId="0" applyNumberFormat="1" applyFont="1" applyFill="1" applyBorder="1" applyAlignment="1">
      <alignment horizontal="center"/>
    </xf>
    <xf numFmtId="3" fontId="1" fillId="0" borderId="9" xfId="0" applyNumberFormat="1" applyFont="1" applyBorder="1" applyAlignment="1">
      <alignment horizontal="center"/>
    </xf>
    <xf numFmtId="0" fontId="5" fillId="0" borderId="7" xfId="0" applyFont="1" applyBorder="1" applyAlignment="1"/>
    <xf numFmtId="0" fontId="1" fillId="0" borderId="13" xfId="0" applyFont="1" applyBorder="1"/>
    <xf numFmtId="3" fontId="1" fillId="0" borderId="6" xfId="0" applyNumberFormat="1" applyFont="1" applyBorder="1" applyAlignment="1">
      <alignment horizontal="right"/>
    </xf>
    <xf numFmtId="0" fontId="1" fillId="0" borderId="6" xfId="0" applyFont="1" applyBorder="1" applyAlignment="1">
      <alignment horizontal="right"/>
    </xf>
    <xf numFmtId="0" fontId="5" fillId="0" borderId="7" xfId="0" applyFont="1" applyBorder="1" applyAlignment="1">
      <alignment horizontal="center"/>
    </xf>
    <xf numFmtId="0" fontId="5" fillId="0" borderId="9" xfId="0" applyFont="1" applyBorder="1" applyAlignment="1">
      <alignment horizontal="center"/>
    </xf>
    <xf numFmtId="0" fontId="5" fillId="0" borderId="10" xfId="0" applyNumberFormat="1" applyFont="1" applyFill="1" applyBorder="1" applyAlignment="1">
      <alignment horizontal="center"/>
    </xf>
    <xf numFmtId="164" fontId="1" fillId="0" borderId="8" xfId="1" applyNumberFormat="1" applyFont="1" applyFill="1" applyBorder="1" applyAlignment="1">
      <alignment horizontal="right"/>
    </xf>
    <xf numFmtId="3" fontId="7" fillId="0" borderId="9" xfId="0" applyNumberFormat="1" applyFont="1" applyFill="1" applyBorder="1" applyAlignment="1">
      <alignment horizontal="center"/>
    </xf>
    <xf numFmtId="3" fontId="5" fillId="0" borderId="10" xfId="0" applyNumberFormat="1" applyFont="1" applyFill="1" applyBorder="1" applyAlignment="1"/>
    <xf numFmtId="164" fontId="1" fillId="0" borderId="9" xfId="1" applyNumberFormat="1" applyFont="1" applyBorder="1" applyAlignment="1">
      <alignment horizontal="center"/>
    </xf>
    <xf numFmtId="3" fontId="5" fillId="0" borderId="9" xfId="0" applyNumberFormat="1" applyFont="1" applyFill="1" applyBorder="1" applyAlignment="1"/>
    <xf numFmtId="3" fontId="1" fillId="0" borderId="8" xfId="0" applyNumberFormat="1" applyFont="1" applyBorder="1" applyAlignment="1">
      <alignment horizontal="right"/>
    </xf>
    <xf numFmtId="4" fontId="1" fillId="0" borderId="9" xfId="0" applyNumberFormat="1" applyFont="1" applyBorder="1" applyAlignment="1">
      <alignment horizontal="center"/>
    </xf>
    <xf numFmtId="0" fontId="5" fillId="0" borderId="7" xfId="0" applyNumberFormat="1" applyFont="1" applyFill="1" applyBorder="1" applyAlignment="1"/>
    <xf numFmtId="0" fontId="2" fillId="3" borderId="0" xfId="0" applyFont="1" applyFill="1" applyBorder="1" applyAlignment="1">
      <alignment horizontal="center"/>
    </xf>
    <xf numFmtId="0" fontId="1" fillId="3" borderId="0" xfId="0" applyFont="1" applyFill="1" applyBorder="1"/>
    <xf numFmtId="0" fontId="1" fillId="3" borderId="7" xfId="0" applyFont="1" applyFill="1" applyBorder="1"/>
    <xf numFmtId="0" fontId="7" fillId="0" borderId="9" xfId="0" applyFont="1" applyFill="1" applyBorder="1" applyAlignment="1">
      <alignment horizontal="center"/>
    </xf>
    <xf numFmtId="3" fontId="7" fillId="0" borderId="9" xfId="0" applyNumberFormat="1" applyFont="1" applyBorder="1" applyAlignment="1">
      <alignment horizontal="center"/>
    </xf>
    <xf numFmtId="3" fontId="1" fillId="0" borderId="8" xfId="0" applyNumberFormat="1" applyFont="1" applyFill="1" applyBorder="1" applyAlignment="1">
      <alignment horizontal="center"/>
    </xf>
    <xf numFmtId="164" fontId="1" fillId="0" borderId="9" xfId="0" applyNumberFormat="1" applyFont="1" applyBorder="1" applyAlignment="1">
      <alignment horizontal="center"/>
    </xf>
    <xf numFmtId="0" fontId="5" fillId="0" borderId="8" xfId="0" applyNumberFormat="1" applyFont="1" applyBorder="1" applyAlignment="1">
      <alignment horizontal="center"/>
    </xf>
    <xf numFmtId="164" fontId="1" fillId="0" borderId="8" xfId="1" applyNumberFormat="1" applyFont="1" applyFill="1" applyBorder="1" applyAlignment="1">
      <alignment horizontal="center"/>
    </xf>
    <xf numFmtId="164" fontId="1" fillId="0" borderId="9" xfId="1" applyNumberFormat="1" applyFont="1" applyFill="1" applyBorder="1" applyAlignment="1">
      <alignment horizontal="center"/>
    </xf>
    <xf numFmtId="0" fontId="2" fillId="0" borderId="0" xfId="0" applyFont="1" applyFill="1" applyBorder="1" applyAlignment="1">
      <alignment horizontal="center" wrapText="1"/>
    </xf>
    <xf numFmtId="0" fontId="1" fillId="0" borderId="0" xfId="0" applyFont="1" applyFill="1" applyBorder="1" applyAlignment="1">
      <alignment horizontal="center" wrapText="1"/>
    </xf>
    <xf numFmtId="170" fontId="5" fillId="0" borderId="9" xfId="0" applyNumberFormat="1" applyFont="1" applyBorder="1" applyAlignment="1"/>
    <xf numFmtId="0" fontId="7" fillId="0" borderId="9" xfId="0" applyFont="1" applyBorder="1" applyAlignment="1">
      <alignment horizontal="center"/>
    </xf>
    <xf numFmtId="10" fontId="1" fillId="0" borderId="8" xfId="5" applyNumberFormat="1" applyFont="1" applyFill="1" applyBorder="1" applyAlignment="1">
      <alignment horizontal="center"/>
    </xf>
    <xf numFmtId="0" fontId="7" fillId="0" borderId="9" xfId="0" applyFont="1" applyFill="1" applyBorder="1" applyAlignment="1"/>
    <xf numFmtId="164" fontId="1" fillId="0" borderId="8" xfId="0" applyNumberFormat="1" applyFont="1" applyBorder="1" applyAlignment="1">
      <alignment horizontal="center"/>
    </xf>
    <xf numFmtId="0" fontId="13" fillId="0" borderId="6" xfId="0" applyNumberFormat="1" applyFont="1" applyBorder="1" applyAlignment="1">
      <alignment horizontal="center"/>
    </xf>
    <xf numFmtId="3" fontId="3" fillId="0" borderId="7" xfId="0" applyNumberFormat="1" applyFont="1" applyBorder="1" applyAlignment="1"/>
    <xf numFmtId="0" fontId="2" fillId="0" borderId="0" xfId="0" applyFont="1" applyFill="1" applyBorder="1"/>
    <xf numFmtId="0" fontId="2" fillId="2" borderId="0" xfId="0" applyFont="1" applyFill="1" applyBorder="1" applyAlignment="1">
      <alignment horizontal="center"/>
    </xf>
    <xf numFmtId="0" fontId="1" fillId="0" borderId="7" xfId="0" applyFont="1" applyFill="1" applyBorder="1" applyAlignment="1">
      <alignment horizontal="center" wrapText="1"/>
    </xf>
    <xf numFmtId="0" fontId="13" fillId="0" borderId="0" xfId="0" applyFont="1" applyFill="1" applyBorder="1" applyAlignment="1">
      <alignment horizontal="center"/>
    </xf>
    <xf numFmtId="0" fontId="10" fillId="0" borderId="9" xfId="0" applyFont="1" applyBorder="1"/>
    <xf numFmtId="0" fontId="3" fillId="0" borderId="6" xfId="0" applyFont="1" applyBorder="1"/>
    <xf numFmtId="0" fontId="1" fillId="0" borderId="6" xfId="0" applyNumberFormat="1" applyFont="1" applyFill="1" applyBorder="1" applyAlignment="1">
      <alignment horizontal="center"/>
    </xf>
    <xf numFmtId="0" fontId="1" fillId="0" borderId="7" xfId="0" applyNumberFormat="1" applyFont="1" applyFill="1" applyBorder="1" applyAlignment="1">
      <alignment horizontal="center"/>
    </xf>
    <xf numFmtId="0" fontId="12" fillId="0" borderId="0" xfId="0" applyNumberFormat="1" applyFont="1" applyFill="1" applyBorder="1" applyAlignment="1">
      <alignment horizontal="center"/>
    </xf>
    <xf numFmtId="164" fontId="1" fillId="0" borderId="6" xfId="0" applyNumberFormat="1" applyFont="1" applyBorder="1" applyAlignment="1">
      <alignment horizontal="center"/>
    </xf>
    <xf numFmtId="164" fontId="1" fillId="0" borderId="0" xfId="0" applyNumberFormat="1" applyFont="1" applyBorder="1" applyAlignment="1">
      <alignment horizontal="center"/>
    </xf>
    <xf numFmtId="164" fontId="1" fillId="6" borderId="6" xfId="0" applyNumberFormat="1" applyFont="1" applyFill="1" applyBorder="1" applyAlignment="1">
      <alignment horizontal="center"/>
    </xf>
    <xf numFmtId="9" fontId="1" fillId="0" borderId="0" xfId="5" applyFont="1" applyBorder="1" applyAlignment="1">
      <alignment horizontal="center"/>
    </xf>
    <xf numFmtId="10" fontId="1" fillId="0" borderId="0" xfId="5" applyNumberFormat="1" applyFont="1" applyBorder="1" applyAlignment="1">
      <alignment horizontal="center"/>
    </xf>
    <xf numFmtId="164" fontId="1" fillId="6" borderId="8" xfId="0" applyNumberFormat="1" applyFont="1" applyFill="1" applyBorder="1" applyAlignment="1">
      <alignment horizontal="center"/>
    </xf>
    <xf numFmtId="0" fontId="1" fillId="0" borderId="8" xfId="0" applyFont="1" applyFill="1" applyBorder="1"/>
    <xf numFmtId="0" fontId="7" fillId="0" borderId="9" xfId="0" applyNumberFormat="1" applyFont="1" applyBorder="1" applyAlignment="1">
      <alignment horizontal="center"/>
    </xf>
    <xf numFmtId="0" fontId="5" fillId="0" borderId="10" xfId="0" applyNumberFormat="1" applyFont="1" applyBorder="1" applyAlignment="1">
      <alignment horizontal="left"/>
    </xf>
    <xf numFmtId="164" fontId="1" fillId="0" borderId="8" xfId="0" applyNumberFormat="1" applyFont="1" applyFill="1" applyBorder="1" applyAlignment="1">
      <alignment horizontal="center"/>
    </xf>
    <xf numFmtId="168" fontId="1" fillId="0" borderId="9" xfId="5" applyNumberFormat="1" applyFont="1" applyBorder="1" applyAlignment="1">
      <alignment horizontal="center"/>
    </xf>
    <xf numFmtId="0" fontId="3" fillId="0" borderId="6" xfId="0" applyFont="1" applyFill="1" applyBorder="1"/>
    <xf numFmtId="0" fontId="2" fillId="0" borderId="0" xfId="0" applyFont="1" applyBorder="1"/>
    <xf numFmtId="168" fontId="5" fillId="0" borderId="0" xfId="5" applyNumberFormat="1" applyFont="1"/>
    <xf numFmtId="164" fontId="5" fillId="0" borderId="7" xfId="1" applyNumberFormat="1" applyFont="1" applyFill="1" applyBorder="1" applyAlignment="1">
      <alignment horizontal="left"/>
    </xf>
    <xf numFmtId="164" fontId="1" fillId="0" borderId="0" xfId="1" applyNumberFormat="1" applyFont="1" applyFill="1" applyBorder="1" applyAlignment="1">
      <alignment wrapText="1"/>
    </xf>
    <xf numFmtId="164" fontId="5" fillId="0" borderId="0" xfId="1" applyNumberFormat="1" applyFont="1" applyBorder="1"/>
    <xf numFmtId="168" fontId="5" fillId="0" borderId="0" xfId="5" applyNumberFormat="1" applyFont="1" applyBorder="1"/>
    <xf numFmtId="164" fontId="1" fillId="0" borderId="0" xfId="1" applyNumberFormat="1" applyFont="1" applyFill="1" applyBorder="1" applyAlignment="1">
      <alignment horizontal="center" wrapText="1"/>
    </xf>
    <xf numFmtId="164" fontId="1" fillId="0" borderId="0" xfId="1" applyNumberFormat="1" applyFont="1" applyBorder="1" applyAlignment="1">
      <alignment horizontal="center"/>
    </xf>
    <xf numFmtId="164" fontId="5" fillId="0" borderId="9" xfId="1" applyNumberFormat="1" applyFont="1" applyBorder="1"/>
    <xf numFmtId="164" fontId="3" fillId="0" borderId="9" xfId="1" applyNumberFormat="1" applyFont="1" applyBorder="1"/>
    <xf numFmtId="164" fontId="3" fillId="0" borderId="10" xfId="1" applyNumberFormat="1" applyFont="1" applyBorder="1"/>
    <xf numFmtId="0" fontId="2" fillId="0" borderId="9" xfId="0" applyFont="1" applyBorder="1" applyAlignment="1">
      <alignment horizontal="center"/>
    </xf>
    <xf numFmtId="0" fontId="2" fillId="0" borderId="9" xfId="0" applyFont="1" applyFill="1" applyBorder="1" applyAlignment="1">
      <alignment horizontal="center" wrapText="1"/>
    </xf>
    <xf numFmtId="0" fontId="1" fillId="0" borderId="9" xfId="0" applyFont="1" applyFill="1" applyBorder="1" applyAlignment="1">
      <alignment horizontal="center" wrapText="1"/>
    </xf>
    <xf numFmtId="0" fontId="1" fillId="0" borderId="9" xfId="0" applyFont="1" applyFill="1" applyBorder="1" applyAlignment="1">
      <alignment horizontal="left"/>
    </xf>
    <xf numFmtId="0" fontId="1" fillId="0" borderId="10" xfId="0" applyFont="1" applyFill="1" applyBorder="1" applyAlignment="1">
      <alignment horizontal="center" wrapText="1"/>
    </xf>
    <xf numFmtId="164" fontId="3" fillId="0" borderId="0" xfId="1" applyNumberFormat="1" applyFont="1" applyBorder="1"/>
    <xf numFmtId="0" fontId="1" fillId="0" borderId="14" xfId="0" applyFont="1" applyBorder="1"/>
    <xf numFmtId="0" fontId="10" fillId="0" borderId="14" xfId="0" applyFont="1" applyBorder="1"/>
    <xf numFmtId="167" fontId="1" fillId="0" borderId="6" xfId="2" applyNumberFormat="1" applyFont="1" applyBorder="1"/>
    <xf numFmtId="167" fontId="1" fillId="0" borderId="9" xfId="2" applyNumberFormat="1" applyFont="1" applyBorder="1"/>
    <xf numFmtId="164" fontId="1" fillId="0" borderId="0" xfId="1" applyNumberFormat="1" applyFont="1" applyAlignment="1">
      <alignment horizontal="center"/>
    </xf>
    <xf numFmtId="0" fontId="2" fillId="0" borderId="6" xfId="0" applyFont="1" applyFill="1" applyBorder="1"/>
    <xf numFmtId="0" fontId="5" fillId="0" borderId="9" xfId="0" applyFont="1" applyFill="1" applyBorder="1" applyAlignment="1"/>
    <xf numFmtId="164" fontId="2" fillId="0" borderId="8" xfId="1" applyNumberFormat="1" applyFont="1" applyFill="1" applyBorder="1" applyAlignment="1">
      <alignment horizontal="center"/>
    </xf>
    <xf numFmtId="164" fontId="2" fillId="0" borderId="0" xfId="1" applyNumberFormat="1" applyFont="1" applyBorder="1" applyAlignment="1">
      <alignment horizontal="center"/>
    </xf>
    <xf numFmtId="0" fontId="5" fillId="0" borderId="10" xfId="0" applyFont="1" applyFill="1" applyBorder="1"/>
    <xf numFmtId="0" fontId="4" fillId="6" borderId="14" xfId="0" applyFont="1" applyFill="1" applyBorder="1" applyAlignment="1">
      <alignment horizontal="center"/>
    </xf>
    <xf numFmtId="0" fontId="4" fillId="6" borderId="15" xfId="0" applyFont="1" applyFill="1" applyBorder="1" applyAlignment="1">
      <alignment horizontal="center"/>
    </xf>
    <xf numFmtId="37" fontId="5" fillId="0" borderId="0" xfId="0" applyNumberFormat="1" applyFont="1" applyBorder="1" applyAlignment="1">
      <alignment horizontal="right"/>
    </xf>
    <xf numFmtId="2" fontId="5" fillId="0" borderId="0" xfId="0" applyNumberFormat="1" applyFont="1" applyFill="1" applyBorder="1" applyAlignment="1">
      <alignment horizontal="center"/>
    </xf>
    <xf numFmtId="0" fontId="1" fillId="0" borderId="0" xfId="0" applyFont="1" applyBorder="1" applyAlignment="1"/>
    <xf numFmtId="0" fontId="1" fillId="0" borderId="7" xfId="0" applyFont="1" applyBorder="1" applyAlignment="1"/>
    <xf numFmtId="1" fontId="5" fillId="0" borderId="0" xfId="0" applyNumberFormat="1" applyFont="1" applyFill="1" applyBorder="1" applyAlignment="1">
      <alignment horizontal="center"/>
    </xf>
    <xf numFmtId="2" fontId="3" fillId="0" borderId="6" xfId="0" applyNumberFormat="1" applyFont="1" applyFill="1" applyBorder="1" applyAlignment="1">
      <alignment horizontal="center"/>
    </xf>
    <xf numFmtId="2" fontId="1" fillId="0" borderId="0" xfId="0" applyNumberFormat="1" applyFont="1" applyFill="1" applyBorder="1" applyAlignment="1">
      <alignment horizontal="center"/>
    </xf>
    <xf numFmtId="0" fontId="3" fillId="0" borderId="0" xfId="0" applyFont="1" applyFill="1" applyBorder="1" applyAlignment="1">
      <alignment horizontal="center"/>
    </xf>
    <xf numFmtId="0" fontId="1" fillId="0" borderId="9" xfId="0" applyFont="1" applyBorder="1" applyAlignment="1"/>
    <xf numFmtId="0" fontId="1" fillId="0" borderId="10" xfId="0" applyFont="1" applyBorder="1" applyAlignment="1"/>
    <xf numFmtId="0" fontId="28" fillId="0" borderId="0" xfId="0" applyFont="1"/>
    <xf numFmtId="3" fontId="5" fillId="0" borderId="0" xfId="0" applyNumberFormat="1" applyFont="1" applyBorder="1" applyAlignment="1">
      <alignment horizontal="left"/>
    </xf>
    <xf numFmtId="165" fontId="5" fillId="0" borderId="3" xfId="3" applyFont="1" applyBorder="1" applyAlignment="1">
      <alignment vertical="center"/>
    </xf>
    <xf numFmtId="3" fontId="5" fillId="0" borderId="3" xfId="0" applyNumberFormat="1" applyFont="1" applyBorder="1" applyAlignment="1">
      <alignment horizontal="left"/>
    </xf>
    <xf numFmtId="3" fontId="5" fillId="0" borderId="0" xfId="0" applyNumberFormat="1" applyFont="1" applyFill="1" applyAlignment="1">
      <alignment horizontal="left"/>
    </xf>
    <xf numFmtId="3" fontId="5" fillId="0" borderId="3" xfId="0" applyNumberFormat="1" applyFont="1" applyFill="1" applyBorder="1" applyAlignment="1">
      <alignment horizontal="left"/>
    </xf>
    <xf numFmtId="0" fontId="5" fillId="0" borderId="1" xfId="0" applyFont="1" applyFill="1" applyBorder="1" applyAlignment="1">
      <alignment horizontal="left"/>
    </xf>
    <xf numFmtId="9" fontId="5" fillId="0" borderId="0" xfId="0" applyNumberFormat="1" applyFont="1" applyFill="1" applyAlignment="1"/>
    <xf numFmtId="166" fontId="5" fillId="0" borderId="0" xfId="0" applyNumberFormat="1" applyFont="1" applyFill="1" applyAlignment="1"/>
    <xf numFmtId="172" fontId="5" fillId="0" borderId="0" xfId="1" applyNumberFormat="1" applyFont="1" applyFill="1" applyBorder="1" applyAlignment="1"/>
    <xf numFmtId="3" fontId="5" fillId="0" borderId="1" xfId="0" applyNumberFormat="1" applyFont="1" applyFill="1" applyBorder="1" applyAlignment="1">
      <alignment horizontal="right"/>
    </xf>
    <xf numFmtId="164" fontId="5" fillId="0" borderId="0" xfId="1" applyNumberFormat="1" applyFont="1" applyFill="1" applyAlignment="1"/>
    <xf numFmtId="164" fontId="1" fillId="0" borderId="0" xfId="1" applyNumberFormat="1" applyFont="1" applyAlignment="1"/>
    <xf numFmtId="164" fontId="1" fillId="0" borderId="0" xfId="0" applyNumberFormat="1" applyFont="1" applyAlignment="1">
      <alignment horizontal="left" wrapText="1"/>
    </xf>
    <xf numFmtId="164" fontId="1" fillId="2" borderId="0" xfId="1" applyNumberFormat="1" applyFont="1" applyFill="1" applyBorder="1" applyAlignment="1">
      <alignment wrapText="1"/>
    </xf>
    <xf numFmtId="0" fontId="4" fillId="0" borderId="0" xfId="0" applyFont="1" applyAlignment="1"/>
    <xf numFmtId="164" fontId="1" fillId="0" borderId="0" xfId="1" applyNumberFormat="1" applyFont="1" applyAlignment="1">
      <alignment vertical="center" wrapText="1"/>
    </xf>
    <xf numFmtId="0" fontId="1" fillId="0" borderId="0" xfId="0" applyFont="1" applyAlignment="1">
      <alignment vertical="top"/>
    </xf>
    <xf numFmtId="164" fontId="1" fillId="2" borderId="0" xfId="1" applyNumberFormat="1" applyFont="1" applyFill="1" applyAlignment="1">
      <alignment vertical="center" wrapText="1"/>
    </xf>
    <xf numFmtId="164" fontId="1" fillId="2" borderId="0" xfId="1" applyNumberFormat="1" applyFont="1" applyFill="1" applyAlignment="1"/>
    <xf numFmtId="164" fontId="1" fillId="2" borderId="0" xfId="1" applyNumberFormat="1" applyFont="1" applyFill="1" applyBorder="1" applyAlignment="1"/>
    <xf numFmtId="164" fontId="1" fillId="0" borderId="0" xfId="1" applyNumberFormat="1" applyFont="1" applyFill="1" applyAlignment="1"/>
    <xf numFmtId="164" fontId="1" fillId="0" borderId="0" xfId="0" applyNumberFormat="1" applyFont="1" applyFill="1"/>
    <xf numFmtId="164" fontId="1" fillId="0" borderId="0" xfId="1" applyNumberFormat="1" applyFont="1" applyFill="1" applyBorder="1" applyAlignment="1"/>
    <xf numFmtId="0" fontId="1" fillId="0" borderId="0" xfId="0" applyFont="1" applyFill="1" applyAlignment="1">
      <alignment vertical="top"/>
    </xf>
    <xf numFmtId="0" fontId="59" fillId="0" borderId="0" xfId="0" applyFont="1" applyFill="1" applyAlignment="1">
      <alignment vertical="center" wrapText="1"/>
    </xf>
    <xf numFmtId="164" fontId="4" fillId="0" borderId="0" xfId="1" applyNumberFormat="1" applyFont="1" applyFill="1"/>
    <xf numFmtId="164" fontId="1" fillId="0" borderId="0" xfId="1" applyNumberFormat="1" applyFont="1" applyBorder="1" applyAlignment="1"/>
    <xf numFmtId="164" fontId="1" fillId="0" borderId="0" xfId="1" applyNumberFormat="1" applyFont="1" applyAlignment="1">
      <alignment horizontal="right"/>
    </xf>
    <xf numFmtId="164" fontId="1" fillId="2" borderId="0" xfId="1" applyNumberFormat="1" applyFont="1" applyFill="1" applyAlignment="1">
      <alignment horizontal="right" wrapText="1"/>
    </xf>
    <xf numFmtId="164" fontId="1" fillId="0" borderId="0" xfId="1" applyNumberFormat="1" applyFont="1" applyAlignment="1">
      <alignment horizontal="right" wrapText="1"/>
    </xf>
    <xf numFmtId="173" fontId="1" fillId="2" borderId="0" xfId="0" applyNumberFormat="1" applyFont="1" applyFill="1" applyAlignment="1">
      <alignment horizontal="center" wrapText="1"/>
    </xf>
    <xf numFmtId="37" fontId="1" fillId="0" borderId="0" xfId="0" applyNumberFormat="1" applyFont="1" applyAlignment="1">
      <alignment horizontal="right" wrapText="1"/>
    </xf>
    <xf numFmtId="164" fontId="1" fillId="2" borderId="0" xfId="1" applyNumberFormat="1" applyFont="1" applyFill="1" applyAlignment="1">
      <alignment horizontal="right"/>
    </xf>
    <xf numFmtId="164" fontId="1" fillId="2" borderId="3" xfId="1" applyNumberFormat="1" applyFont="1" applyFill="1" applyBorder="1" applyAlignment="1">
      <alignment horizontal="right"/>
    </xf>
    <xf numFmtId="164" fontId="1" fillId="0" borderId="20" xfId="1" applyNumberFormat="1" applyFont="1" applyBorder="1" applyAlignment="1">
      <alignment horizontal="right"/>
    </xf>
    <xf numFmtId="43" fontId="1" fillId="0" borderId="0" xfId="1" applyFont="1" applyFill="1" applyAlignment="1">
      <alignment horizontal="right"/>
    </xf>
    <xf numFmtId="41" fontId="1" fillId="0" borderId="0" xfId="0" applyNumberFormat="1" applyFont="1" applyFill="1" applyBorder="1" applyAlignment="1">
      <alignment horizontal="right"/>
    </xf>
    <xf numFmtId="37" fontId="1" fillId="0" borderId="0" xfId="0" applyNumberFormat="1" applyFont="1" applyFill="1" applyAlignment="1">
      <alignment horizontal="right" wrapText="1"/>
    </xf>
    <xf numFmtId="164" fontId="1" fillId="0" borderId="0" xfId="1" applyNumberFormat="1" applyFont="1" applyFill="1" applyAlignment="1">
      <alignment horizontal="right"/>
    </xf>
    <xf numFmtId="0" fontId="1" fillId="0" borderId="0" xfId="0" applyFont="1" applyFill="1" applyAlignment="1">
      <alignment horizontal="left" wrapText="1"/>
    </xf>
    <xf numFmtId="37" fontId="1" fillId="0" borderId="0" xfId="0" applyNumberFormat="1" applyFont="1"/>
    <xf numFmtId="173" fontId="1" fillId="2" borderId="0" xfId="0" applyNumberFormat="1" applyFont="1" applyFill="1"/>
    <xf numFmtId="37" fontId="1" fillId="2" borderId="0" xfId="0" applyNumberFormat="1" applyFont="1" applyFill="1"/>
    <xf numFmtId="0" fontId="49" fillId="0" borderId="0" xfId="0" applyFont="1" applyFill="1" applyAlignment="1">
      <alignment horizontal="left" wrapText="1"/>
    </xf>
    <xf numFmtId="0" fontId="1" fillId="0" borderId="22" xfId="0" applyFont="1" applyBorder="1" applyAlignment="1">
      <alignment horizontal="left"/>
    </xf>
    <xf numFmtId="37" fontId="1" fillId="2" borderId="22" xfId="0" applyNumberFormat="1" applyFont="1" applyFill="1" applyBorder="1"/>
    <xf numFmtId="0" fontId="1" fillId="8" borderId="22" xfId="0" applyFont="1" applyFill="1" applyBorder="1" applyAlignment="1">
      <alignment horizontal="left" wrapText="1"/>
    </xf>
    <xf numFmtId="0" fontId="1" fillId="0" borderId="22" xfId="0" applyFont="1" applyFill="1" applyBorder="1" applyAlignment="1">
      <alignment horizontal="left"/>
    </xf>
    <xf numFmtId="0" fontId="1" fillId="0" borderId="22" xfId="0" applyFont="1" applyFill="1" applyBorder="1" applyAlignment="1">
      <alignment horizontal="left" wrapText="1"/>
    </xf>
    <xf numFmtId="0" fontId="1" fillId="2" borderId="22" xfId="0" applyFont="1" applyFill="1" applyBorder="1"/>
    <xf numFmtId="0" fontId="1" fillId="2" borderId="0" xfId="0" applyFont="1" applyFill="1" applyAlignment="1">
      <alignment horizontal="center"/>
    </xf>
    <xf numFmtId="41" fontId="1" fillId="0" borderId="0" xfId="0" applyNumberFormat="1" applyFont="1" applyFill="1" applyAlignment="1">
      <alignment horizontal="left" wrapText="1"/>
    </xf>
    <xf numFmtId="0" fontId="1" fillId="2" borderId="21" xfId="0" applyFont="1" applyFill="1" applyBorder="1"/>
    <xf numFmtId="0" fontId="1" fillId="0" borderId="0" xfId="0" applyFont="1" applyFill="1" applyBorder="1" applyAlignment="1">
      <alignment horizontal="center"/>
    </xf>
    <xf numFmtId="0" fontId="2" fillId="0" borderId="16" xfId="0" applyFont="1" applyFill="1" applyBorder="1" applyAlignment="1">
      <alignment horizontal="center"/>
    </xf>
    <xf numFmtId="167" fontId="1" fillId="0" borderId="18" xfId="2" applyNumberFormat="1" applyFont="1" applyFill="1" applyBorder="1"/>
    <xf numFmtId="171" fontId="5" fillId="0" borderId="0" xfId="0" applyNumberFormat="1" applyFont="1" applyAlignment="1"/>
    <xf numFmtId="0" fontId="1" fillId="0" borderId="0" xfId="0" applyFont="1" applyFill="1" applyBorder="1" applyAlignment="1">
      <alignment horizontal="center"/>
    </xf>
    <xf numFmtId="0" fontId="2" fillId="0" borderId="16" xfId="0" applyFont="1" applyFill="1" applyBorder="1" applyAlignment="1">
      <alignment horizontal="center"/>
    </xf>
    <xf numFmtId="0" fontId="1" fillId="0" borderId="22" xfId="0" applyFont="1" applyFill="1" applyBorder="1" applyAlignment="1">
      <alignment horizontal="center" wrapText="1"/>
    </xf>
    <xf numFmtId="37" fontId="1" fillId="0" borderId="0" xfId="0" applyNumberFormat="1" applyFont="1" applyFill="1" applyAlignment="1">
      <alignment horizontal="left" wrapText="1"/>
    </xf>
    <xf numFmtId="37" fontId="12" fillId="0" borderId="0" xfId="0" applyNumberFormat="1" applyFont="1" applyFill="1" applyAlignment="1">
      <alignment horizontal="left" wrapText="1"/>
    </xf>
    <xf numFmtId="164" fontId="1" fillId="0" borderId="0" xfId="0" applyNumberFormat="1" applyFont="1" applyFill="1" applyAlignment="1">
      <alignment horizontal="left" wrapText="1"/>
    </xf>
    <xf numFmtId="164" fontId="12" fillId="0" borderId="0" xfId="0" applyNumberFormat="1" applyFont="1" applyFill="1" applyAlignment="1">
      <alignment horizontal="left" wrapText="1"/>
    </xf>
    <xf numFmtId="0" fontId="1" fillId="0" borderId="0" xfId="0" applyFont="1" applyFill="1" applyBorder="1" applyAlignment="1">
      <alignment horizontal="center"/>
    </xf>
    <xf numFmtId="0" fontId="2" fillId="0" borderId="16" xfId="0" applyFont="1" applyFill="1" applyBorder="1" applyAlignment="1">
      <alignment horizontal="center"/>
    </xf>
    <xf numFmtId="3" fontId="3" fillId="2" borderId="0" xfId="0" applyNumberFormat="1" applyFont="1" applyFill="1" applyAlignment="1">
      <alignment horizontal="right"/>
    </xf>
    <xf numFmtId="0" fontId="1" fillId="0" borderId="6" xfId="0" applyFont="1" applyFill="1" applyBorder="1" applyAlignment="1">
      <alignment horizontal="right"/>
    </xf>
    <xf numFmtId="0" fontId="5" fillId="0" borderId="0" xfId="0" applyFont="1" applyAlignment="1">
      <alignment horizontal="center"/>
    </xf>
    <xf numFmtId="164" fontId="1" fillId="0" borderId="0" xfId="1" applyNumberFormat="1" applyFont="1" applyFill="1" applyAlignment="1">
      <alignment horizontal="right" wrapText="1"/>
    </xf>
    <xf numFmtId="0" fontId="1" fillId="0" borderId="0" xfId="0" applyFont="1" applyFill="1" applyBorder="1" applyAlignment="1">
      <alignment horizontal="center"/>
    </xf>
    <xf numFmtId="0" fontId="2" fillId="0" borderId="16" xfId="0" applyFont="1" applyFill="1" applyBorder="1" applyAlignment="1">
      <alignment horizontal="center"/>
    </xf>
    <xf numFmtId="0" fontId="1" fillId="0" borderId="0" xfId="0" applyFont="1" applyFill="1" applyBorder="1" applyAlignment="1">
      <alignment horizontal="center"/>
    </xf>
    <xf numFmtId="0" fontId="2" fillId="0" borderId="16" xfId="0" applyFont="1" applyFill="1" applyBorder="1" applyAlignment="1">
      <alignment horizontal="center"/>
    </xf>
    <xf numFmtId="43" fontId="1" fillId="0" borderId="0" xfId="1" applyFont="1"/>
    <xf numFmtId="39" fontId="0" fillId="0" borderId="0" xfId="0" applyNumberFormat="1" applyFill="1"/>
    <xf numFmtId="37" fontId="1" fillId="0" borderId="0" xfId="1" applyNumberFormat="1" applyFont="1" applyBorder="1"/>
    <xf numFmtId="43" fontId="5" fillId="0" borderId="0" xfId="1" applyFont="1" applyFill="1" applyBorder="1" applyAlignment="1">
      <alignment horizontal="center"/>
    </xf>
    <xf numFmtId="0" fontId="5" fillId="0" borderId="0" xfId="0" applyNumberFormat="1" applyFont="1" applyBorder="1" applyAlignment="1">
      <alignment horizontal="right"/>
    </xf>
    <xf numFmtId="0" fontId="5" fillId="0" borderId="7" xfId="0" applyNumberFormat="1" applyFont="1" applyFill="1" applyBorder="1" applyAlignment="1">
      <alignment horizontal="left" wrapText="1"/>
    </xf>
    <xf numFmtId="0" fontId="1" fillId="0" borderId="0" xfId="0" applyFont="1" applyFill="1" applyBorder="1" applyAlignment="1">
      <alignment horizontal="center"/>
    </xf>
    <xf numFmtId="0" fontId="2" fillId="0" borderId="16" xfId="0" applyFont="1" applyFill="1" applyBorder="1" applyAlignment="1">
      <alignment horizontal="center"/>
    </xf>
    <xf numFmtId="0" fontId="1" fillId="0" borderId="0" xfId="0" applyFont="1" applyFill="1" applyAlignment="1">
      <alignment wrapText="1"/>
    </xf>
    <xf numFmtId="0" fontId="1" fillId="0" borderId="0" xfId="0" applyFont="1" applyFill="1" applyBorder="1" applyAlignment="1">
      <alignment horizontal="left" wrapText="1"/>
    </xf>
    <xf numFmtId="164" fontId="1" fillId="0" borderId="8" xfId="0" applyNumberFormat="1" applyFont="1" applyFill="1" applyBorder="1"/>
    <xf numFmtId="164" fontId="1" fillId="0" borderId="9" xfId="0" applyNumberFormat="1" applyFont="1" applyFill="1" applyBorder="1"/>
    <xf numFmtId="178" fontId="1" fillId="0" borderId="0" xfId="0" applyNumberFormat="1" applyFont="1" applyFill="1" applyBorder="1" applyAlignment="1">
      <alignment horizontal="left" wrapText="1"/>
    </xf>
    <xf numFmtId="37" fontId="1" fillId="0" borderId="0" xfId="0" applyNumberFormat="1" applyFont="1" applyFill="1" applyBorder="1" applyAlignment="1">
      <alignment horizontal="left" wrapText="1"/>
    </xf>
    <xf numFmtId="178" fontId="12" fillId="0" borderId="0" xfId="0" applyNumberFormat="1" applyFont="1" applyFill="1" applyBorder="1" applyAlignment="1">
      <alignment horizontal="left" wrapText="1"/>
    </xf>
    <xf numFmtId="169" fontId="1" fillId="0" borderId="0" xfId="0" applyNumberFormat="1" applyFont="1" applyFill="1" applyBorder="1" applyAlignment="1">
      <alignment horizontal="left" wrapText="1"/>
    </xf>
    <xf numFmtId="0" fontId="1" fillId="12" borderId="0" xfId="0" applyFont="1" applyFill="1"/>
    <xf numFmtId="0" fontId="1" fillId="12" borderId="0" xfId="0" applyFont="1" applyFill="1" applyAlignment="1">
      <alignment horizontal="left" wrapText="1"/>
    </xf>
    <xf numFmtId="0" fontId="1" fillId="0" borderId="0" xfId="0" applyFont="1" applyFill="1" applyBorder="1" applyAlignment="1">
      <alignment horizontal="center"/>
    </xf>
    <xf numFmtId="0" fontId="2" fillId="0" borderId="16" xfId="0" applyFont="1" applyFill="1" applyBorder="1" applyAlignment="1">
      <alignment horizontal="center"/>
    </xf>
    <xf numFmtId="179" fontId="1" fillId="0" borderId="0" xfId="0" applyNumberFormat="1" applyFont="1" applyFill="1" applyAlignment="1">
      <alignment horizontal="center"/>
    </xf>
    <xf numFmtId="173" fontId="3" fillId="0" borderId="0" xfId="5" applyNumberFormat="1" applyFont="1" applyFill="1" applyBorder="1" applyAlignment="1"/>
    <xf numFmtId="3" fontId="5" fillId="0" borderId="0" xfId="0" applyNumberFormat="1" applyFont="1" applyFill="1"/>
    <xf numFmtId="4" fontId="5" fillId="0" borderId="0" xfId="0" applyNumberFormat="1" applyFont="1"/>
    <xf numFmtId="3" fontId="1" fillId="0" borderId="6" xfId="0" applyNumberFormat="1" applyFont="1" applyFill="1" applyBorder="1" applyAlignment="1">
      <alignment horizontal="center"/>
    </xf>
    <xf numFmtId="171" fontId="5" fillId="0" borderId="0" xfId="0" applyNumberFormat="1" applyFont="1" applyFill="1" applyBorder="1" applyAlignment="1"/>
    <xf numFmtId="166" fontId="5" fillId="0" borderId="0" xfId="0" applyNumberFormat="1" applyFont="1" applyFill="1" applyBorder="1" applyAlignment="1"/>
    <xf numFmtId="166" fontId="3" fillId="0" borderId="0" xfId="0" applyNumberFormat="1" applyFont="1" applyFill="1" applyBorder="1" applyAlignment="1"/>
    <xf numFmtId="166" fontId="3" fillId="0" borderId="0" xfId="0" applyNumberFormat="1" applyFont="1" applyFill="1" applyBorder="1"/>
    <xf numFmtId="43" fontId="5" fillId="0" borderId="0" xfId="0" applyNumberFormat="1" applyFont="1" applyFill="1" applyBorder="1"/>
    <xf numFmtId="43" fontId="1" fillId="0" borderId="0" xfId="1" applyFont="1" applyFill="1"/>
    <xf numFmtId="174" fontId="5" fillId="0" borderId="0" xfId="5" applyNumberFormat="1" applyFont="1"/>
    <xf numFmtId="3" fontId="3" fillId="0" borderId="0" xfId="0" applyNumberFormat="1" applyFont="1"/>
    <xf numFmtId="10" fontId="5" fillId="0" borderId="0" xfId="0" applyNumberFormat="1" applyFont="1" applyFill="1" applyBorder="1"/>
    <xf numFmtId="37" fontId="5" fillId="0" borderId="0" xfId="0" applyNumberFormat="1" applyFont="1"/>
    <xf numFmtId="180" fontId="1" fillId="0" borderId="0" xfId="1"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7" xfId="0" applyFont="1" applyFill="1" applyBorder="1" applyAlignment="1">
      <alignment horizontal="center" wrapText="1"/>
    </xf>
    <xf numFmtId="0" fontId="10" fillId="6" borderId="14" xfId="0" applyFont="1" applyFill="1" applyBorder="1" applyAlignment="1">
      <alignment horizontal="center" wrapText="1"/>
    </xf>
    <xf numFmtId="0" fontId="2" fillId="0" borderId="9" xfId="0" applyFont="1" applyFill="1" applyBorder="1" applyAlignment="1">
      <alignment horizontal="center" wrapText="1"/>
    </xf>
    <xf numFmtId="0" fontId="1" fillId="0" borderId="9" xfId="0" applyFont="1" applyFill="1" applyBorder="1" applyAlignment="1">
      <alignment horizontal="center" wrapText="1"/>
    </xf>
    <xf numFmtId="0" fontId="1" fillId="0" borderId="10" xfId="0" applyFont="1" applyFill="1" applyBorder="1" applyAlignment="1">
      <alignment horizontal="center" wrapText="1"/>
    </xf>
    <xf numFmtId="43" fontId="5" fillId="0" borderId="0" xfId="1" applyFont="1" applyAlignment="1">
      <alignment horizontal="left"/>
    </xf>
    <xf numFmtId="164" fontId="1" fillId="2" borderId="22" xfId="1" applyNumberFormat="1" applyFont="1" applyFill="1" applyBorder="1"/>
    <xf numFmtId="164" fontId="46" fillId="0" borderId="0" xfId="1" applyNumberFormat="1" applyFont="1" applyFill="1" applyAlignment="1">
      <alignment horizontal="left"/>
    </xf>
    <xf numFmtId="3" fontId="1" fillId="0" borderId="0" xfId="0" applyNumberFormat="1" applyFont="1"/>
    <xf numFmtId="164" fontId="5" fillId="0" borderId="0" xfId="1" applyNumberFormat="1" applyFont="1" applyAlignment="1">
      <alignment horizontal="left"/>
    </xf>
    <xf numFmtId="164" fontId="5" fillId="0" borderId="0" xfId="1" applyNumberFormat="1" applyFont="1" applyFill="1"/>
    <xf numFmtId="0" fontId="10" fillId="6" borderId="14" xfId="0" applyFont="1" applyFill="1" applyBorder="1" applyAlignment="1">
      <alignment horizontal="center" wrapText="1"/>
    </xf>
    <xf numFmtId="0" fontId="1" fillId="0" borderId="0" xfId="0" applyFont="1" applyFill="1" applyBorder="1" applyAlignment="1">
      <alignment horizontal="center" wrapText="1"/>
    </xf>
    <xf numFmtId="0" fontId="1" fillId="0" borderId="7" xfId="0" applyFont="1" applyFill="1" applyBorder="1" applyAlignment="1">
      <alignment horizontal="center" wrapText="1"/>
    </xf>
    <xf numFmtId="0" fontId="1" fillId="0" borderId="9" xfId="0" applyFont="1" applyFill="1" applyBorder="1" applyAlignment="1">
      <alignment horizontal="center" wrapText="1"/>
    </xf>
    <xf numFmtId="0" fontId="1" fillId="0" borderId="10" xfId="0" applyFont="1" applyFill="1" applyBorder="1" applyAlignment="1">
      <alignment horizontal="center" wrapText="1"/>
    </xf>
    <xf numFmtId="0" fontId="2" fillId="0" borderId="9" xfId="0" applyFont="1" applyFill="1" applyBorder="1" applyAlignment="1">
      <alignment horizontal="center" wrapText="1"/>
    </xf>
    <xf numFmtId="181" fontId="1" fillId="0" borderId="0" xfId="1" applyNumberFormat="1" applyFont="1" applyFill="1" applyBorder="1"/>
    <xf numFmtId="181" fontId="1" fillId="0" borderId="0" xfId="1" applyNumberFormat="1" applyFont="1" applyFill="1" applyBorder="1" applyAlignment="1">
      <alignment wrapText="1"/>
    </xf>
    <xf numFmtId="0" fontId="5" fillId="0" borderId="6" xfId="0" applyNumberFormat="1" applyFont="1" applyFill="1" applyBorder="1" applyAlignment="1">
      <alignment horizontal="center" wrapText="1"/>
    </xf>
    <xf numFmtId="0" fontId="3" fillId="7" borderId="15" xfId="0" applyFont="1" applyFill="1" applyBorder="1" applyAlignment="1">
      <alignment horizontal="center" wrapText="1"/>
    </xf>
    <xf numFmtId="0" fontId="3" fillId="7" borderId="10" xfId="0" applyFont="1" applyFill="1" applyBorder="1" applyAlignment="1">
      <alignment horizontal="center" wrapText="1"/>
    </xf>
    <xf numFmtId="0" fontId="5" fillId="0" borderId="0" xfId="0" applyNumberFormat="1" applyFont="1" applyFill="1" applyAlignment="1">
      <alignment horizontal="left" vertical="top" wrapText="1"/>
    </xf>
    <xf numFmtId="0" fontId="3" fillId="2" borderId="17" xfId="0" applyFont="1" applyFill="1" applyBorder="1" applyAlignment="1">
      <alignment horizontal="center" wrapText="1"/>
    </xf>
    <xf numFmtId="0" fontId="3" fillId="2" borderId="19" xfId="0" applyFont="1" applyFill="1" applyBorder="1" applyAlignment="1">
      <alignment horizontal="center" wrapText="1"/>
    </xf>
    <xf numFmtId="0" fontId="13" fillId="0" borderId="0" xfId="0" applyFont="1" applyAlignment="1">
      <alignment horizontal="center"/>
    </xf>
    <xf numFmtId="0" fontId="16" fillId="0" borderId="0" xfId="0" applyFont="1" applyAlignment="1"/>
    <xf numFmtId="0" fontId="22" fillId="0" borderId="0" xfId="0" applyFont="1" applyAlignment="1">
      <alignment horizontal="center"/>
    </xf>
    <xf numFmtId="0" fontId="10" fillId="0" borderId="0" xfId="0" applyFont="1" applyFill="1" applyBorder="1" applyAlignment="1">
      <alignment horizontal="left" wrapText="1"/>
    </xf>
    <xf numFmtId="0" fontId="1" fillId="0" borderId="0" xfId="0" applyFont="1" applyAlignment="1"/>
    <xf numFmtId="0" fontId="10" fillId="0" borderId="0" xfId="0" applyFont="1" applyAlignment="1">
      <alignment wrapText="1"/>
    </xf>
    <xf numFmtId="0" fontId="1" fillId="0" borderId="0" xfId="0" applyFont="1" applyAlignment="1">
      <alignment wrapText="1"/>
    </xf>
    <xf numFmtId="0" fontId="2" fillId="12" borderId="0" xfId="0" applyFont="1" applyFill="1" applyAlignment="1">
      <alignment horizontal="center"/>
    </xf>
    <xf numFmtId="0" fontId="1" fillId="12" borderId="0" xfId="0" applyFont="1" applyFill="1" applyAlignment="1"/>
    <xf numFmtId="0" fontId="5" fillId="0" borderId="0" xfId="0" applyFont="1" applyAlignment="1">
      <alignment horizontal="center"/>
    </xf>
    <xf numFmtId="0" fontId="2" fillId="0" borderId="0" xfId="0" applyFont="1" applyAlignment="1">
      <alignment horizontal="center"/>
    </xf>
    <xf numFmtId="0" fontId="29" fillId="0" borderId="0" xfId="0" applyFont="1" applyFill="1" applyBorder="1" applyAlignment="1">
      <alignment horizontal="center" wrapText="1"/>
    </xf>
    <xf numFmtId="0" fontId="25" fillId="0" borderId="0" xfId="0" applyFont="1" applyFill="1" applyBorder="1" applyAlignment="1">
      <alignment horizontal="center" wrapText="1"/>
    </xf>
    <xf numFmtId="0" fontId="29" fillId="0" borderId="9" xfId="0" applyFont="1" applyFill="1" applyBorder="1" applyAlignment="1">
      <alignment horizontal="center" wrapText="1"/>
    </xf>
    <xf numFmtId="0" fontId="25" fillId="0" borderId="9" xfId="0" applyFont="1" applyFill="1" applyBorder="1" applyAlignment="1">
      <alignment horizontal="center" wrapText="1"/>
    </xf>
    <xf numFmtId="0" fontId="24" fillId="6" borderId="14" xfId="0" applyFont="1" applyFill="1" applyBorder="1" applyAlignment="1">
      <alignment horizontal="center" wrapText="1"/>
    </xf>
    <xf numFmtId="0" fontId="31" fillId="6" borderId="14" xfId="0" applyFont="1" applyFill="1" applyBorder="1" applyAlignment="1">
      <alignment horizontal="center" wrapText="1"/>
    </xf>
    <xf numFmtId="0" fontId="25" fillId="0" borderId="14" xfId="0" applyFont="1" applyBorder="1" applyAlignment="1">
      <alignment horizontal="center" wrapText="1"/>
    </xf>
    <xf numFmtId="0" fontId="25" fillId="0" borderId="0" xfId="0" applyFont="1" applyAlignment="1">
      <alignment horizontal="center" wrapText="1"/>
    </xf>
    <xf numFmtId="0" fontId="25" fillId="0" borderId="9" xfId="0" applyFont="1" applyBorder="1" applyAlignment="1">
      <alignment horizontal="center" wrapText="1"/>
    </xf>
    <xf numFmtId="0" fontId="24" fillId="0" borderId="0" xfId="0" applyFont="1" applyFill="1" applyBorder="1" applyAlignment="1">
      <alignment horizontal="center" wrapText="1"/>
    </xf>
    <xf numFmtId="0" fontId="42" fillId="6" borderId="16" xfId="0" applyFont="1" applyFill="1" applyBorder="1" applyAlignment="1">
      <alignment horizontal="center"/>
    </xf>
    <xf numFmtId="0" fontId="42" fillId="6" borderId="14" xfId="0" applyFont="1" applyFill="1" applyBorder="1" applyAlignment="1">
      <alignment horizontal="center"/>
    </xf>
    <xf numFmtId="0" fontId="42" fillId="6" borderId="15" xfId="0" applyFont="1" applyFill="1" applyBorder="1" applyAlignment="1">
      <alignment horizontal="center"/>
    </xf>
    <xf numFmtId="0" fontId="42" fillId="6" borderId="16" xfId="0" applyFont="1" applyFill="1" applyBorder="1" applyAlignment="1">
      <alignment horizontal="center" wrapText="1"/>
    </xf>
    <xf numFmtId="0" fontId="42" fillId="6" borderId="14" xfId="0" applyFont="1" applyFill="1" applyBorder="1" applyAlignment="1">
      <alignment horizontal="center" wrapText="1"/>
    </xf>
    <xf numFmtId="0" fontId="42" fillId="6" borderId="15" xfId="0" applyFont="1" applyFill="1" applyBorder="1" applyAlignment="1">
      <alignment horizontal="center" wrapText="1"/>
    </xf>
    <xf numFmtId="0" fontId="43" fillId="6" borderId="16" xfId="0" applyFont="1" applyFill="1" applyBorder="1" applyAlignment="1">
      <alignment horizontal="center"/>
    </xf>
    <xf numFmtId="0" fontId="43" fillId="6" borderId="14" xfId="0" applyFont="1" applyFill="1" applyBorder="1" applyAlignment="1">
      <alignment horizontal="center"/>
    </xf>
    <xf numFmtId="0" fontId="42" fillId="0" borderId="0" xfId="0" applyFont="1" applyFill="1" applyBorder="1" applyAlignment="1">
      <alignment horizontal="center"/>
    </xf>
    <xf numFmtId="0" fontId="10" fillId="6" borderId="14" xfId="0" applyFont="1" applyFill="1" applyBorder="1" applyAlignment="1">
      <alignment horizontal="center" wrapText="1"/>
    </xf>
    <xf numFmtId="0" fontId="10" fillId="6" borderId="15" xfId="0" applyFont="1" applyFill="1" applyBorder="1" applyAlignment="1">
      <alignment horizontal="center" wrapText="1"/>
    </xf>
    <xf numFmtId="0" fontId="2" fillId="0" borderId="0" xfId="0" applyFont="1" applyFill="1" applyBorder="1" applyAlignment="1">
      <alignment horizontal="center" wrapText="1"/>
    </xf>
    <xf numFmtId="0" fontId="1" fillId="0" borderId="0" xfId="0" applyFont="1" applyFill="1" applyBorder="1" applyAlignment="1">
      <alignment horizontal="center" wrapText="1"/>
    </xf>
    <xf numFmtId="0" fontId="1" fillId="0" borderId="7" xfId="0" applyFont="1" applyFill="1" applyBorder="1" applyAlignment="1">
      <alignment horizontal="center" wrapText="1"/>
    </xf>
    <xf numFmtId="44" fontId="1" fillId="0" borderId="0" xfId="2" quotePrefix="1" applyFont="1" applyFill="1" applyBorder="1" applyAlignment="1">
      <alignment horizontal="left" wrapText="1"/>
    </xf>
    <xf numFmtId="44" fontId="1" fillId="0" borderId="0" xfId="2" applyFont="1" applyFill="1" applyBorder="1" applyAlignment="1">
      <alignment horizontal="left" wrapText="1"/>
    </xf>
    <xf numFmtId="44" fontId="1" fillId="0" borderId="7" xfId="2" applyFont="1" applyFill="1" applyBorder="1" applyAlignment="1">
      <alignment horizontal="left" wrapText="1"/>
    </xf>
    <xf numFmtId="44" fontId="1" fillId="0" borderId="7" xfId="2" quotePrefix="1" applyFont="1" applyFill="1" applyBorder="1" applyAlignment="1">
      <alignment horizontal="left" wrapText="1"/>
    </xf>
    <xf numFmtId="0" fontId="4" fillId="6" borderId="14" xfId="0" applyFont="1" applyFill="1" applyBorder="1" applyAlignment="1">
      <alignment horizontal="center" wrapText="1"/>
    </xf>
    <xf numFmtId="0" fontId="4" fillId="6" borderId="15" xfId="0" applyFont="1" applyFill="1" applyBorder="1" applyAlignment="1">
      <alignment horizontal="center" wrapText="1"/>
    </xf>
    <xf numFmtId="0" fontId="1" fillId="0" borderId="0" xfId="0" applyFont="1" applyFill="1" applyBorder="1" applyAlignment="1">
      <alignment horizontal="left" wrapText="1"/>
    </xf>
    <xf numFmtId="0" fontId="1" fillId="0" borderId="7" xfId="0" applyFont="1" applyFill="1" applyBorder="1" applyAlignment="1">
      <alignment horizontal="left" wrapText="1"/>
    </xf>
    <xf numFmtId="2" fontId="3" fillId="0" borderId="0" xfId="0" applyNumberFormat="1" applyFont="1" applyFill="1" applyBorder="1" applyAlignment="1">
      <alignment horizontal="center"/>
    </xf>
    <xf numFmtId="2" fontId="1"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14" xfId="0" applyFont="1" applyBorder="1" applyAlignment="1">
      <alignment horizontal="center" wrapText="1"/>
    </xf>
    <xf numFmtId="0" fontId="1" fillId="0" borderId="15" xfId="0" applyFont="1" applyBorder="1" applyAlignment="1">
      <alignment horizontal="center" wrapText="1"/>
    </xf>
    <xf numFmtId="164" fontId="1" fillId="0" borderId="9"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10" xfId="0" applyFont="1" applyFill="1" applyBorder="1" applyAlignment="1">
      <alignment horizontal="center" wrapText="1"/>
    </xf>
    <xf numFmtId="164" fontId="1" fillId="0" borderId="9" xfId="1" applyNumberFormat="1" applyFont="1" applyFill="1" applyBorder="1" applyAlignment="1">
      <alignment horizontal="center" wrapText="1"/>
    </xf>
    <xf numFmtId="164" fontId="1" fillId="0" borderId="10" xfId="1" applyNumberFormat="1" applyFont="1" applyFill="1" applyBorder="1" applyAlignment="1">
      <alignment horizontal="center" wrapText="1"/>
    </xf>
    <xf numFmtId="0" fontId="20" fillId="0" borderId="0" xfId="0" applyFont="1" applyAlignment="1">
      <alignment horizontal="left" vertical="top" textRotation="180" wrapText="1"/>
    </xf>
    <xf numFmtId="0" fontId="20" fillId="0" borderId="0" xfId="0" applyFont="1" applyAlignment="1"/>
    <xf numFmtId="0" fontId="1" fillId="0" borderId="0" xfId="0" applyFont="1" applyAlignment="1">
      <alignment horizontal="center" wrapText="1"/>
    </xf>
    <xf numFmtId="0" fontId="1" fillId="0" borderId="7"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4" xfId="0" applyFont="1" applyFill="1" applyBorder="1" applyAlignment="1">
      <alignment horizontal="left" wrapText="1"/>
    </xf>
    <xf numFmtId="0" fontId="10" fillId="0" borderId="0" xfId="0" applyFont="1" applyFill="1" applyBorder="1" applyAlignment="1">
      <alignment horizontal="center" wrapText="1"/>
    </xf>
    <xf numFmtId="3" fontId="1" fillId="0" borderId="0" xfId="0" applyNumberFormat="1" applyFont="1" applyBorder="1" applyAlignment="1">
      <alignment horizontal="left" wrapText="1"/>
    </xf>
    <xf numFmtId="0" fontId="1" fillId="0" borderId="0" xfId="0" applyFont="1" applyBorder="1" applyAlignment="1">
      <alignment wrapText="1"/>
    </xf>
    <xf numFmtId="0" fontId="1" fillId="0" borderId="7" xfId="0" applyFont="1" applyBorder="1" applyAlignment="1">
      <alignment wrapText="1"/>
    </xf>
    <xf numFmtId="0" fontId="1" fillId="0" borderId="0"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9" xfId="0" applyFont="1" applyFill="1" applyBorder="1" applyAlignment="1">
      <alignment horizontal="left" wrapText="1"/>
    </xf>
    <xf numFmtId="0" fontId="1" fillId="0" borderId="10" xfId="0" applyFont="1" applyFill="1" applyBorder="1" applyAlignment="1">
      <alignment horizontal="left" wrapText="1"/>
    </xf>
    <xf numFmtId="3" fontId="1" fillId="0" borderId="23" xfId="0" applyNumberFormat="1" applyFont="1" applyBorder="1" applyAlignment="1">
      <alignment horizontal="left" wrapText="1"/>
    </xf>
    <xf numFmtId="0" fontId="2" fillId="0" borderId="7" xfId="0" applyFont="1" applyFill="1" applyBorder="1" applyAlignment="1">
      <alignment horizontal="center" wrapText="1"/>
    </xf>
    <xf numFmtId="0" fontId="8" fillId="6" borderId="16" xfId="0" applyFont="1" applyFill="1" applyBorder="1" applyAlignment="1">
      <alignment horizontal="center"/>
    </xf>
    <xf numFmtId="0" fontId="1" fillId="0" borderId="14" xfId="0" applyFont="1" applyBorder="1" applyAlignment="1">
      <alignment horizontal="center"/>
    </xf>
    <xf numFmtId="0" fontId="8" fillId="6" borderId="14" xfId="0" applyFont="1" applyFill="1" applyBorder="1" applyAlignment="1">
      <alignment horizontal="center"/>
    </xf>
    <xf numFmtId="0" fontId="2" fillId="0" borderId="9" xfId="0" applyFont="1" applyFill="1" applyBorder="1" applyAlignment="1">
      <alignment horizontal="center" wrapText="1"/>
    </xf>
    <xf numFmtId="164" fontId="3" fillId="0" borderId="0" xfId="1" applyNumberFormat="1" applyFont="1" applyFill="1" applyBorder="1" applyAlignment="1">
      <alignment horizontal="center"/>
    </xf>
    <xf numFmtId="164" fontId="1" fillId="0" borderId="0" xfId="1" applyNumberFormat="1" applyFont="1" applyFill="1" applyBorder="1" applyAlignment="1">
      <alignment horizontal="center"/>
    </xf>
    <xf numFmtId="164" fontId="3" fillId="0" borderId="6" xfId="1" applyNumberFormat="1" applyFont="1" applyFill="1" applyBorder="1" applyAlignment="1">
      <alignment horizontal="center"/>
    </xf>
    <xf numFmtId="164" fontId="3" fillId="0" borderId="8" xfId="1" applyNumberFormat="1" applyFont="1" applyFill="1" applyBorder="1" applyAlignment="1">
      <alignment horizontal="center"/>
    </xf>
    <xf numFmtId="164" fontId="1" fillId="0" borderId="9" xfId="1" applyNumberFormat="1" applyFont="1" applyFill="1" applyBorder="1" applyAlignment="1">
      <alignment horizontal="center"/>
    </xf>
    <xf numFmtId="164" fontId="3" fillId="0" borderId="9" xfId="1" applyNumberFormat="1" applyFont="1" applyFill="1" applyBorder="1" applyAlignment="1">
      <alignment horizontal="center"/>
    </xf>
    <xf numFmtId="0" fontId="3" fillId="0" borderId="0" xfId="0" applyFont="1" applyAlignment="1">
      <alignment horizontal="center"/>
    </xf>
    <xf numFmtId="0" fontId="13" fillId="0" borderId="0" xfId="0" applyFont="1" applyAlignment="1"/>
    <xf numFmtId="0" fontId="55" fillId="0" borderId="0" xfId="0" applyFont="1" applyAlignment="1">
      <alignment horizontal="center"/>
    </xf>
    <xf numFmtId="0" fontId="49" fillId="0" borderId="0" xfId="0" applyFont="1" applyAlignment="1"/>
    <xf numFmtId="0" fontId="46" fillId="0" borderId="0" xfId="0" applyFont="1" applyAlignment="1">
      <alignment wrapText="1"/>
    </xf>
    <xf numFmtId="0" fontId="2" fillId="0" borderId="16" xfId="0" applyFont="1" applyBorder="1" applyAlignment="1">
      <alignment horizontal="center"/>
    </xf>
    <xf numFmtId="0" fontId="1" fillId="0" borderId="15" xfId="0" applyFont="1" applyBorder="1" applyAlignment="1">
      <alignment horizontal="center"/>
    </xf>
    <xf numFmtId="0" fontId="2" fillId="0" borderId="16" xfId="0" applyFont="1" applyBorder="1" applyAlignment="1">
      <alignment horizontal="center" wrapText="1"/>
    </xf>
    <xf numFmtId="0" fontId="2" fillId="0" borderId="16"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2" fillId="0" borderId="16"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10" fillId="0" borderId="0" xfId="0" applyFont="1" applyFill="1" applyAlignment="1">
      <alignment wrapText="1"/>
    </xf>
    <xf numFmtId="0" fontId="0" fillId="0" borderId="0" xfId="0" applyFill="1" applyAlignment="1">
      <alignment wrapText="1"/>
    </xf>
    <xf numFmtId="0" fontId="1" fillId="0" borderId="0" xfId="0" applyFont="1" applyAlignment="1">
      <alignment horizontal="center"/>
    </xf>
    <xf numFmtId="0" fontId="50" fillId="0" borderId="0" xfId="0" applyFont="1" applyAlignment="1">
      <alignment horizontal="center"/>
    </xf>
  </cellXfs>
  <cellStyles count="6">
    <cellStyle name="Comma" xfId="1" builtinId="3"/>
    <cellStyle name="Currency" xfId="2" builtinId="4"/>
    <cellStyle name="Normal" xfId="0" builtinId="0"/>
    <cellStyle name="Normal_1995 FCWS" xfId="3"/>
    <cellStyle name="Normal_FN1 Ratebase Draft SPP template (6-11-04) v2" xfId="4"/>
    <cellStyle name="Percent" xfId="5" builtinId="5"/>
  </cellStyles>
  <dxfs count="0"/>
  <tableStyles count="0" defaultTableStyle="TableStyleMedium9" defaultPivotStyle="PivotStyleLight16"/>
  <colors>
    <mruColors>
      <color rgb="FFFF66FF"/>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neral%20Accounting%20Section/Account/Formula%20Rates/2010%20Form%201%20Update/BGE%20Rev%20Req%20-%20201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 H-2A"/>
      <sheetName val="1 - ADIT"/>
      <sheetName val="2 - Other Tax"/>
      <sheetName val="3 - Revenue Credits"/>
      <sheetName val="4 - 100 Basis Pt ROE"/>
      <sheetName val="Exh E - Cap Add Worksheet"/>
      <sheetName val="Exh F - AA-BL Items"/>
      <sheetName val="5 - Cost Support"/>
      <sheetName val="5a - Affiliate Allocations"/>
      <sheetName val="6- Est &amp; True-up WS"/>
      <sheetName val="7 - Cap Add WS"/>
      <sheetName val="8 - Securitization"/>
      <sheetName val="Sheet1"/>
    </sheetNames>
    <sheetDataSet>
      <sheetData sheetId="0">
        <row r="285">
          <cell r="H285">
            <v>20226.56354318012</v>
          </cell>
        </row>
      </sheetData>
      <sheetData sheetId="1"/>
      <sheetData sheetId="2"/>
      <sheetData sheetId="3"/>
      <sheetData sheetId="4"/>
      <sheetData sheetId="5"/>
      <sheetData sheetId="6">
        <row r="23">
          <cell r="A23">
            <v>12</v>
          </cell>
          <cell r="E23" t="str">
            <v>(Note A)</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T338"/>
  <sheetViews>
    <sheetView topLeftCell="A335" zoomScale="85" zoomScaleNormal="85" zoomScalePageLayoutView="60" workbookViewId="0">
      <selection activeCell="H106" sqref="H106"/>
    </sheetView>
  </sheetViews>
  <sheetFormatPr defaultRowHeight="15"/>
  <cols>
    <col min="1" max="1" width="7.42578125" style="37" customWidth="1"/>
    <col min="2" max="2" width="5.7109375" style="9" customWidth="1"/>
    <col min="3" max="3" width="68.5703125" style="9" customWidth="1"/>
    <col min="4" max="4" width="44.85546875" style="9" hidden="1" customWidth="1"/>
    <col min="5" max="5" width="27.140625" style="52" customWidth="1"/>
    <col min="6" max="6" width="36.7109375" style="20" customWidth="1"/>
    <col min="7" max="7" width="2.7109375" style="20" customWidth="1"/>
    <col min="8" max="8" width="22.7109375" style="20" bestFit="1" customWidth="1"/>
    <col min="9" max="9" width="19.28515625" style="20" bestFit="1" customWidth="1"/>
    <col min="10" max="10" width="19.28515625" style="20" customWidth="1"/>
    <col min="11" max="11" width="23.7109375" style="20" bestFit="1" customWidth="1"/>
    <col min="12" max="12" width="23.140625" style="20" bestFit="1" customWidth="1"/>
    <col min="13" max="13" width="12.140625" style="20" bestFit="1" customWidth="1"/>
    <col min="14" max="16384" width="9.140625" style="20"/>
  </cols>
  <sheetData>
    <row r="1" spans="1:12">
      <c r="A1" s="155"/>
      <c r="H1" s="40"/>
    </row>
    <row r="2" spans="1:12" ht="18">
      <c r="A2" s="155"/>
      <c r="D2" s="466" t="s">
        <v>552</v>
      </c>
      <c r="H2" s="40"/>
    </row>
    <row r="3" spans="1:12" ht="25.5" customHeight="1" thickBot="1"/>
    <row r="4" spans="1:12" ht="27" customHeight="1">
      <c r="A4" s="422" t="s">
        <v>662</v>
      </c>
      <c r="B4" s="420"/>
      <c r="C4" s="420"/>
      <c r="D4" s="420"/>
      <c r="E4" s="421"/>
      <c r="F4" s="1043" t="s">
        <v>580</v>
      </c>
      <c r="H4" s="1046">
        <v>2013</v>
      </c>
    </row>
    <row r="5" spans="1:12" ht="27" customHeight="1" thickBot="1">
      <c r="A5" s="459" t="s">
        <v>579</v>
      </c>
      <c r="B5" s="483"/>
      <c r="C5" s="483"/>
      <c r="D5" s="483"/>
      <c r="E5" s="573" t="s">
        <v>244</v>
      </c>
      <c r="F5" s="1044"/>
      <c r="H5" s="1047"/>
    </row>
    <row r="6" spans="1:12" s="137" customFormat="1" ht="23.25" customHeight="1">
      <c r="A6" s="163" t="s">
        <v>635</v>
      </c>
      <c r="B6" s="484"/>
      <c r="C6" s="484"/>
      <c r="D6" s="484"/>
      <c r="E6" s="574"/>
      <c r="F6" s="164"/>
      <c r="G6" s="139"/>
      <c r="H6" s="164"/>
    </row>
    <row r="7" spans="1:12" s="435" customFormat="1">
      <c r="A7" s="575" t="s">
        <v>105</v>
      </c>
      <c r="B7" s="438"/>
      <c r="C7" s="438"/>
      <c r="D7" s="438"/>
      <c r="E7" s="576"/>
      <c r="F7" s="439"/>
      <c r="G7" s="439"/>
      <c r="H7" s="437"/>
    </row>
    <row r="8" spans="1:12" s="26" customFormat="1" ht="15.75">
      <c r="A8" s="56"/>
      <c r="B8" s="45"/>
      <c r="C8" s="45"/>
      <c r="D8" s="45"/>
      <c r="E8" s="574"/>
      <c r="F8" s="62"/>
      <c r="G8" s="62"/>
      <c r="H8" s="68"/>
    </row>
    <row r="9" spans="1:12" ht="15.75">
      <c r="A9" s="18"/>
      <c r="B9" s="7" t="s">
        <v>112</v>
      </c>
      <c r="E9" s="419"/>
      <c r="F9" s="497"/>
      <c r="G9" s="497"/>
      <c r="H9" s="497"/>
    </row>
    <row r="10" spans="1:12">
      <c r="A10" s="8">
        <v>1</v>
      </c>
      <c r="B10" s="8"/>
      <c r="C10" s="62" t="s">
        <v>42</v>
      </c>
      <c r="D10" s="133"/>
      <c r="E10" s="53"/>
      <c r="F10" s="497" t="s">
        <v>54</v>
      </c>
      <c r="G10" s="9"/>
      <c r="H10" s="577">
        <v>15893766</v>
      </c>
      <c r="L10" s="593"/>
    </row>
    <row r="11" spans="1:12">
      <c r="A11" s="52"/>
      <c r="L11" s="62"/>
    </row>
    <row r="12" spans="1:12">
      <c r="A12" s="8">
        <f>+A10+1</f>
        <v>2</v>
      </c>
      <c r="B12" s="8"/>
      <c r="C12" s="62" t="s">
        <v>43</v>
      </c>
      <c r="D12" s="62"/>
      <c r="E12" s="108"/>
      <c r="F12" s="62" t="s">
        <v>55</v>
      </c>
      <c r="G12" s="9"/>
      <c r="H12" s="577">
        <v>158681607</v>
      </c>
      <c r="L12" s="593"/>
    </row>
    <row r="13" spans="1:12">
      <c r="A13" s="8">
        <f>+A12+1</f>
        <v>3</v>
      </c>
      <c r="B13" s="8"/>
      <c r="C13" s="62" t="s">
        <v>106</v>
      </c>
      <c r="D13" s="62"/>
      <c r="F13" s="62" t="s">
        <v>56</v>
      </c>
      <c r="G13" s="9"/>
      <c r="H13" s="577">
        <v>30352840</v>
      </c>
      <c r="L13" s="593"/>
    </row>
    <row r="14" spans="1:12">
      <c r="A14" s="8">
        <f>+A13+1</f>
        <v>4</v>
      </c>
      <c r="B14" s="8"/>
      <c r="C14" s="485" t="s">
        <v>222</v>
      </c>
      <c r="D14" s="578"/>
      <c r="E14" s="579"/>
      <c r="F14" s="578" t="str">
        <f>"(Line "&amp;A12&amp;" - "&amp;A13&amp;")"</f>
        <v>(Line 2 - 3)</v>
      </c>
      <c r="G14" s="31"/>
      <c r="H14" s="578">
        <f>+H12-H13</f>
        <v>128328767</v>
      </c>
      <c r="L14" s="593"/>
    </row>
    <row r="15" spans="1:12" ht="15.75">
      <c r="A15" s="8"/>
      <c r="B15" s="8"/>
      <c r="C15" s="486"/>
      <c r="E15" s="419"/>
      <c r="F15" s="441"/>
      <c r="G15" s="9"/>
      <c r="H15" s="497"/>
      <c r="L15" s="593"/>
    </row>
    <row r="16" spans="1:12" ht="16.5" thickBot="1">
      <c r="A16" s="8">
        <v>5</v>
      </c>
      <c r="B16" s="14" t="s">
        <v>193</v>
      </c>
      <c r="C16" s="14"/>
      <c r="D16" s="69"/>
      <c r="E16" s="580"/>
      <c r="F16" s="581" t="str">
        <f>"(Line "&amp;A10&amp;" / "&amp;A14&amp;")"</f>
        <v>(Line 1 / 4)</v>
      </c>
      <c r="G16" s="70"/>
      <c r="H16" s="64">
        <f>+H10/H14</f>
        <v>0.12385193414972966</v>
      </c>
      <c r="K16" s="1017"/>
      <c r="L16" s="1007"/>
    </row>
    <row r="17" spans="1:14" ht="16.5" thickTop="1">
      <c r="A17" s="8"/>
      <c r="B17" s="8"/>
      <c r="C17" s="7"/>
      <c r="D17" s="25"/>
      <c r="E17" s="582"/>
      <c r="F17" s="9"/>
      <c r="G17" s="9"/>
      <c r="H17" s="12"/>
      <c r="L17" s="62"/>
    </row>
    <row r="18" spans="1:14" ht="15.75">
      <c r="A18" s="52"/>
      <c r="B18" s="7" t="s">
        <v>215</v>
      </c>
      <c r="D18" s="20"/>
      <c r="I18" s="26"/>
      <c r="J18" s="61"/>
      <c r="K18" s="61"/>
      <c r="L18" s="26"/>
    </row>
    <row r="19" spans="1:14">
      <c r="A19" s="42">
        <f>+A16+1</f>
        <v>6</v>
      </c>
      <c r="B19" s="20"/>
      <c r="C19" s="62" t="s">
        <v>234</v>
      </c>
      <c r="E19" s="123"/>
      <c r="F19" s="587" t="s">
        <v>648</v>
      </c>
      <c r="H19" s="577">
        <f>+'5 - Cost Support'!H9</f>
        <v>6092814981</v>
      </c>
      <c r="I19" s="1008"/>
      <c r="J19" s="1008"/>
      <c r="K19" s="1008"/>
      <c r="L19" s="1008"/>
      <c r="M19" s="26"/>
      <c r="N19" s="26"/>
    </row>
    <row r="20" spans="1:14">
      <c r="A20" s="42">
        <f>+A19+1</f>
        <v>7</v>
      </c>
      <c r="B20" s="20"/>
      <c r="C20" s="62" t="s">
        <v>107</v>
      </c>
      <c r="E20" s="123" t="str">
        <f>"(Note "&amp;B$290&amp;")"</f>
        <v>(Note A)</v>
      </c>
      <c r="F20" s="583" t="str">
        <f>"(Line "&amp;A$46&amp;")"</f>
        <v>(Line 24)</v>
      </c>
      <c r="H20" s="498">
        <f>+H46</f>
        <v>444006494</v>
      </c>
      <c r="I20" s="1008"/>
      <c r="J20" s="1008"/>
      <c r="K20" s="1008"/>
      <c r="L20" s="1008"/>
      <c r="M20" s="26"/>
      <c r="N20" s="26"/>
    </row>
    <row r="21" spans="1:14">
      <c r="A21" s="42">
        <f>+A20+1</f>
        <v>8</v>
      </c>
      <c r="B21" s="20"/>
      <c r="C21" s="30" t="s">
        <v>111</v>
      </c>
      <c r="D21" s="31"/>
      <c r="E21" s="115"/>
      <c r="F21" s="584" t="str">
        <f>"(Sum Lines "&amp;A19&amp;" &amp; "&amp;A20&amp;")"</f>
        <v>(Sum Lines 6 &amp; 7)</v>
      </c>
      <c r="G21" s="29"/>
      <c r="H21" s="584">
        <f>SUM(H19:H20)</f>
        <v>6536821475</v>
      </c>
      <c r="I21" s="26"/>
      <c r="J21" s="1008"/>
      <c r="K21" s="1008"/>
      <c r="L21" s="26"/>
      <c r="M21" s="26"/>
      <c r="N21" s="26"/>
    </row>
    <row r="22" spans="1:14">
      <c r="A22" s="53"/>
      <c r="B22" s="20"/>
      <c r="C22" s="62"/>
      <c r="E22" s="132"/>
      <c r="F22" s="62"/>
      <c r="H22" s="498"/>
      <c r="I22" s="26"/>
      <c r="J22" s="26"/>
      <c r="K22" s="26"/>
      <c r="L22" s="26"/>
      <c r="M22" s="26"/>
      <c r="N22" s="26"/>
    </row>
    <row r="23" spans="1:14">
      <c r="A23" s="42">
        <f>+A21+1</f>
        <v>9</v>
      </c>
      <c r="B23" s="20"/>
      <c r="C23" s="62" t="s">
        <v>40</v>
      </c>
      <c r="F23" s="587" t="s">
        <v>648</v>
      </c>
      <c r="H23" s="577">
        <f>+'5 - Cost Support'!H10</f>
        <v>2276736635</v>
      </c>
      <c r="I23" s="1008"/>
      <c r="J23" s="26"/>
      <c r="K23" s="26"/>
      <c r="L23" s="26"/>
      <c r="M23" s="26"/>
      <c r="N23" s="26"/>
    </row>
    <row r="24" spans="1:14">
      <c r="A24" s="42">
        <f>+A23+1</f>
        <v>10</v>
      </c>
      <c r="B24" s="20"/>
      <c r="C24" s="62" t="s">
        <v>245</v>
      </c>
      <c r="E24" s="123" t="str">
        <f>"(Note "&amp;B$290&amp;")"</f>
        <v>(Note A)</v>
      </c>
      <c r="F24" s="587" t="s">
        <v>648</v>
      </c>
      <c r="H24" s="577">
        <f>+'5 - Cost Support'!H11</f>
        <v>34420098</v>
      </c>
      <c r="I24" s="1008"/>
      <c r="J24" s="1008"/>
      <c r="K24" s="1008"/>
      <c r="L24" s="26"/>
    </row>
    <row r="25" spans="1:14">
      <c r="A25" s="42">
        <f>+A24+1</f>
        <v>11</v>
      </c>
      <c r="B25" s="20"/>
      <c r="C25" s="62" t="s">
        <v>209</v>
      </c>
      <c r="E25" s="123" t="str">
        <f>"(Note "&amp;B$290&amp;")"</f>
        <v>(Note A)</v>
      </c>
      <c r="F25" s="497" t="s">
        <v>44</v>
      </c>
      <c r="H25" s="577">
        <f>+'5 - Cost Support'!H12</f>
        <v>0</v>
      </c>
      <c r="I25" s="26"/>
      <c r="J25" s="26"/>
      <c r="K25" s="26"/>
      <c r="L25" s="26"/>
    </row>
    <row r="26" spans="1:14">
      <c r="A26" s="42">
        <f>+A25+1</f>
        <v>12</v>
      </c>
      <c r="C26" s="45" t="s">
        <v>246</v>
      </c>
      <c r="E26" s="123" t="s">
        <v>226</v>
      </c>
      <c r="F26" s="497" t="s">
        <v>648</v>
      </c>
      <c r="H26" s="577">
        <f>+'5 - Cost Support'!H13</f>
        <v>95990067</v>
      </c>
      <c r="I26" s="1008"/>
      <c r="J26" s="1008"/>
      <c r="K26" s="1008"/>
      <c r="L26" s="26"/>
    </row>
    <row r="27" spans="1:14">
      <c r="A27" s="42">
        <f>+A26+1</f>
        <v>13</v>
      </c>
      <c r="C27" s="30" t="s">
        <v>110</v>
      </c>
      <c r="D27" s="31"/>
      <c r="E27" s="110"/>
      <c r="F27" s="578" t="str">
        <f>"(Sum Lines "&amp;A23&amp;" to "&amp;A26&amp;")"</f>
        <v>(Sum Lines 9 to 12)</v>
      </c>
      <c r="G27" s="29"/>
      <c r="H27" s="584">
        <f>SUM(H23:H26)</f>
        <v>2407146800</v>
      </c>
      <c r="I27" s="26"/>
      <c r="J27" s="26"/>
      <c r="K27" s="26"/>
      <c r="L27" s="26"/>
    </row>
    <row r="28" spans="1:14" ht="17.25" customHeight="1">
      <c r="A28" s="52"/>
      <c r="C28" s="45"/>
      <c r="F28" s="497"/>
      <c r="H28" s="50"/>
      <c r="I28" s="26"/>
      <c r="J28" s="26"/>
      <c r="K28" s="26"/>
      <c r="L28" s="26"/>
    </row>
    <row r="29" spans="1:14">
      <c r="A29" s="8">
        <f>+A27+1</f>
        <v>14</v>
      </c>
      <c r="B29" s="20"/>
      <c r="C29" s="29" t="s">
        <v>205</v>
      </c>
      <c r="D29" s="29"/>
      <c r="E29" s="110"/>
      <c r="F29" s="578" t="str">
        <f>"(Line "&amp;A21&amp;" - "&amp;A27&amp;")"</f>
        <v>(Line 8 - 13)</v>
      </c>
      <c r="G29" s="29"/>
      <c r="H29" s="578">
        <f>+H21-H27</f>
        <v>4129674675</v>
      </c>
      <c r="I29" s="26"/>
      <c r="J29" s="26"/>
      <c r="K29" s="26"/>
      <c r="L29" s="26"/>
    </row>
    <row r="30" spans="1:14">
      <c r="A30" s="52"/>
      <c r="B30" s="20"/>
      <c r="C30" s="20"/>
      <c r="D30" s="20"/>
      <c r="I30" s="26"/>
      <c r="J30" s="26"/>
      <c r="K30" s="26"/>
      <c r="L30" s="26"/>
    </row>
    <row r="31" spans="1:14">
      <c r="A31" s="42">
        <f>+A29+1</f>
        <v>15</v>
      </c>
      <c r="B31" s="20"/>
      <c r="C31" s="20" t="s">
        <v>108</v>
      </c>
      <c r="D31" s="20"/>
      <c r="F31" s="583" t="str">
        <f>"(Line "&amp;A53&amp;" - Line "&amp;A51&amp;")"</f>
        <v>(Line 29 - Line 28)</v>
      </c>
      <c r="H31" s="50">
        <f>+H53-H51</f>
        <v>1111683758.8831327</v>
      </c>
      <c r="I31" s="26"/>
      <c r="J31" s="26"/>
      <c r="K31" s="26"/>
      <c r="L31" s="26"/>
    </row>
    <row r="32" spans="1:14" ht="16.5" thickBot="1">
      <c r="A32" s="8">
        <f>+A31+1</f>
        <v>16</v>
      </c>
      <c r="B32" s="16" t="s">
        <v>21</v>
      </c>
      <c r="C32" s="16"/>
      <c r="D32" s="65"/>
      <c r="E32" s="111"/>
      <c r="F32" s="581" t="str">
        <f>"(Line "&amp;A31&amp;" / "&amp;A21&amp;")"</f>
        <v>(Line 15 / 8)</v>
      </c>
      <c r="G32" s="65"/>
      <c r="H32" s="64">
        <f>+H31/(H21)</f>
        <v>0.17006487987085997</v>
      </c>
      <c r="I32" s="26"/>
      <c r="J32" s="26"/>
      <c r="K32" s="26"/>
      <c r="L32" s="26"/>
    </row>
    <row r="33" spans="1:13" ht="16.5" thickTop="1">
      <c r="A33" s="52"/>
      <c r="F33" s="1"/>
      <c r="I33" s="26"/>
      <c r="J33" s="26"/>
      <c r="K33" s="26"/>
      <c r="L33" s="26"/>
    </row>
    <row r="34" spans="1:13">
      <c r="A34" s="42">
        <f>+A32+1</f>
        <v>17</v>
      </c>
      <c r="B34" s="8"/>
      <c r="C34" s="487" t="s">
        <v>109</v>
      </c>
      <c r="D34" s="25"/>
      <c r="E34" s="582"/>
      <c r="F34" s="583" t="str">
        <f>"(Line "&amp;A69&amp;" - Line "&amp;A51&amp;")"</f>
        <v>(Line 39 - Line 28)</v>
      </c>
      <c r="G34" s="9"/>
      <c r="H34" s="50">
        <f>+H69-H51</f>
        <v>737788617.67635965</v>
      </c>
      <c r="I34" s="26"/>
      <c r="J34" s="26"/>
      <c r="K34" s="26"/>
      <c r="L34" s="26"/>
    </row>
    <row r="35" spans="1:13" ht="16.5" thickBot="1">
      <c r="A35" s="8">
        <f>+A34+1</f>
        <v>18</v>
      </c>
      <c r="B35" s="16" t="s">
        <v>206</v>
      </c>
      <c r="C35" s="16"/>
      <c r="D35" s="65"/>
      <c r="E35" s="111"/>
      <c r="F35" s="581" t="str">
        <f>"(Line "&amp;A34&amp;" / "&amp;A29&amp;")"</f>
        <v>(Line 17 / 14)</v>
      </c>
      <c r="G35" s="65"/>
      <c r="H35" s="64">
        <f>+H34/H29</f>
        <v>0.17865538468265896</v>
      </c>
      <c r="I35" s="26"/>
      <c r="J35" s="26"/>
      <c r="K35" s="26"/>
      <c r="L35" s="26"/>
    </row>
    <row r="36" spans="1:13" ht="16.5" thickTop="1">
      <c r="A36" s="22"/>
      <c r="B36" s="8"/>
      <c r="C36" s="7"/>
      <c r="D36" s="25"/>
      <c r="E36" s="582"/>
      <c r="F36" s="9"/>
      <c r="G36" s="9"/>
      <c r="H36" s="12"/>
      <c r="I36" s="26"/>
      <c r="J36" s="26"/>
      <c r="K36" s="26"/>
      <c r="L36" s="26"/>
    </row>
    <row r="37" spans="1:13" s="435" customFormat="1">
      <c r="A37" s="575" t="s">
        <v>204</v>
      </c>
      <c r="B37" s="438"/>
      <c r="C37" s="438"/>
      <c r="D37" s="438"/>
      <c r="E37" s="576"/>
      <c r="F37" s="439"/>
      <c r="G37" s="439"/>
      <c r="H37" s="437"/>
    </row>
    <row r="38" spans="1:13" s="26" customFormat="1" ht="15.75">
      <c r="A38" s="71"/>
      <c r="B38" s="72"/>
      <c r="C38" s="45"/>
      <c r="D38" s="45"/>
      <c r="E38" s="574"/>
      <c r="F38" s="62"/>
      <c r="G38" s="62"/>
      <c r="H38" s="68"/>
    </row>
    <row r="39" spans="1:13" ht="15.75">
      <c r="A39" s="52"/>
      <c r="B39" s="7" t="s">
        <v>161</v>
      </c>
      <c r="E39" s="582"/>
      <c r="F39" s="498"/>
      <c r="G39" s="18"/>
      <c r="H39" s="497"/>
      <c r="I39" s="26"/>
      <c r="J39" s="26"/>
      <c r="K39" s="26"/>
      <c r="L39" s="26"/>
      <c r="M39" s="26"/>
    </row>
    <row r="40" spans="1:13">
      <c r="A40" s="42">
        <f>+A35+1</f>
        <v>19</v>
      </c>
      <c r="B40" s="8"/>
      <c r="C40" s="486" t="s">
        <v>198</v>
      </c>
      <c r="E40" s="123"/>
      <c r="F40" s="498" t="s">
        <v>648</v>
      </c>
      <c r="G40" s="9"/>
      <c r="H40" s="577">
        <f>+'5 - Cost Support'!H15</f>
        <v>1011607962.04</v>
      </c>
      <c r="I40" s="1008"/>
      <c r="J40" s="26"/>
      <c r="K40" s="1008"/>
      <c r="L40" s="1008"/>
      <c r="M40" s="26"/>
    </row>
    <row r="41" spans="1:13">
      <c r="A41" s="585">
        <f>+A40+1</f>
        <v>20</v>
      </c>
      <c r="B41" s="42"/>
      <c r="C41" s="1045" t="s">
        <v>357</v>
      </c>
      <c r="D41" s="1045"/>
      <c r="E41" s="498" t="s">
        <v>726</v>
      </c>
      <c r="F41" s="56" t="s">
        <v>643</v>
      </c>
      <c r="G41" s="9"/>
      <c r="H41" s="577"/>
      <c r="I41" s="26"/>
      <c r="J41" s="26"/>
      <c r="K41" s="26"/>
      <c r="L41" s="26"/>
      <c r="M41" s="26"/>
    </row>
    <row r="42" spans="1:13">
      <c r="A42" s="42">
        <f>+A41+1</f>
        <v>21</v>
      </c>
      <c r="B42" s="8"/>
      <c r="C42" s="488" t="s">
        <v>498</v>
      </c>
      <c r="D42" s="57"/>
      <c r="E42" s="130" t="str">
        <f>"(Note "&amp;B$291&amp;")"</f>
        <v>(Note B)</v>
      </c>
      <c r="F42" s="54" t="str">
        <f>+F41</f>
        <v>Attachment 6</v>
      </c>
      <c r="G42" s="57"/>
      <c r="H42" s="586">
        <f>+'6- Est &amp; True-up WS'!H75</f>
        <v>28377840.080790076</v>
      </c>
      <c r="I42" s="26"/>
      <c r="J42" s="26"/>
      <c r="K42" s="26"/>
      <c r="L42" s="26"/>
      <c r="M42" s="26"/>
    </row>
    <row r="43" spans="1:13" ht="15.75">
      <c r="A43" s="42">
        <f>+A42+1</f>
        <v>22</v>
      </c>
      <c r="B43" s="8"/>
      <c r="C43" s="5" t="s">
        <v>497</v>
      </c>
      <c r="E43" s="123"/>
      <c r="F43" s="587" t="str">
        <f>"(Line "&amp;A40&amp;" - "&amp;A41&amp;" + "&amp;A42&amp;")"</f>
        <v>(Line 19 - 20 + 21)</v>
      </c>
      <c r="G43" s="9"/>
      <c r="H43" s="423">
        <f>+H40-H41+H42</f>
        <v>1039985802.12079</v>
      </c>
      <c r="I43" s="26"/>
      <c r="J43" s="26"/>
      <c r="K43" s="1008"/>
      <c r="L43" s="26"/>
      <c r="M43" s="26"/>
    </row>
    <row r="44" spans="1:13" s="26" customFormat="1">
      <c r="A44" s="42"/>
      <c r="B44" s="42"/>
      <c r="C44" s="487"/>
      <c r="D44" s="25"/>
      <c r="E44" s="53"/>
      <c r="F44" s="498"/>
      <c r="G44" s="25"/>
      <c r="H44" s="498"/>
    </row>
    <row r="45" spans="1:13">
      <c r="A45" s="42">
        <f>+A43+1</f>
        <v>23</v>
      </c>
      <c r="B45" s="8"/>
      <c r="C45" s="486" t="s">
        <v>197</v>
      </c>
      <c r="F45" s="497" t="s">
        <v>648</v>
      </c>
      <c r="G45" s="9"/>
      <c r="H45" s="577">
        <f>+'5 - Cost Support'!H16</f>
        <v>134894088.00999999</v>
      </c>
      <c r="I45" s="1008"/>
      <c r="J45" s="1008"/>
      <c r="K45" s="1008"/>
      <c r="L45" s="1008"/>
      <c r="M45" s="26"/>
    </row>
    <row r="46" spans="1:13">
      <c r="A46" s="42">
        <f>+A45+1</f>
        <v>24</v>
      </c>
      <c r="B46" s="8"/>
      <c r="C46" s="486" t="s">
        <v>114</v>
      </c>
      <c r="E46" s="123" t="str">
        <f>"(Notes "&amp;B$290&amp;")"</f>
        <v>(Notes A)</v>
      </c>
      <c r="F46" s="500" t="s">
        <v>648</v>
      </c>
      <c r="G46" s="9"/>
      <c r="H46" s="588">
        <f>+'5 - Cost Support'!H17</f>
        <v>444006494</v>
      </c>
      <c r="I46" s="1008"/>
      <c r="J46" s="1008"/>
      <c r="K46" s="1008"/>
      <c r="L46" s="26"/>
      <c r="M46" s="26"/>
    </row>
    <row r="47" spans="1:13">
      <c r="A47" s="42">
        <f>+A46+1</f>
        <v>25</v>
      </c>
      <c r="B47" s="8"/>
      <c r="C47" s="485" t="s">
        <v>200</v>
      </c>
      <c r="D47" s="31"/>
      <c r="E47" s="110"/>
      <c r="F47" s="587" t="str">
        <f>"(Line "&amp;A45&amp;" + "&amp;A46&amp;")"</f>
        <v>(Line 23 + 24)</v>
      </c>
      <c r="G47" s="31"/>
      <c r="H47" s="578">
        <f>SUM(H45:H46)</f>
        <v>578900582.00999999</v>
      </c>
      <c r="I47" s="26"/>
      <c r="J47" s="26"/>
      <c r="K47" s="1008"/>
      <c r="L47" s="26"/>
      <c r="M47" s="26"/>
    </row>
    <row r="48" spans="1:13" ht="15.75">
      <c r="A48" s="42">
        <f>+A47+1</f>
        <v>26</v>
      </c>
      <c r="B48" s="8"/>
      <c r="C48" s="24" t="s">
        <v>216</v>
      </c>
      <c r="D48" s="487"/>
      <c r="E48" s="582"/>
      <c r="F48" s="583" t="str">
        <f>"(Line "&amp;A$16&amp;")"</f>
        <v>(Line 5)</v>
      </c>
      <c r="G48" s="6"/>
      <c r="H48" s="589">
        <f>+H16</f>
        <v>0.12385193414972966</v>
      </c>
      <c r="I48" s="26"/>
      <c r="J48" s="26"/>
      <c r="K48" s="26"/>
      <c r="L48" s="26"/>
      <c r="M48" s="26"/>
    </row>
    <row r="49" spans="1:13" ht="15.75">
      <c r="A49" s="42">
        <f>+A48+1</f>
        <v>27</v>
      </c>
      <c r="B49" s="20"/>
      <c r="C49" s="13" t="s">
        <v>159</v>
      </c>
      <c r="D49" s="30"/>
      <c r="E49" s="579"/>
      <c r="F49" s="587" t="str">
        <f>"(Line "&amp;A47&amp;" * "&amp;A48&amp;")"</f>
        <v>(Line 25 * 26)</v>
      </c>
      <c r="G49" s="29"/>
      <c r="H49" s="182">
        <f>+H48*H47</f>
        <v>71697956.762342691</v>
      </c>
      <c r="I49" s="26"/>
      <c r="J49" s="26"/>
      <c r="K49" s="26"/>
      <c r="L49" s="26"/>
      <c r="M49" s="26"/>
    </row>
    <row r="50" spans="1:13" ht="15.75">
      <c r="A50" s="53"/>
      <c r="B50" s="20"/>
      <c r="C50" s="7"/>
      <c r="D50" s="26"/>
      <c r="E50" s="187"/>
      <c r="H50" s="587"/>
      <c r="I50" s="26"/>
      <c r="J50" s="26"/>
      <c r="K50" s="26"/>
      <c r="L50" s="26"/>
      <c r="M50" s="26"/>
    </row>
    <row r="51" spans="1:13" ht="15.75">
      <c r="A51" s="42">
        <f>+A49+1</f>
        <v>28</v>
      </c>
      <c r="B51" s="8"/>
      <c r="C51" s="13" t="s">
        <v>337</v>
      </c>
      <c r="D51" s="128"/>
      <c r="E51" s="123" t="str">
        <f>"(Note "&amp;B$294&amp;")"</f>
        <v>(Note C)</v>
      </c>
      <c r="F51" s="578" t="s">
        <v>248</v>
      </c>
      <c r="G51" s="31"/>
      <c r="H51" s="183">
        <f>6441623+5646897+3021975+1003037</f>
        <v>16113532</v>
      </c>
      <c r="I51" s="26"/>
      <c r="J51" s="26"/>
      <c r="K51" s="1008"/>
      <c r="L51" s="26"/>
      <c r="M51" s="26"/>
    </row>
    <row r="52" spans="1:13" ht="15.75">
      <c r="A52" s="53"/>
      <c r="B52" s="20"/>
      <c r="C52" s="7"/>
      <c r="D52" s="26"/>
      <c r="E52" s="53"/>
      <c r="H52" s="587"/>
      <c r="I52" s="26"/>
      <c r="J52" s="26"/>
      <c r="K52" s="26"/>
      <c r="L52" s="26"/>
      <c r="M52" s="26"/>
    </row>
    <row r="53" spans="1:13" s="1" customFormat="1" ht="16.5" thickBot="1">
      <c r="A53" s="42">
        <f>+A51+1</f>
        <v>29</v>
      </c>
      <c r="B53" s="16" t="s">
        <v>113</v>
      </c>
      <c r="C53" s="16"/>
      <c r="D53" s="16"/>
      <c r="E53" s="112"/>
      <c r="F53" s="15" t="str">
        <f>"(Line "&amp;A43&amp;" + "&amp;A49&amp;" + "&amp;A51&amp;")"</f>
        <v>(Line 22 + 27 + 28)</v>
      </c>
      <c r="G53" s="16"/>
      <c r="H53" s="17">
        <f>SUM(H43,H49,H51)</f>
        <v>1127797290.8831327</v>
      </c>
      <c r="I53" s="26"/>
      <c r="J53" s="26"/>
      <c r="K53" s="137"/>
      <c r="L53" s="137"/>
      <c r="M53" s="137"/>
    </row>
    <row r="54" spans="1:13" ht="15.75" thickTop="1">
      <c r="A54" s="53"/>
      <c r="B54" s="20"/>
      <c r="C54" s="20"/>
      <c r="D54" s="20"/>
      <c r="I54" s="26"/>
      <c r="J54" s="26"/>
      <c r="K54" s="26"/>
      <c r="L54" s="26"/>
      <c r="M54" s="26"/>
    </row>
    <row r="55" spans="1:13" ht="15.75">
      <c r="A55" s="42"/>
      <c r="B55" s="7" t="s">
        <v>102</v>
      </c>
      <c r="C55" s="7"/>
      <c r="D55" s="498"/>
      <c r="E55" s="419"/>
      <c r="F55" s="497"/>
      <c r="G55" s="590"/>
      <c r="H55" s="497"/>
      <c r="I55" s="26"/>
      <c r="J55" s="26"/>
      <c r="K55" s="26"/>
      <c r="L55" s="26"/>
      <c r="M55" s="26"/>
    </row>
    <row r="56" spans="1:13">
      <c r="A56" s="53"/>
      <c r="B56" s="25"/>
      <c r="C56" s="25"/>
      <c r="D56" s="25"/>
      <c r="F56" s="497"/>
      <c r="G56" s="497"/>
      <c r="H56" s="497"/>
      <c r="I56" s="26"/>
      <c r="J56" s="26"/>
      <c r="K56" s="26"/>
      <c r="L56" s="26"/>
      <c r="M56" s="26"/>
    </row>
    <row r="57" spans="1:13" ht="15.75">
      <c r="A57" s="42">
        <f>+A53+1</f>
        <v>30</v>
      </c>
      <c r="B57" s="8"/>
      <c r="C57" s="486" t="s">
        <v>233</v>
      </c>
      <c r="E57" s="123"/>
      <c r="F57" s="498" t="s">
        <v>648</v>
      </c>
      <c r="G57" s="9"/>
      <c r="H57" s="442">
        <f>+'5 - Cost Support'!H23</f>
        <v>353502771.81</v>
      </c>
      <c r="I57" s="1008"/>
      <c r="J57" s="26"/>
      <c r="K57" s="1008"/>
      <c r="L57" s="1008"/>
      <c r="M57" s="26"/>
    </row>
    <row r="58" spans="1:13" s="26" customFormat="1">
      <c r="A58" s="42"/>
      <c r="B58" s="42"/>
      <c r="C58" s="25"/>
      <c r="D58" s="487"/>
      <c r="E58" s="53"/>
      <c r="F58" s="498"/>
      <c r="G58" s="25"/>
      <c r="H58" s="498"/>
    </row>
    <row r="59" spans="1:13">
      <c r="A59" s="42">
        <f>+A57+1</f>
        <v>31</v>
      </c>
      <c r="B59" s="8"/>
      <c r="C59" s="486" t="s">
        <v>280</v>
      </c>
      <c r="E59" s="980"/>
      <c r="F59" s="497" t="s">
        <v>60</v>
      </c>
      <c r="G59" s="9"/>
      <c r="H59" s="577">
        <v>41662596</v>
      </c>
      <c r="I59" s="26"/>
      <c r="J59" s="26"/>
      <c r="K59" s="1008"/>
      <c r="L59" s="1008"/>
      <c r="M59" s="26"/>
    </row>
    <row r="60" spans="1:13">
      <c r="A60" s="42">
        <f t="shared" ref="A60:A65" si="0">+A59+1</f>
        <v>32</v>
      </c>
      <c r="B60" s="8"/>
      <c r="C60" s="486" t="str">
        <f>+C24</f>
        <v>Accumulated Intangible Amortization</v>
      </c>
      <c r="F60" s="497" t="s">
        <v>648</v>
      </c>
      <c r="G60" s="9"/>
      <c r="H60" s="577">
        <f>+'5 - Cost Support'!H24</f>
        <v>26998535.52</v>
      </c>
      <c r="I60" s="1008"/>
      <c r="J60" s="1008"/>
      <c r="K60" s="1008"/>
      <c r="L60" s="1008"/>
      <c r="M60" s="26"/>
    </row>
    <row r="61" spans="1:13">
      <c r="A61" s="42">
        <f t="shared" si="0"/>
        <v>33</v>
      </c>
      <c r="B61" s="8"/>
      <c r="C61" s="486" t="str">
        <f>+C25</f>
        <v>Accumulated Common Amortization - Electric</v>
      </c>
      <c r="E61" s="123"/>
      <c r="F61" s="587" t="str">
        <f>"(Line "&amp;A$25&amp;")"</f>
        <v>(Line 11)</v>
      </c>
      <c r="G61" s="9"/>
      <c r="H61" s="577">
        <f>+H25</f>
        <v>0</v>
      </c>
      <c r="I61" s="26"/>
      <c r="J61" s="26"/>
      <c r="K61" s="26"/>
      <c r="L61" s="26"/>
      <c r="M61" s="26"/>
    </row>
    <row r="62" spans="1:13">
      <c r="A62" s="42">
        <f t="shared" si="0"/>
        <v>34</v>
      </c>
      <c r="B62" s="8"/>
      <c r="C62" s="488" t="s">
        <v>158</v>
      </c>
      <c r="D62" s="57"/>
      <c r="E62" s="130" t="str">
        <f>"(Notes "&amp;B$290&amp;")"</f>
        <v>(Notes A)</v>
      </c>
      <c r="F62" s="583" t="str">
        <f>"(Line "&amp;A$26&amp;")"</f>
        <v>(Line 12)</v>
      </c>
      <c r="G62" s="9"/>
      <c r="H62" s="586">
        <f>+H26</f>
        <v>95990067</v>
      </c>
      <c r="I62" s="1008"/>
      <c r="J62" s="1008"/>
      <c r="K62" s="1008"/>
      <c r="L62" s="26"/>
      <c r="M62" s="26"/>
    </row>
    <row r="63" spans="1:13">
      <c r="A63" s="42">
        <f t="shared" si="0"/>
        <v>35</v>
      </c>
      <c r="B63" s="8"/>
      <c r="C63" s="489" t="s">
        <v>110</v>
      </c>
      <c r="D63" s="33"/>
      <c r="E63" s="591"/>
      <c r="F63" s="587" t="str">
        <f>"(Sum Lines "&amp;A59&amp;" to "&amp;A62&amp;")"</f>
        <v>(Sum Lines 31 to 34)</v>
      </c>
      <c r="G63" s="587"/>
      <c r="H63" s="587">
        <f>SUM(H59:H62)</f>
        <v>164651198.51999998</v>
      </c>
      <c r="I63" s="26"/>
      <c r="J63" s="26"/>
      <c r="K63" s="1008"/>
      <c r="L63" s="26"/>
      <c r="M63" s="26"/>
    </row>
    <row r="64" spans="1:13">
      <c r="A64" s="42">
        <f t="shared" si="0"/>
        <v>36</v>
      </c>
      <c r="B64" s="8"/>
      <c r="C64" s="489" t="str">
        <f>+C48</f>
        <v>Wage &amp; Salary Allocation Factor</v>
      </c>
      <c r="D64" s="33"/>
      <c r="E64" s="591"/>
      <c r="F64" s="583" t="str">
        <f>"(Line "&amp;A$16&amp;")"</f>
        <v>(Line 5)</v>
      </c>
      <c r="G64" s="587"/>
      <c r="H64" s="592">
        <f>+H16</f>
        <v>0.12385193414972966</v>
      </c>
      <c r="I64" s="26"/>
      <c r="J64" s="26"/>
      <c r="K64" s="26"/>
      <c r="L64" s="26"/>
      <c r="M64" s="26"/>
    </row>
    <row r="65" spans="1:13" ht="15.75">
      <c r="A65" s="42">
        <f t="shared" si="0"/>
        <v>37</v>
      </c>
      <c r="B65" s="20"/>
      <c r="C65" s="51" t="s">
        <v>185</v>
      </c>
      <c r="D65" s="29"/>
      <c r="E65" s="110"/>
      <c r="F65" s="587" t="str">
        <f>"(Line "&amp;A63&amp;" * "&amp;A64&amp;")"</f>
        <v>(Line 35 * 36)</v>
      </c>
      <c r="G65" s="29"/>
      <c r="H65" s="182">
        <f>+H64*H63</f>
        <v>20392369.396773104</v>
      </c>
      <c r="I65" s="26"/>
      <c r="J65" s="26"/>
      <c r="K65" s="1008"/>
      <c r="L65" s="26"/>
      <c r="M65" s="26"/>
    </row>
    <row r="66" spans="1:13">
      <c r="A66" s="53"/>
      <c r="B66" s="20"/>
      <c r="C66" s="20"/>
      <c r="D66" s="20"/>
      <c r="I66" s="26"/>
      <c r="J66" s="26"/>
      <c r="K66" s="26"/>
      <c r="L66" s="26"/>
      <c r="M66" s="26"/>
    </row>
    <row r="67" spans="1:13" ht="16.5" thickBot="1">
      <c r="A67" s="42">
        <f>+A65+1</f>
        <v>38</v>
      </c>
      <c r="B67" s="16" t="s">
        <v>201</v>
      </c>
      <c r="C67" s="16"/>
      <c r="D67" s="16"/>
      <c r="E67" s="112"/>
      <c r="F67" s="15" t="str">
        <f>"(Line "&amp;A57&amp;" + "&amp;A65&amp;")"</f>
        <v>(Line 30 + 37)</v>
      </c>
      <c r="G67" s="16"/>
      <c r="H67" s="17">
        <f>+H65+H57</f>
        <v>373895141.2067731</v>
      </c>
      <c r="I67" s="26"/>
      <c r="J67" s="26"/>
      <c r="K67" s="1008"/>
      <c r="L67" s="26"/>
      <c r="M67" s="26"/>
    </row>
    <row r="68" spans="1:13" ht="15.75" thickTop="1">
      <c r="A68" s="53"/>
      <c r="B68" s="20"/>
      <c r="C68" s="20"/>
      <c r="D68" s="20"/>
      <c r="I68" s="26"/>
      <c r="J68" s="26"/>
      <c r="K68" s="26"/>
      <c r="L68" s="26"/>
      <c r="M68" s="26"/>
    </row>
    <row r="69" spans="1:13" ht="16.5" thickBot="1">
      <c r="A69" s="42">
        <f>+A67+1</f>
        <v>39</v>
      </c>
      <c r="B69" s="16" t="s">
        <v>202</v>
      </c>
      <c r="C69" s="16"/>
      <c r="D69" s="16"/>
      <c r="E69" s="112"/>
      <c r="F69" s="15" t="str">
        <f>"(Line "&amp;A53&amp;" - "&amp;A67&amp;")"</f>
        <v>(Line 29 - 38)</v>
      </c>
      <c r="G69" s="16"/>
      <c r="H69" s="17">
        <f>+H53-H67</f>
        <v>753902149.67635965</v>
      </c>
      <c r="I69" s="26"/>
      <c r="J69" s="26"/>
      <c r="K69" s="1008"/>
      <c r="L69" s="26"/>
      <c r="M69" s="26"/>
    </row>
    <row r="70" spans="1:13" ht="15.75" thickTop="1">
      <c r="A70" s="52"/>
      <c r="B70" s="20"/>
      <c r="C70" s="20"/>
      <c r="D70" s="20"/>
    </row>
    <row r="71" spans="1:13" s="435" customFormat="1">
      <c r="A71" s="575" t="s">
        <v>160</v>
      </c>
      <c r="B71" s="438"/>
      <c r="C71" s="438"/>
      <c r="D71" s="438"/>
      <c r="E71" s="576"/>
      <c r="F71" s="439"/>
      <c r="G71" s="439"/>
    </row>
    <row r="72" spans="1:13">
      <c r="A72" s="148"/>
      <c r="B72" s="149"/>
      <c r="C72" s="149"/>
      <c r="D72" s="149"/>
    </row>
    <row r="73" spans="1:13" ht="15.75">
      <c r="A73" s="53"/>
      <c r="B73" s="411" t="s">
        <v>296</v>
      </c>
      <c r="D73" s="26"/>
      <c r="E73" s="61"/>
      <c r="H73" s="497"/>
    </row>
    <row r="74" spans="1:13" ht="15.75">
      <c r="A74" s="53">
        <f>+A69+1</f>
        <v>40</v>
      </c>
      <c r="B74" s="411"/>
      <c r="C74" s="9" t="s">
        <v>331</v>
      </c>
      <c r="D74" s="26"/>
      <c r="F74" s="36" t="s">
        <v>646</v>
      </c>
      <c r="H74" s="498">
        <f>+'1 - ADIT'!G16</f>
        <v>-207665338.48252657</v>
      </c>
      <c r="K74" s="1020"/>
    </row>
    <row r="75" spans="1:13" s="25" customFormat="1">
      <c r="A75" s="42">
        <f>+A74+1</f>
        <v>41</v>
      </c>
      <c r="B75" s="26"/>
      <c r="C75" s="490" t="s">
        <v>263</v>
      </c>
      <c r="D75" s="161"/>
      <c r="E75" s="123" t="str">
        <f>"(Notes "&amp;B$290&amp;" &amp; "&amp;B$299&amp;")"</f>
        <v>(Notes A &amp; I)</v>
      </c>
      <c r="F75" s="593" t="s">
        <v>80</v>
      </c>
      <c r="H75" s="577">
        <v>0</v>
      </c>
    </row>
    <row r="76" spans="1:13">
      <c r="A76" s="42">
        <f>+A75+1</f>
        <v>42</v>
      </c>
      <c r="B76" s="26"/>
      <c r="C76" s="24" t="s">
        <v>162</v>
      </c>
      <c r="D76" s="26"/>
      <c r="E76" s="53"/>
      <c r="F76" s="500" t="str">
        <f>"(Line "&amp;A35&amp;")"</f>
        <v>(Line 18)</v>
      </c>
      <c r="H76" s="32">
        <f>+H$35</f>
        <v>0.17865538468265896</v>
      </c>
    </row>
    <row r="77" spans="1:13" s="26" customFormat="1" ht="15.75">
      <c r="A77" s="42">
        <f>+A76+1</f>
        <v>43</v>
      </c>
      <c r="C77" s="478" t="s">
        <v>186</v>
      </c>
      <c r="D77" s="30"/>
      <c r="E77" s="115"/>
      <c r="F77" s="593" t="str">
        <f>"(Line "&amp;A75&amp;" * "&amp;A76&amp;") + Line "&amp;A74</f>
        <v>(Line 41 * 42) + Line 40</v>
      </c>
      <c r="G77" s="30"/>
      <c r="H77" s="181">
        <f>+H74+H75*H76</f>
        <v>-207665338.48252657</v>
      </c>
      <c r="I77" s="20"/>
      <c r="J77" s="20"/>
      <c r="K77" s="1008"/>
    </row>
    <row r="78" spans="1:13" ht="15.75">
      <c r="A78" s="53"/>
      <c r="B78" s="26"/>
      <c r="C78" s="411"/>
      <c r="D78" s="62"/>
      <c r="E78" s="132"/>
      <c r="F78" s="62"/>
      <c r="G78" s="46"/>
      <c r="H78" s="162"/>
      <c r="K78" s="99"/>
    </row>
    <row r="79" spans="1:13" s="26" customFormat="1" ht="15.75">
      <c r="A79" s="42"/>
      <c r="B79" s="137" t="s">
        <v>682</v>
      </c>
      <c r="C79" s="411"/>
      <c r="D79" s="62"/>
      <c r="E79" s="132"/>
      <c r="F79" s="593"/>
      <c r="G79" s="62"/>
      <c r="H79" s="447"/>
    </row>
    <row r="80" spans="1:13" s="26" customFormat="1" ht="15.75">
      <c r="A80" s="53">
        <f>+A77+1</f>
        <v>44</v>
      </c>
      <c r="C80" s="411" t="s">
        <v>584</v>
      </c>
      <c r="D80" s="62"/>
      <c r="E80" s="132" t="s">
        <v>683</v>
      </c>
      <c r="F80" s="62" t="s">
        <v>648</v>
      </c>
      <c r="G80" s="62"/>
      <c r="H80" s="447">
        <f>+'5 - Cost Support'!I143</f>
        <v>0</v>
      </c>
    </row>
    <row r="81" spans="1:11">
      <c r="A81" s="42"/>
      <c r="B81" s="23"/>
      <c r="C81" s="25"/>
      <c r="D81" s="25"/>
      <c r="E81" s="53"/>
      <c r="F81" s="162"/>
      <c r="G81" s="594"/>
    </row>
    <row r="82" spans="1:11">
      <c r="A82" s="42"/>
      <c r="B82" s="23"/>
      <c r="C82" s="25"/>
      <c r="F82" s="594"/>
      <c r="G82" s="594"/>
    </row>
    <row r="83" spans="1:11" ht="15.75">
      <c r="A83" s="42"/>
      <c r="B83" s="481" t="s">
        <v>103</v>
      </c>
      <c r="C83" s="24"/>
      <c r="F83" s="595"/>
      <c r="G83" s="595"/>
    </row>
    <row r="84" spans="1:11" s="26" customFormat="1" ht="15.75">
      <c r="A84" s="42">
        <f>+A80+1</f>
        <v>45</v>
      </c>
      <c r="B84" s="491"/>
      <c r="C84" s="100" t="s">
        <v>684</v>
      </c>
      <c r="D84" s="130"/>
      <c r="E84" s="130" t="str">
        <f>"(Note "&amp;B$290&amp;")"</f>
        <v>(Note A)</v>
      </c>
      <c r="F84" s="100" t="s">
        <v>648</v>
      </c>
      <c r="G84" s="596"/>
      <c r="H84" s="597">
        <f>+'5 - Cost Support'!F153</f>
        <v>46789075.701441869</v>
      </c>
      <c r="I84" s="20"/>
      <c r="J84" s="20"/>
      <c r="K84" s="1008"/>
    </row>
    <row r="85" spans="1:11" ht="15.75">
      <c r="A85" s="8">
        <f>+A84+1</f>
        <v>46</v>
      </c>
      <c r="B85" s="23"/>
      <c r="C85" s="137" t="s">
        <v>81</v>
      </c>
      <c r="D85" s="31"/>
      <c r="E85" s="113"/>
      <c r="F85" s="587" t="str">
        <f>"(Line "&amp;A84&amp;")"</f>
        <v>(Line 45)</v>
      </c>
      <c r="G85" s="598"/>
      <c r="H85" s="39">
        <f>+H84</f>
        <v>46789075.701441869</v>
      </c>
    </row>
    <row r="86" spans="1:11">
      <c r="A86" s="8"/>
      <c r="B86" s="23"/>
      <c r="C86" s="24"/>
      <c r="E86" s="8"/>
      <c r="F86" s="595"/>
      <c r="G86" s="595"/>
      <c r="H86" s="34"/>
    </row>
    <row r="87" spans="1:11" ht="15.75">
      <c r="A87" s="42"/>
      <c r="B87" s="481" t="s">
        <v>97</v>
      </c>
      <c r="C87" s="26"/>
      <c r="D87" s="26"/>
      <c r="E87" s="107"/>
      <c r="F87" s="596"/>
      <c r="G87" s="595"/>
      <c r="H87" s="34"/>
    </row>
    <row r="88" spans="1:11">
      <c r="A88" s="53">
        <f>+A85+1</f>
        <v>47</v>
      </c>
      <c r="B88" s="26"/>
      <c r="C88" s="26" t="s">
        <v>164</v>
      </c>
      <c r="D88" s="25"/>
      <c r="E88" s="123" t="str">
        <f>"(Note "&amp;B$290&amp;")"</f>
        <v>(Note A)</v>
      </c>
      <c r="F88" s="24" t="s">
        <v>648</v>
      </c>
      <c r="H88" s="599">
        <f>+'5 - Cost Support'!H30</f>
        <v>0</v>
      </c>
      <c r="K88" s="50"/>
    </row>
    <row r="89" spans="1:11" s="26" customFormat="1">
      <c r="A89" s="42">
        <f>+A88+1</f>
        <v>48</v>
      </c>
      <c r="B89" s="23"/>
      <c r="C89" s="100" t="s">
        <v>216</v>
      </c>
      <c r="D89" s="54"/>
      <c r="E89" s="114"/>
      <c r="F89" s="583" t="str">
        <f>"(Line "&amp;A$16&amp;")"</f>
        <v>(Line 5)</v>
      </c>
      <c r="G89" s="600"/>
      <c r="H89" s="32">
        <f>+H16</f>
        <v>0.12385193414972966</v>
      </c>
    </row>
    <row r="90" spans="1:11">
      <c r="A90" s="42">
        <f>+A89+1</f>
        <v>49</v>
      </c>
      <c r="B90" s="23"/>
      <c r="C90" s="24" t="s">
        <v>232</v>
      </c>
      <c r="D90" s="25"/>
      <c r="E90" s="53"/>
      <c r="F90" s="587" t="str">
        <f>"(Line "&amp;A88&amp;" * "&amp;A89&amp;")"</f>
        <v>(Line 47 * 48)</v>
      </c>
      <c r="G90" s="595"/>
      <c r="H90" s="38">
        <f>+H88*H89</f>
        <v>0</v>
      </c>
    </row>
    <row r="91" spans="1:11">
      <c r="A91" s="42">
        <f>+A90+1</f>
        <v>50</v>
      </c>
      <c r="B91" s="23"/>
      <c r="C91" s="24" t="s">
        <v>83</v>
      </c>
      <c r="D91" s="25"/>
      <c r="E91" s="42"/>
      <c r="F91" s="100" t="s">
        <v>217</v>
      </c>
      <c r="G91" s="595"/>
      <c r="H91" s="599">
        <v>121445</v>
      </c>
    </row>
    <row r="92" spans="1:11" ht="18" customHeight="1">
      <c r="A92" s="42">
        <f>+A91+1</f>
        <v>51</v>
      </c>
      <c r="B92" s="23"/>
      <c r="C92" s="492" t="s">
        <v>96</v>
      </c>
      <c r="D92" s="87"/>
      <c r="E92" s="601"/>
      <c r="F92" s="587" t="str">
        <f>"(Line "&amp;A90&amp;" + "&amp;A91&amp;")"</f>
        <v>(Line 49 + 50)</v>
      </c>
      <c r="G92" s="602"/>
      <c r="H92" s="88">
        <f>SUM(H90:H91)</f>
        <v>121445</v>
      </c>
      <c r="K92" s="50"/>
    </row>
    <row r="93" spans="1:11">
      <c r="A93" s="42"/>
      <c r="B93" s="23"/>
      <c r="C93" s="24"/>
      <c r="E93" s="8"/>
      <c r="F93" s="595"/>
      <c r="G93" s="595"/>
    </row>
    <row r="94" spans="1:11" ht="15.75">
      <c r="A94" s="42"/>
      <c r="B94" s="481" t="s">
        <v>104</v>
      </c>
      <c r="C94" s="26"/>
      <c r="F94" s="595"/>
      <c r="G94" s="595"/>
    </row>
    <row r="95" spans="1:11">
      <c r="A95" s="42">
        <f>+A92+1</f>
        <v>52</v>
      </c>
      <c r="B95" s="23"/>
      <c r="C95" s="24" t="s">
        <v>225</v>
      </c>
      <c r="D95" s="37"/>
      <c r="F95" s="587" t="str">
        <f>"(Line "&amp;A$141&amp;")"</f>
        <v>(Line 84)</v>
      </c>
      <c r="G95" s="595"/>
      <c r="H95" s="597">
        <f>+H141</f>
        <v>55771002.763452128</v>
      </c>
    </row>
    <row r="96" spans="1:11">
      <c r="A96" s="42">
        <f>+A95+1</f>
        <v>53</v>
      </c>
      <c r="B96" s="23"/>
      <c r="C96" s="36" t="s">
        <v>218</v>
      </c>
      <c r="D96" s="37"/>
      <c r="F96" s="55" t="s">
        <v>250</v>
      </c>
      <c r="H96" s="603">
        <v>0.125</v>
      </c>
    </row>
    <row r="97" spans="1:11" s="1" customFormat="1" ht="15.75">
      <c r="A97" s="42">
        <f>+A96+1</f>
        <v>54</v>
      </c>
      <c r="B97" s="493"/>
      <c r="C97" s="478" t="s">
        <v>82</v>
      </c>
      <c r="D97" s="604"/>
      <c r="E97" s="605"/>
      <c r="F97" s="587" t="str">
        <f>"(Line "&amp;A95&amp;" * "&amp;A96&amp;")"</f>
        <v>(Line 52 * 53)</v>
      </c>
      <c r="G97" s="11"/>
      <c r="H97" s="39">
        <f>+H95*H96</f>
        <v>6971375.3454315159</v>
      </c>
      <c r="K97" s="1018"/>
    </row>
    <row r="98" spans="1:11" s="1" customFormat="1" ht="15.75">
      <c r="A98" s="42"/>
      <c r="B98" s="493"/>
      <c r="C98" s="411"/>
      <c r="D98" s="362"/>
      <c r="E98" s="117"/>
      <c r="F98" s="587"/>
      <c r="G98" s="546"/>
      <c r="H98" s="606"/>
    </row>
    <row r="99" spans="1:11" s="1" customFormat="1" ht="15.75">
      <c r="B99" s="411" t="s">
        <v>393</v>
      </c>
      <c r="D99" s="362"/>
      <c r="F99" s="587"/>
      <c r="G99" s="546"/>
      <c r="H99" s="606"/>
    </row>
    <row r="100" spans="1:11">
      <c r="A100" s="42">
        <f>+A97+1</f>
        <v>55</v>
      </c>
      <c r="B100" s="20"/>
      <c r="C100" s="20" t="s">
        <v>394</v>
      </c>
      <c r="D100" s="20"/>
      <c r="E100" s="123" t="str">
        <f>"(Note "&amp;B$310&amp;")"</f>
        <v>(Note N)</v>
      </c>
      <c r="F100" s="20" t="s">
        <v>396</v>
      </c>
      <c r="H100" s="166">
        <f>+'5 - Cost Support'!G165</f>
        <v>0</v>
      </c>
    </row>
    <row r="101" spans="1:11">
      <c r="A101" s="52">
        <f>+A100+1</f>
        <v>56</v>
      </c>
      <c r="B101" s="20"/>
      <c r="C101" s="167" t="s">
        <v>499</v>
      </c>
      <c r="D101" s="167"/>
      <c r="E101" s="429" t="str">
        <f>+E100</f>
        <v>(Note N)</v>
      </c>
      <c r="F101" s="364" t="str">
        <f>+F100</f>
        <v>From PJM</v>
      </c>
      <c r="H101" s="180">
        <v>0</v>
      </c>
    </row>
    <row r="102" spans="1:11" ht="15.75">
      <c r="A102" s="52">
        <f>+A101+1</f>
        <v>57</v>
      </c>
      <c r="B102" s="20"/>
      <c r="C102" s="20" t="s">
        <v>395</v>
      </c>
      <c r="D102" s="20"/>
      <c r="F102" s="587" t="str">
        <f>"(Line "&amp;A100&amp;" - "&amp;A101&amp;")"</f>
        <v>(Line 55 - 56)</v>
      </c>
      <c r="H102" s="1">
        <f>+H100+H101</f>
        <v>0</v>
      </c>
    </row>
    <row r="103" spans="1:11">
      <c r="A103" s="52"/>
      <c r="B103" s="20"/>
      <c r="C103" s="20"/>
      <c r="D103" s="20"/>
    </row>
    <row r="104" spans="1:11" ht="16.5" thickBot="1">
      <c r="A104" s="52">
        <f>+A102+1</f>
        <v>58</v>
      </c>
      <c r="B104" s="16" t="s">
        <v>219</v>
      </c>
      <c r="C104" s="16"/>
      <c r="D104" s="16"/>
      <c r="E104" s="112"/>
      <c r="F104" s="607" t="str">
        <f>"(Line "&amp;A77&amp;" + "&amp;A80&amp;" + "&amp;A85&amp;" + "&amp;A92&amp;" + "&amp;A97&amp;" - "&amp;A102&amp;")"</f>
        <v>(Line 43 + 44 + 46 + 51 + 54 - 57)</v>
      </c>
      <c r="G104" s="456"/>
      <c r="H104" s="457">
        <f>SUM(H77,H80,H85,H92,H97,H102)</f>
        <v>-153783442.43565321</v>
      </c>
      <c r="K104" s="50"/>
    </row>
    <row r="105" spans="1:11" ht="15.75" thickTop="1">
      <c r="A105" s="52"/>
      <c r="B105" s="20"/>
      <c r="C105" s="20"/>
      <c r="D105" s="20"/>
    </row>
    <row r="106" spans="1:11" ht="16.5" thickBot="1">
      <c r="A106" s="8">
        <f>+A104+1</f>
        <v>59</v>
      </c>
      <c r="B106" s="16" t="s">
        <v>207</v>
      </c>
      <c r="C106" s="16"/>
      <c r="D106" s="16"/>
      <c r="E106" s="112"/>
      <c r="F106" s="581" t="str">
        <f>"(Line "&amp;A70&amp;" + "&amp;A104&amp;")"</f>
        <v>(Line  + 58)</v>
      </c>
      <c r="G106" s="16"/>
      <c r="H106" s="17">
        <f>+H69+H104</f>
        <v>600118707.24070644</v>
      </c>
      <c r="K106" s="50"/>
    </row>
    <row r="107" spans="1:11" ht="15.75" thickTop="1">
      <c r="B107" s="20"/>
      <c r="C107" s="20"/>
      <c r="D107" s="20"/>
    </row>
    <row r="108" spans="1:11" s="435" customFormat="1">
      <c r="A108" s="552" t="s">
        <v>256</v>
      </c>
      <c r="B108" s="436"/>
      <c r="C108" s="494"/>
      <c r="D108" s="436"/>
      <c r="E108" s="608"/>
      <c r="H108" s="437"/>
    </row>
    <row r="109" spans="1:11" s="26" customFormat="1" ht="15.75">
      <c r="A109" s="25"/>
      <c r="B109" s="25"/>
      <c r="C109" s="25"/>
      <c r="D109" s="25"/>
      <c r="E109" s="18"/>
      <c r="H109" s="68"/>
    </row>
    <row r="110" spans="1:11" ht="15.75">
      <c r="A110" s="8"/>
      <c r="B110" s="7" t="s">
        <v>191</v>
      </c>
      <c r="D110" s="497"/>
      <c r="E110" s="419"/>
      <c r="G110" s="497"/>
      <c r="H110" s="497"/>
    </row>
    <row r="111" spans="1:11" ht="15.75">
      <c r="A111" s="8">
        <f>+A106+1</f>
        <v>60</v>
      </c>
      <c r="B111" s="8"/>
      <c r="C111" s="487" t="s">
        <v>191</v>
      </c>
      <c r="D111" s="25"/>
      <c r="E111" s="53"/>
      <c r="F111" s="498" t="s">
        <v>61</v>
      </c>
      <c r="G111" s="18"/>
      <c r="H111" s="577">
        <v>35100049</v>
      </c>
    </row>
    <row r="112" spans="1:11" ht="15.75">
      <c r="A112" s="42">
        <f>A111+1</f>
        <v>61</v>
      </c>
      <c r="B112" s="8"/>
      <c r="C112" s="487" t="s">
        <v>117</v>
      </c>
      <c r="D112" s="25"/>
      <c r="E112" s="53"/>
      <c r="F112" s="498" t="s">
        <v>648</v>
      </c>
      <c r="G112" s="18"/>
      <c r="H112" s="498">
        <f>'5 - Cost Support'!G157</f>
        <v>0</v>
      </c>
    </row>
    <row r="113" spans="1:11" ht="15.75">
      <c r="A113" s="42">
        <f>A112+1</f>
        <v>62</v>
      </c>
      <c r="B113" s="8"/>
      <c r="C113" s="487" t="s">
        <v>118</v>
      </c>
      <c r="D113" s="25"/>
      <c r="E113" s="53"/>
      <c r="F113" s="498" t="s">
        <v>648</v>
      </c>
      <c r="G113" s="18"/>
      <c r="H113" s="498">
        <f>+'5 - Cost Support'!J158</f>
        <v>0</v>
      </c>
    </row>
    <row r="114" spans="1:11">
      <c r="A114" s="42">
        <f>A113+1</f>
        <v>63</v>
      </c>
      <c r="B114" s="8"/>
      <c r="C114" s="487" t="s">
        <v>257</v>
      </c>
      <c r="D114" s="25"/>
      <c r="E114" s="53"/>
      <c r="F114" s="498" t="s">
        <v>62</v>
      </c>
      <c r="G114" s="25"/>
      <c r="H114" s="577">
        <v>0</v>
      </c>
    </row>
    <row r="115" spans="1:11">
      <c r="A115" s="42">
        <f>+A114+1</f>
        <v>64</v>
      </c>
      <c r="B115" s="42"/>
      <c r="C115" s="487" t="s">
        <v>122</v>
      </c>
      <c r="D115" s="25"/>
      <c r="E115" s="123" t="str">
        <f>"(Note "&amp;B$313&amp;")"</f>
        <v>(Note O)</v>
      </c>
      <c r="F115" s="498" t="s">
        <v>398</v>
      </c>
      <c r="G115" s="25"/>
      <c r="H115" s="577">
        <v>0</v>
      </c>
    </row>
    <row r="116" spans="1:11">
      <c r="A116" s="8">
        <f>+A115+1</f>
        <v>65</v>
      </c>
      <c r="B116" s="8"/>
      <c r="C116" s="487" t="s">
        <v>192</v>
      </c>
      <c r="D116" s="498"/>
      <c r="E116" s="130" t="str">
        <f>"(Note "&amp;B$290&amp;")"</f>
        <v>(Note A)</v>
      </c>
      <c r="F116" s="500" t="s">
        <v>671</v>
      </c>
      <c r="G116" s="25"/>
      <c r="H116" s="588">
        <v>0</v>
      </c>
    </row>
    <row r="117" spans="1:11" ht="15.75">
      <c r="A117" s="42">
        <f>+A116+1</f>
        <v>66</v>
      </c>
      <c r="B117" s="25"/>
      <c r="C117" s="13" t="s">
        <v>191</v>
      </c>
      <c r="D117" s="28"/>
      <c r="E117" s="115"/>
      <c r="F117" s="593" t="str">
        <f>"(Lines "&amp;A111&amp;" - "&amp;A112&amp;" + "&amp;A113&amp;" - "&amp;A114&amp;" + "&amp;A115&amp;" + "&amp;A116&amp;")"</f>
        <v>(Lines 60 - 61 + 62 - 63 + 64 + 65)</v>
      </c>
      <c r="G117" s="30"/>
      <c r="H117" s="184">
        <f>+H111-H112+H113-H114+H115+H116</f>
        <v>35100049</v>
      </c>
      <c r="K117" s="50"/>
    </row>
    <row r="118" spans="1:11" ht="15.75">
      <c r="A118" s="42"/>
      <c r="B118" s="42"/>
      <c r="C118" s="7"/>
      <c r="D118" s="25"/>
      <c r="E118" s="582"/>
      <c r="F118" s="25"/>
      <c r="G118" s="25"/>
      <c r="H118" s="12"/>
    </row>
    <row r="119" spans="1:11" ht="15.75">
      <c r="A119" s="42"/>
      <c r="B119" s="7" t="s">
        <v>86</v>
      </c>
      <c r="C119" s="25"/>
      <c r="D119" s="25"/>
      <c r="E119" s="582"/>
      <c r="F119" s="25"/>
      <c r="G119" s="25"/>
      <c r="H119" s="12"/>
    </row>
    <row r="120" spans="1:11">
      <c r="A120" s="42">
        <f>+A117+1</f>
        <v>67</v>
      </c>
      <c r="B120" s="42"/>
      <c r="C120" s="487" t="s">
        <v>194</v>
      </c>
      <c r="D120" s="25"/>
      <c r="E120" s="123" t="str">
        <f>"(Note "&amp;B$290&amp;")"</f>
        <v>(Note A)</v>
      </c>
      <c r="F120" s="497" t="s">
        <v>44</v>
      </c>
      <c r="G120" s="25"/>
      <c r="H120" s="577">
        <v>0</v>
      </c>
      <c r="K120" s="1009"/>
    </row>
    <row r="121" spans="1:11">
      <c r="A121" s="42">
        <f t="shared" ref="A121:A128" si="1">+A120+1</f>
        <v>68</v>
      </c>
      <c r="B121" s="42"/>
      <c r="C121" s="487" t="s">
        <v>196</v>
      </c>
      <c r="D121" s="25"/>
      <c r="E121" s="53"/>
      <c r="F121" s="498" t="s">
        <v>648</v>
      </c>
      <c r="G121" s="25"/>
      <c r="H121" s="577">
        <f>+'5 - Cost Support'!I76</f>
        <v>166654041.03860167</v>
      </c>
      <c r="K121" s="498"/>
    </row>
    <row r="122" spans="1:11">
      <c r="A122" s="42">
        <f>+A121+1</f>
        <v>69</v>
      </c>
      <c r="B122" s="42"/>
      <c r="C122" s="487" t="s">
        <v>264</v>
      </c>
      <c r="D122" s="498"/>
      <c r="E122" s="53"/>
      <c r="F122" s="487" t="s">
        <v>63</v>
      </c>
      <c r="G122" s="9"/>
      <c r="H122" s="577">
        <v>723867</v>
      </c>
    </row>
    <row r="123" spans="1:11">
      <c r="A123" s="42">
        <f t="shared" si="1"/>
        <v>70</v>
      </c>
      <c r="B123" s="42"/>
      <c r="C123" s="487" t="s">
        <v>265</v>
      </c>
      <c r="D123" s="498"/>
      <c r="E123" s="123" t="str">
        <f>"(Note "&amp;B$296&amp;")"</f>
        <v>(Note E)</v>
      </c>
      <c r="F123" s="487" t="s">
        <v>64</v>
      </c>
      <c r="G123" s="9"/>
      <c r="H123" s="577">
        <v>-162743</v>
      </c>
    </row>
    <row r="124" spans="1:11">
      <c r="A124" s="42">
        <f t="shared" si="1"/>
        <v>71</v>
      </c>
      <c r="B124" s="42"/>
      <c r="C124" s="487" t="s">
        <v>266</v>
      </c>
      <c r="D124" s="498"/>
      <c r="E124" s="53"/>
      <c r="F124" s="487" t="s">
        <v>65</v>
      </c>
      <c r="G124" s="9"/>
      <c r="H124" s="577">
        <v>251256</v>
      </c>
    </row>
    <row r="125" spans="1:11">
      <c r="A125" s="42">
        <f t="shared" si="1"/>
        <v>72</v>
      </c>
      <c r="B125" s="42"/>
      <c r="C125" s="487" t="s">
        <v>238</v>
      </c>
      <c r="D125" s="20"/>
      <c r="E125" s="123" t="str">
        <f>"(Note "&amp;B$295&amp;")"</f>
        <v>(Note D)</v>
      </c>
      <c r="F125" s="500" t="s">
        <v>210</v>
      </c>
      <c r="G125" s="25"/>
      <c r="H125" s="577">
        <v>228357</v>
      </c>
    </row>
    <row r="126" spans="1:11" ht="15.75">
      <c r="A126" s="42">
        <f t="shared" si="1"/>
        <v>73</v>
      </c>
      <c r="B126" s="42"/>
      <c r="C126" s="13" t="s">
        <v>84</v>
      </c>
      <c r="D126" s="28"/>
      <c r="E126" s="609"/>
      <c r="F126" s="587" t="str">
        <f>"(Lines "&amp;A120&amp;" + "&amp;A121&amp;") -  Sum ("&amp;A122&amp;" to "&amp;A125&amp;")"</f>
        <v>(Lines 67 + 68) -  Sum (69 to 72)</v>
      </c>
      <c r="G126" s="31"/>
      <c r="H126" s="578">
        <f>H120+H121-H122-H123-H124-H125</f>
        <v>165613304.03860167</v>
      </c>
      <c r="K126" s="50"/>
    </row>
    <row r="127" spans="1:11">
      <c r="A127" s="42">
        <f t="shared" si="1"/>
        <v>74</v>
      </c>
      <c r="B127" s="42"/>
      <c r="C127" s="24" t="s">
        <v>216</v>
      </c>
      <c r="D127" s="36"/>
      <c r="F127" s="122" t="str">
        <f>"(Line "&amp;A$16&amp;")"</f>
        <v>(Line 5)</v>
      </c>
      <c r="G127" s="595"/>
      <c r="H127" s="34">
        <f>+H16</f>
        <v>0.12385193414972966</v>
      </c>
    </row>
    <row r="128" spans="1:11" ht="15.75">
      <c r="A128" s="42">
        <f t="shared" si="1"/>
        <v>75</v>
      </c>
      <c r="B128" s="42"/>
      <c r="C128" s="13" t="s">
        <v>95</v>
      </c>
      <c r="D128" s="28"/>
      <c r="E128" s="579"/>
      <c r="F128" s="587" t="str">
        <f>"(Line "&amp;A126&amp;" * "&amp;A127&amp;")"</f>
        <v>(Line 73 * 74)</v>
      </c>
      <c r="G128" s="31"/>
      <c r="H128" s="182">
        <f>+H127*H126</f>
        <v>20511528.026108049</v>
      </c>
      <c r="K128" s="50"/>
    </row>
    <row r="129" spans="1:11" ht="15.75">
      <c r="A129" s="42"/>
      <c r="B129" s="42"/>
      <c r="C129" s="19"/>
      <c r="D129" s="45"/>
      <c r="E129" s="591"/>
      <c r="F129" s="33"/>
      <c r="G129" s="33"/>
      <c r="H129" s="587"/>
    </row>
    <row r="130" spans="1:11" ht="15.75">
      <c r="A130" s="42"/>
      <c r="B130" s="7" t="s">
        <v>85</v>
      </c>
      <c r="C130" s="26"/>
      <c r="D130" s="45"/>
      <c r="E130" s="591"/>
      <c r="F130" s="33"/>
      <c r="G130" s="33"/>
      <c r="H130" s="587"/>
    </row>
    <row r="131" spans="1:11">
      <c r="A131" s="42">
        <f>+A128+1</f>
        <v>76</v>
      </c>
      <c r="B131" s="23"/>
      <c r="C131" s="24" t="s">
        <v>268</v>
      </c>
      <c r="D131" s="109"/>
      <c r="E131" s="123" t="str">
        <f>"(Note "&amp;B$298&amp;")"</f>
        <v>(Note G)</v>
      </c>
      <c r="F131" s="24" t="s">
        <v>66</v>
      </c>
      <c r="G131" s="26"/>
      <c r="H131" s="599">
        <v>30103</v>
      </c>
    </row>
    <row r="132" spans="1:11">
      <c r="A132" s="8">
        <f>+A131+1</f>
        <v>77</v>
      </c>
      <c r="B132" s="23"/>
      <c r="C132" s="100" t="s">
        <v>269</v>
      </c>
      <c r="D132" s="129"/>
      <c r="E132" s="130" t="str">
        <f>"(Note "&amp;B$307&amp;")"</f>
        <v>(Note K)</v>
      </c>
      <c r="F132" s="100" t="s">
        <v>65</v>
      </c>
      <c r="G132" s="26"/>
      <c r="H132" s="610">
        <v>0</v>
      </c>
    </row>
    <row r="133" spans="1:11" ht="15.75">
      <c r="A133" s="8">
        <f>+A132+1</f>
        <v>78</v>
      </c>
      <c r="B133" s="23"/>
      <c r="C133" s="24" t="s">
        <v>239</v>
      </c>
      <c r="D133" s="25"/>
      <c r="E133" s="107"/>
      <c r="F133" s="587" t="str">
        <f>"(Line "&amp;A131&amp;" + "&amp;A132&amp;")"</f>
        <v>(Line 76 + 77)</v>
      </c>
      <c r="G133" s="26"/>
      <c r="H133" s="611">
        <f>+H132+H131</f>
        <v>30103</v>
      </c>
    </row>
    <row r="134" spans="1:11">
      <c r="A134" s="42"/>
      <c r="B134" s="23"/>
      <c r="C134" s="24"/>
      <c r="D134" s="25"/>
      <c r="E134" s="107"/>
      <c r="F134" s="24"/>
      <c r="G134" s="26"/>
      <c r="H134" s="596"/>
    </row>
    <row r="135" spans="1:11">
      <c r="A135" s="8">
        <f>+A133+1</f>
        <v>79</v>
      </c>
      <c r="B135" s="23"/>
      <c r="C135" s="24" t="s">
        <v>270</v>
      </c>
      <c r="D135" s="25"/>
      <c r="F135" s="24" t="s">
        <v>229</v>
      </c>
      <c r="G135" s="26"/>
      <c r="H135" s="599">
        <f>H122</f>
        <v>723867</v>
      </c>
    </row>
    <row r="136" spans="1:11">
      <c r="A136" s="8">
        <f>+A135+1</f>
        <v>80</v>
      </c>
      <c r="B136" s="23"/>
      <c r="C136" s="24" t="s">
        <v>269</v>
      </c>
      <c r="D136" s="25"/>
      <c r="E136" s="123" t="str">
        <f>"(Note "&amp;B$297&amp;")"</f>
        <v>(Note F)</v>
      </c>
      <c r="F136" s="100" t="s">
        <v>65</v>
      </c>
      <c r="G136" s="26"/>
      <c r="H136" s="610">
        <v>0</v>
      </c>
    </row>
    <row r="137" spans="1:11">
      <c r="A137" s="42">
        <f>+A136+1</f>
        <v>81</v>
      </c>
      <c r="B137" s="23"/>
      <c r="C137" s="27" t="s">
        <v>222</v>
      </c>
      <c r="D137" s="28"/>
      <c r="E137" s="110"/>
      <c r="F137" s="587" t="str">
        <f>"(Line "&amp;A135&amp;" + "&amp;A136&amp;")"</f>
        <v>(Line 79 + 80)</v>
      </c>
      <c r="G137" s="30"/>
      <c r="H137" s="162">
        <f>+H135+H136</f>
        <v>723867</v>
      </c>
    </row>
    <row r="138" spans="1:11">
      <c r="A138" s="8">
        <f>+A137+1</f>
        <v>82</v>
      </c>
      <c r="B138" s="42"/>
      <c r="C138" s="480" t="s">
        <v>162</v>
      </c>
      <c r="D138" s="36"/>
      <c r="E138" s="8"/>
      <c r="F138" s="583" t="str">
        <f>"(Line "&amp;A$35&amp;")"</f>
        <v>(Line 18)</v>
      </c>
      <c r="G138" s="595"/>
      <c r="H138" s="35">
        <f>+H35</f>
        <v>0.17865538468265896</v>
      </c>
    </row>
    <row r="139" spans="1:11" ht="15.75">
      <c r="A139" s="42">
        <f>+A138+1</f>
        <v>83</v>
      </c>
      <c r="B139" s="42"/>
      <c r="C139" s="13" t="s">
        <v>87</v>
      </c>
      <c r="D139" s="28"/>
      <c r="E139" s="579"/>
      <c r="F139" s="587" t="str">
        <f>"(Line "&amp;A137&amp;" * "&amp;A138&amp;")"</f>
        <v>(Line 81 * 82)</v>
      </c>
      <c r="G139" s="31"/>
      <c r="H139" s="181">
        <f>+H138*H137</f>
        <v>129322.73734408228</v>
      </c>
    </row>
    <row r="140" spans="1:11" ht="15.75">
      <c r="A140" s="8"/>
      <c r="B140" s="8"/>
      <c r="C140" s="7"/>
      <c r="D140" s="25"/>
      <c r="E140" s="419"/>
      <c r="F140" s="9"/>
      <c r="G140" s="9"/>
      <c r="H140" s="587"/>
    </row>
    <row r="141" spans="1:11" ht="16.5" thickBot="1">
      <c r="A141" s="8">
        <f>+A139+1</f>
        <v>84</v>
      </c>
      <c r="B141" s="8"/>
      <c r="C141" s="14" t="s">
        <v>195</v>
      </c>
      <c r="D141" s="69"/>
      <c r="E141" s="612"/>
      <c r="F141" s="15" t="str">
        <f>"(Line "&amp;A117&amp;" + "&amp;A128&amp;" + "&amp;A133&amp;" + "&amp;A139&amp;")"</f>
        <v>(Line 66 + 75 + 78 + 83)</v>
      </c>
      <c r="G141" s="70"/>
      <c r="H141" s="15">
        <f>+H117+H128+H133+H139</f>
        <v>55771002.763452128</v>
      </c>
      <c r="K141" s="50"/>
    </row>
    <row r="142" spans="1:11" ht="16.5" thickTop="1">
      <c r="A142" s="22"/>
      <c r="B142" s="8"/>
      <c r="C142" s="7"/>
      <c r="D142" s="25"/>
      <c r="E142" s="419"/>
      <c r="F142" s="9"/>
      <c r="G142" s="9"/>
      <c r="H142" s="12"/>
    </row>
    <row r="143" spans="1:11" s="435" customFormat="1">
      <c r="A143" s="552" t="s">
        <v>187</v>
      </c>
      <c r="B143" s="436"/>
      <c r="C143" s="494"/>
      <c r="D143" s="436"/>
      <c r="E143" s="608"/>
      <c r="H143" s="437"/>
    </row>
    <row r="144" spans="1:11" ht="15.75">
      <c r="A144" s="7"/>
      <c r="B144" s="8"/>
      <c r="C144" s="7"/>
      <c r="D144" s="25"/>
      <c r="E144" s="419"/>
      <c r="F144" s="9"/>
      <c r="G144" s="9"/>
      <c r="H144" s="12"/>
    </row>
    <row r="145" spans="1:12" ht="15.75">
      <c r="A145" s="52"/>
      <c r="B145" s="59" t="s">
        <v>39</v>
      </c>
      <c r="C145" s="20"/>
      <c r="F145" s="40"/>
      <c r="G145" s="40"/>
      <c r="H145" s="613"/>
    </row>
    <row r="146" spans="1:12" ht="15.75">
      <c r="A146" s="8">
        <f>+A141+1</f>
        <v>85</v>
      </c>
      <c r="B146" s="21"/>
      <c r="C146" s="24" t="s">
        <v>41</v>
      </c>
      <c r="E146" s="8"/>
      <c r="F146" s="498" t="s">
        <v>648</v>
      </c>
      <c r="H146" s="978">
        <f>+'5 - Cost Support'!H37</f>
        <v>21920966.079999998</v>
      </c>
      <c r="L146" s="50"/>
    </row>
    <row r="147" spans="1:12" ht="15.75">
      <c r="A147" s="8"/>
      <c r="B147" s="21"/>
      <c r="C147" s="22"/>
      <c r="E147" s="8"/>
      <c r="F147" s="59"/>
      <c r="G147" s="595"/>
      <c r="H147" s="34"/>
      <c r="L147" s="50"/>
    </row>
    <row r="148" spans="1:12">
      <c r="A148" s="8">
        <f>+A146+1</f>
        <v>86</v>
      </c>
      <c r="B148" s="21"/>
      <c r="C148" s="480" t="s">
        <v>220</v>
      </c>
      <c r="D148" s="33"/>
      <c r="E148" s="43"/>
      <c r="F148" s="44" t="s">
        <v>648</v>
      </c>
      <c r="H148" s="599">
        <f>+'5 - Cost Support'!H38</f>
        <v>4812059</v>
      </c>
      <c r="L148" s="50"/>
    </row>
    <row r="149" spans="1:12">
      <c r="A149" s="8">
        <f>+A148+1</f>
        <v>87</v>
      </c>
      <c r="B149" s="21"/>
      <c r="C149" s="100" t="s">
        <v>163</v>
      </c>
      <c r="D149" s="57"/>
      <c r="E149" s="130" t="s">
        <v>226</v>
      </c>
      <c r="F149" s="100" t="s">
        <v>648</v>
      </c>
      <c r="H149" s="610">
        <f>+'5 - Cost Support'!H39</f>
        <v>4722204.88</v>
      </c>
    </row>
    <row r="150" spans="1:12">
      <c r="A150" s="8">
        <f>+A149+1</f>
        <v>88</v>
      </c>
      <c r="B150" s="21"/>
      <c r="C150" s="44" t="s">
        <v>222</v>
      </c>
      <c r="D150" s="33"/>
      <c r="E150" s="43"/>
      <c r="F150" s="587" t="str">
        <f>"(Line "&amp;A148&amp;" + "&amp;A149&amp;")"</f>
        <v>(Line 86 + 87)</v>
      </c>
      <c r="H150" s="597">
        <f>SUM(H148:H149)</f>
        <v>9534263.879999999</v>
      </c>
    </row>
    <row r="151" spans="1:12">
      <c r="A151" s="8">
        <f>+A150+1</f>
        <v>89</v>
      </c>
      <c r="B151" s="21"/>
      <c r="C151" s="100" t="s">
        <v>216</v>
      </c>
      <c r="D151" s="54"/>
      <c r="E151" s="116"/>
      <c r="F151" s="122" t="s">
        <v>672</v>
      </c>
      <c r="G151" s="600"/>
      <c r="H151" s="58">
        <f>+H16</f>
        <v>0.12385193414972966</v>
      </c>
    </row>
    <row r="152" spans="1:12" ht="15.75">
      <c r="A152" s="8">
        <f>+A151+1</f>
        <v>90</v>
      </c>
      <c r="B152" s="21"/>
      <c r="C152" s="59" t="s">
        <v>166</v>
      </c>
      <c r="E152" s="8"/>
      <c r="F152" s="587" t="str">
        <f>"(Line "&amp;A150&amp;" * "&amp;A151&amp;")"</f>
        <v>(Line 88 * 89)</v>
      </c>
      <c r="G152" s="595"/>
      <c r="H152" s="606">
        <f>+H150*H151</f>
        <v>1180837.022231906</v>
      </c>
    </row>
    <row r="153" spans="1:12">
      <c r="A153" s="42"/>
      <c r="B153" s="23"/>
      <c r="C153" s="24"/>
      <c r="D153" s="25"/>
      <c r="E153" s="42"/>
      <c r="F153" s="24"/>
      <c r="G153" s="595"/>
      <c r="H153" s="614"/>
    </row>
    <row r="154" spans="1:12">
      <c r="A154" s="8">
        <f>+A152+1</f>
        <v>91</v>
      </c>
      <c r="B154" s="23"/>
      <c r="C154" s="24" t="s">
        <v>20</v>
      </c>
      <c r="D154" s="25"/>
      <c r="E154" s="123" t="s">
        <v>226</v>
      </c>
      <c r="F154" s="44" t="s">
        <v>648</v>
      </c>
      <c r="H154" s="599">
        <f>+'5 - Cost Support'!H41</f>
        <v>15080294</v>
      </c>
      <c r="L154" s="50"/>
    </row>
    <row r="155" spans="1:12">
      <c r="A155" s="42">
        <f>+A154+1</f>
        <v>92</v>
      </c>
      <c r="B155" s="23"/>
      <c r="C155" s="100" t="s">
        <v>165</v>
      </c>
      <c r="D155" s="122"/>
      <c r="E155" s="130" t="str">
        <f>"(Note "&amp;B$290&amp;")"</f>
        <v>(Note A)</v>
      </c>
      <c r="F155" s="100" t="s">
        <v>68</v>
      </c>
      <c r="H155" s="610">
        <f>20026426</f>
        <v>20026426</v>
      </c>
      <c r="L155" s="50"/>
    </row>
    <row r="156" spans="1:12">
      <c r="A156" s="42">
        <f>+A155+1</f>
        <v>93</v>
      </c>
      <c r="B156" s="23"/>
      <c r="C156" s="24" t="s">
        <v>222</v>
      </c>
      <c r="D156" s="25"/>
      <c r="E156" s="42"/>
      <c r="F156" s="587" t="str">
        <f>"(Line "&amp;A154&amp;" + "&amp;A155&amp;")"</f>
        <v>(Line 91 + 92)</v>
      </c>
      <c r="H156" s="597">
        <f>+H155+H154</f>
        <v>35106720</v>
      </c>
    </row>
    <row r="157" spans="1:12">
      <c r="A157" s="8">
        <f>+A156+1</f>
        <v>94</v>
      </c>
      <c r="B157" s="23"/>
      <c r="C157" s="100" t="s">
        <v>216</v>
      </c>
      <c r="D157" s="54"/>
      <c r="E157" s="116"/>
      <c r="F157" s="122" t="str">
        <f>"(Line "&amp;A$16&amp;")"</f>
        <v>(Line 5)</v>
      </c>
      <c r="G157" s="600"/>
      <c r="H157" s="58">
        <f>+H16</f>
        <v>0.12385193414972966</v>
      </c>
    </row>
    <row r="158" spans="1:12" ht="15.75">
      <c r="A158" s="8">
        <f>+A157+1</f>
        <v>95</v>
      </c>
      <c r="B158" s="23"/>
      <c r="C158" s="59" t="s">
        <v>167</v>
      </c>
      <c r="D158" s="25"/>
      <c r="E158" s="42"/>
      <c r="F158" s="587" t="str">
        <f>"(Line "&amp;A156&amp;" * "&amp;A157&amp;")"</f>
        <v>(Line 93 * 94)</v>
      </c>
      <c r="G158" s="595"/>
      <c r="H158" s="606">
        <f>+H157*H156</f>
        <v>4348035.1736529972</v>
      </c>
      <c r="K158" s="99"/>
      <c r="L158" s="99"/>
    </row>
    <row r="159" spans="1:12">
      <c r="A159" s="42"/>
      <c r="B159" s="23"/>
      <c r="C159" s="20"/>
      <c r="D159" s="25"/>
      <c r="E159" s="42"/>
      <c r="F159" s="24"/>
      <c r="G159" s="595"/>
      <c r="H159" s="594"/>
    </row>
    <row r="160" spans="1:12">
      <c r="A160" s="60"/>
      <c r="B160" s="10"/>
      <c r="C160" s="24"/>
      <c r="D160" s="25"/>
      <c r="E160" s="42"/>
      <c r="F160" s="24"/>
      <c r="G160" s="595"/>
      <c r="H160" s="34"/>
    </row>
    <row r="161" spans="1:11" s="1" customFormat="1" ht="16.5" thickBot="1">
      <c r="A161" s="8">
        <f>+A158+1</f>
        <v>96</v>
      </c>
      <c r="B161" s="495" t="s">
        <v>188</v>
      </c>
      <c r="C161" s="495"/>
      <c r="D161" s="63"/>
      <c r="E161" s="615"/>
      <c r="F161" s="15" t="str">
        <f>"(Line "&amp;A146&amp;" + "&amp;A152&amp;" + "&amp;A158&amp;")"</f>
        <v>(Line 85 + 90 + 95)</v>
      </c>
      <c r="G161" s="616"/>
      <c r="H161" s="617">
        <f>+H146+H152+H158</f>
        <v>27449838.275884904</v>
      </c>
      <c r="K161" s="50"/>
    </row>
    <row r="162" spans="1:11" ht="15.75" thickTop="1"/>
    <row r="163" spans="1:11" s="435" customFormat="1">
      <c r="A163" s="552" t="s">
        <v>574</v>
      </c>
      <c r="B163" s="436"/>
      <c r="C163" s="494"/>
      <c r="D163" s="436"/>
      <c r="E163" s="618"/>
      <c r="H163" s="437"/>
    </row>
    <row r="164" spans="1:11" ht="15.75">
      <c r="A164" s="148"/>
      <c r="B164" s="8"/>
      <c r="C164" s="7"/>
      <c r="D164" s="25"/>
      <c r="E164" s="419"/>
      <c r="F164" s="9"/>
      <c r="G164" s="9"/>
      <c r="H164" s="12"/>
    </row>
    <row r="165" spans="1:11" ht="15.75">
      <c r="A165" s="42">
        <f>+A161+1</f>
        <v>97</v>
      </c>
      <c r="B165" s="481" t="s">
        <v>15</v>
      </c>
      <c r="C165" s="491"/>
      <c r="E165" s="123"/>
      <c r="F165" s="26" t="s">
        <v>332</v>
      </c>
      <c r="G165" s="26"/>
      <c r="H165" s="462">
        <f>+'2 - Other Tax'!G44</f>
        <v>16054226.395649197</v>
      </c>
    </row>
    <row r="166" spans="1:11">
      <c r="A166" s="53"/>
      <c r="B166" s="25"/>
      <c r="E166" s="8"/>
      <c r="F166" s="22"/>
      <c r="G166" s="26"/>
    </row>
    <row r="167" spans="1:11" ht="16.5" thickBot="1">
      <c r="A167" s="42">
        <f>+A165+1</f>
        <v>98</v>
      </c>
      <c r="B167" s="14" t="s">
        <v>31</v>
      </c>
      <c r="C167" s="14"/>
      <c r="D167" s="63"/>
      <c r="E167" s="112"/>
      <c r="F167" s="15" t="str">
        <f>"(Line "&amp;A165&amp;")"</f>
        <v>(Line 97)</v>
      </c>
      <c r="G167" s="16"/>
      <c r="H167" s="17">
        <f>+H165</f>
        <v>16054226.395649197</v>
      </c>
      <c r="K167" s="50"/>
    </row>
    <row r="168" spans="1:11" ht="15.75" thickTop="1">
      <c r="A168" s="52"/>
      <c r="K168" s="99"/>
    </row>
    <row r="169" spans="1:11" s="435" customFormat="1">
      <c r="A169" s="552" t="s">
        <v>168</v>
      </c>
      <c r="B169" s="436"/>
      <c r="C169" s="494"/>
      <c r="D169" s="436"/>
      <c r="E169" s="608"/>
      <c r="H169" s="437"/>
    </row>
    <row r="170" spans="1:11" ht="15.75">
      <c r="A170" s="22"/>
      <c r="B170" s="8"/>
      <c r="C170" s="7"/>
      <c r="D170" s="25"/>
      <c r="E170" s="419"/>
      <c r="F170" s="9"/>
      <c r="G170" s="9"/>
      <c r="H170" s="12"/>
    </row>
    <row r="171" spans="1:11" ht="15.75">
      <c r="A171" s="42"/>
      <c r="B171" s="48" t="s">
        <v>33</v>
      </c>
      <c r="D171" s="33"/>
      <c r="E171" s="591"/>
      <c r="G171" s="587"/>
    </row>
    <row r="172" spans="1:11" ht="15.75">
      <c r="A172" s="42">
        <f>+A167+1</f>
        <v>99</v>
      </c>
      <c r="B172" s="48"/>
      <c r="C172" s="9" t="s">
        <v>33</v>
      </c>
      <c r="D172" s="33"/>
      <c r="E172" s="591"/>
      <c r="F172" s="593" t="s">
        <v>667</v>
      </c>
      <c r="G172" s="587"/>
      <c r="H172" s="588">
        <f>88783552+2676890+1811183-1674+32212806</f>
        <v>125482757</v>
      </c>
      <c r="I172" s="84"/>
      <c r="J172" s="84"/>
    </row>
    <row r="173" spans="1:11">
      <c r="A173" s="42">
        <f>+A172+1</f>
        <v>100</v>
      </c>
      <c r="B173" s="42"/>
      <c r="C173" s="496" t="s">
        <v>36</v>
      </c>
      <c r="D173" s="122"/>
      <c r="E173" s="434" t="str">
        <f>"(Note "&amp;B$315&amp;")"</f>
        <v>(Note P)</v>
      </c>
      <c r="F173" s="500" t="s">
        <v>647</v>
      </c>
      <c r="G173" s="583"/>
      <c r="H173" s="610">
        <f>+'8 - Securitization'!E14</f>
        <v>17073091</v>
      </c>
    </row>
    <row r="174" spans="1:11" ht="15.75">
      <c r="A174" s="8">
        <f>+A173+1</f>
        <v>101</v>
      </c>
      <c r="B174" s="8"/>
      <c r="C174" s="48" t="s">
        <v>33</v>
      </c>
      <c r="D174" s="33"/>
      <c r="E174" s="108"/>
      <c r="F174" s="587" t="str">
        <f>"(Line "&amp;A172&amp;")"</f>
        <v>(Line 99)</v>
      </c>
      <c r="G174" s="587"/>
      <c r="H174" s="587">
        <f>+H172-H173</f>
        <v>108409666</v>
      </c>
    </row>
    <row r="175" spans="1:11">
      <c r="A175" s="8"/>
      <c r="B175" s="8"/>
      <c r="C175" s="497"/>
      <c r="F175" s="9"/>
      <c r="G175" s="497"/>
      <c r="H175" s="497"/>
    </row>
    <row r="176" spans="1:11" ht="15.75">
      <c r="A176" s="8">
        <f>+A174+1</f>
        <v>102</v>
      </c>
      <c r="B176" s="4" t="s">
        <v>179</v>
      </c>
      <c r="E176" s="419" t="s">
        <v>213</v>
      </c>
      <c r="F176" s="497" t="s">
        <v>180</v>
      </c>
      <c r="G176" s="497"/>
      <c r="H176" s="75">
        <v>13209000</v>
      </c>
    </row>
    <row r="177" spans="1:8">
      <c r="A177" s="8"/>
      <c r="B177" s="8"/>
      <c r="C177" s="486"/>
      <c r="E177" s="419"/>
      <c r="F177" s="497"/>
      <c r="G177" s="497"/>
      <c r="H177" s="497"/>
    </row>
    <row r="178" spans="1:8" ht="15.75">
      <c r="A178" s="8"/>
      <c r="B178" s="5" t="s">
        <v>16</v>
      </c>
      <c r="E178" s="419"/>
      <c r="F178" s="497"/>
      <c r="G178" s="497"/>
      <c r="H178" s="497"/>
    </row>
    <row r="179" spans="1:8">
      <c r="A179" s="8">
        <f>+A176+1</f>
        <v>103</v>
      </c>
      <c r="B179" s="8"/>
      <c r="C179" s="497" t="s">
        <v>224</v>
      </c>
      <c r="D179" s="497"/>
      <c r="E179" s="419"/>
      <c r="F179" s="498" t="s">
        <v>673</v>
      </c>
      <c r="G179" s="497"/>
      <c r="H179" s="577">
        <v>2554923347</v>
      </c>
    </row>
    <row r="180" spans="1:8">
      <c r="A180" s="42">
        <f>+A179+1</f>
        <v>104</v>
      </c>
      <c r="B180" s="42"/>
      <c r="C180" s="498" t="s">
        <v>170</v>
      </c>
      <c r="D180" s="498"/>
      <c r="E180" s="582" t="s">
        <v>251</v>
      </c>
      <c r="F180" s="33" t="s">
        <v>69</v>
      </c>
      <c r="G180" s="497"/>
      <c r="H180" s="498">
        <f>-H192</f>
        <v>-190000000</v>
      </c>
    </row>
    <row r="181" spans="1:8" hidden="1">
      <c r="A181" s="365">
        <f>+A180+1</f>
        <v>105</v>
      </c>
      <c r="B181" s="365"/>
      <c r="C181" s="499" t="s">
        <v>171</v>
      </c>
      <c r="D181" s="619"/>
      <c r="E181" s="619"/>
      <c r="F181" s="620" t="str">
        <f>+F173</f>
        <v>Attachment 8</v>
      </c>
      <c r="G181" s="497"/>
      <c r="H181" s="577">
        <v>0</v>
      </c>
    </row>
    <row r="182" spans="1:8">
      <c r="A182" s="8">
        <f>+A180+1</f>
        <v>105</v>
      </c>
      <c r="B182" s="42"/>
      <c r="C182" s="500" t="s">
        <v>169</v>
      </c>
      <c r="D182" s="500"/>
      <c r="E182" s="621" t="s">
        <v>251</v>
      </c>
      <c r="F182" s="500" t="s">
        <v>674</v>
      </c>
      <c r="G182" s="583"/>
      <c r="H182" s="586">
        <v>0</v>
      </c>
    </row>
    <row r="183" spans="1:8" ht="15.75">
      <c r="A183" s="8">
        <f>+A182+1</f>
        <v>106</v>
      </c>
      <c r="B183" s="42"/>
      <c r="C183" s="79" t="s">
        <v>16</v>
      </c>
      <c r="D183" s="593"/>
      <c r="E183" s="132"/>
      <c r="F183" s="587" t="str">
        <f>"(Sum Lines "&amp;A179&amp;" to "&amp;A182&amp;")"</f>
        <v>(Sum Lines 103 to 105)</v>
      </c>
      <c r="G183" s="76"/>
      <c r="H183" s="497">
        <f>+H179+H180+H182+H181</f>
        <v>2364923347</v>
      </c>
    </row>
    <row r="184" spans="1:8">
      <c r="A184" s="8"/>
      <c r="B184" s="8"/>
      <c r="C184" s="486"/>
      <c r="E184" s="419"/>
      <c r="F184" s="497"/>
      <c r="G184" s="9"/>
      <c r="H184" s="497"/>
    </row>
    <row r="185" spans="1:8" ht="15.75">
      <c r="A185" s="8"/>
      <c r="B185" s="5" t="s">
        <v>172</v>
      </c>
      <c r="E185" s="419"/>
      <c r="F185" s="497"/>
      <c r="G185" s="9"/>
      <c r="H185" s="497"/>
    </row>
    <row r="186" spans="1:8">
      <c r="A186" s="8">
        <f>+A183+1</f>
        <v>107</v>
      </c>
      <c r="B186" s="8"/>
      <c r="C186" s="486" t="s">
        <v>34</v>
      </c>
      <c r="E186" s="8"/>
      <c r="F186" s="487" t="s">
        <v>668</v>
      </c>
      <c r="G186" s="9"/>
      <c r="H186" s="577">
        <f>498533099+1750000000</f>
        <v>2248533099</v>
      </c>
    </row>
    <row r="187" spans="1:8">
      <c r="A187" s="42">
        <f t="shared" ref="A187:A194" si="2">+A186+1</f>
        <v>108</v>
      </c>
      <c r="B187" s="8"/>
      <c r="C187" s="486" t="s">
        <v>334</v>
      </c>
      <c r="E187" s="419" t="str">
        <f>+E182</f>
        <v>enter negative</v>
      </c>
      <c r="F187" s="487" t="s">
        <v>669</v>
      </c>
      <c r="G187" s="9"/>
      <c r="H187" s="577">
        <v>-9383207</v>
      </c>
    </row>
    <row r="188" spans="1:8">
      <c r="A188" s="42">
        <f t="shared" si="2"/>
        <v>109</v>
      </c>
      <c r="B188" s="8"/>
      <c r="C188" s="486" t="s">
        <v>335</v>
      </c>
      <c r="E188" s="8" t="s">
        <v>336</v>
      </c>
      <c r="F188" s="490" t="s">
        <v>670</v>
      </c>
      <c r="G188" s="9"/>
      <c r="H188" s="577">
        <v>5413</v>
      </c>
    </row>
    <row r="189" spans="1:8">
      <c r="A189" s="42">
        <f>+A188+1</f>
        <v>110</v>
      </c>
      <c r="B189" s="42"/>
      <c r="C189" s="487" t="s">
        <v>685</v>
      </c>
      <c r="D189" s="25"/>
      <c r="E189" s="582" t="str">
        <f>+E187</f>
        <v>enter negative</v>
      </c>
      <c r="F189" s="490" t="s">
        <v>646</v>
      </c>
      <c r="G189" s="25"/>
      <c r="H189" s="498">
        <f>-'1 - ADIT'!E19</f>
        <v>3013182</v>
      </c>
    </row>
    <row r="190" spans="1:8">
      <c r="A190" s="42">
        <f>+A189+1</f>
        <v>111</v>
      </c>
      <c r="B190" s="42"/>
      <c r="C190" s="26" t="s">
        <v>390</v>
      </c>
      <c r="D190" s="434" t="str">
        <f>"(Note "&amp;B$315&amp;")"</f>
        <v>(Note P)</v>
      </c>
      <c r="E190" s="582" t="s">
        <v>251</v>
      </c>
      <c r="F190" s="500" t="str">
        <f>+F173</f>
        <v>Attachment 8</v>
      </c>
      <c r="G190" s="9"/>
      <c r="H190" s="577">
        <f>-'8 - Securitization'!E18</f>
        <v>-240801124</v>
      </c>
    </row>
    <row r="191" spans="1:8">
      <c r="A191" s="8">
        <f>+A190+1</f>
        <v>112</v>
      </c>
      <c r="B191" s="42"/>
      <c r="C191" s="501" t="s">
        <v>23</v>
      </c>
      <c r="D191" s="31"/>
      <c r="E191" s="115"/>
      <c r="F191" s="593" t="str">
        <f>"(Sum Lines "&amp;A186&amp;" to "&amp;A190&amp;")"</f>
        <v>(Sum Lines 107 to 111)</v>
      </c>
      <c r="G191" s="28"/>
      <c r="H191" s="584">
        <f>SUM(H186:H190)</f>
        <v>2001367363</v>
      </c>
    </row>
    <row r="192" spans="1:8">
      <c r="A192" s="8">
        <f t="shared" si="2"/>
        <v>113</v>
      </c>
      <c r="B192" s="8"/>
      <c r="C192" s="486" t="s">
        <v>50</v>
      </c>
      <c r="E192" s="8"/>
      <c r="F192" s="487" t="s">
        <v>675</v>
      </c>
      <c r="G192" s="9"/>
      <c r="H192" s="577">
        <v>190000000</v>
      </c>
    </row>
    <row r="193" spans="1:14">
      <c r="A193" s="8">
        <f t="shared" si="2"/>
        <v>114</v>
      </c>
      <c r="B193" s="8"/>
      <c r="C193" s="486" t="s">
        <v>16</v>
      </c>
      <c r="F193" s="583" t="str">
        <f>"(Line "&amp;A183&amp;")"</f>
        <v>(Line 106)</v>
      </c>
      <c r="G193" s="9"/>
      <c r="H193" s="587">
        <f>H183</f>
        <v>2364923347</v>
      </c>
    </row>
    <row r="194" spans="1:14" ht="15.75">
      <c r="A194" s="8">
        <f t="shared" si="2"/>
        <v>115</v>
      </c>
      <c r="B194" s="8"/>
      <c r="C194" s="13" t="s">
        <v>22</v>
      </c>
      <c r="D194" s="31"/>
      <c r="E194" s="110"/>
      <c r="F194" s="587" t="str">
        <f>"(Sum Lines "&amp;A191&amp;" to "&amp;A193&amp;")"</f>
        <v>(Sum Lines 112 to 114)</v>
      </c>
      <c r="G194" s="578"/>
      <c r="H194" s="578">
        <f>H193+H192+H191</f>
        <v>4556290710</v>
      </c>
    </row>
    <row r="195" spans="1:14">
      <c r="A195" s="8"/>
      <c r="B195" s="8"/>
      <c r="C195" s="486"/>
      <c r="G195" s="497"/>
      <c r="H195" s="419"/>
      <c r="I195" s="132"/>
      <c r="J195" s="132"/>
      <c r="K195" s="62"/>
      <c r="L195" s="62"/>
      <c r="M195" s="62"/>
      <c r="N195" s="62"/>
    </row>
    <row r="196" spans="1:14">
      <c r="A196" s="42">
        <f>+A194+1</f>
        <v>116</v>
      </c>
      <c r="B196" s="8"/>
      <c r="C196" s="44" t="s">
        <v>274</v>
      </c>
      <c r="D196" s="490" t="s">
        <v>23</v>
      </c>
      <c r="F196" s="587" t="str">
        <f>"(Line "&amp;A191&amp;" / "&amp;A194&amp;")"</f>
        <v>(Line 112 / 115)</v>
      </c>
      <c r="G196" s="497"/>
      <c r="H196" s="968">
        <f>IF(H194&gt;0,H191/H194,0)</f>
        <v>0.43925365837773772</v>
      </c>
      <c r="K196" s="1019"/>
      <c r="L196" s="1011"/>
      <c r="M196" s="1011"/>
      <c r="N196" s="62"/>
    </row>
    <row r="197" spans="1:14">
      <c r="A197" s="42">
        <f>+A196+1</f>
        <v>117</v>
      </c>
      <c r="B197" s="8"/>
      <c r="C197" s="44" t="s">
        <v>281</v>
      </c>
      <c r="D197" s="486" t="s">
        <v>50</v>
      </c>
      <c r="F197" s="587" t="str">
        <f>"(Line "&amp;A192&amp;" / "&amp;A194&amp;")"</f>
        <v>(Line 113 / 115)</v>
      </c>
      <c r="G197" s="497"/>
      <c r="H197" s="968">
        <f>IF(H194&gt;0,H192/H194,0)</f>
        <v>4.1700587625586337E-2</v>
      </c>
      <c r="K197" s="1019"/>
      <c r="L197" s="1011"/>
      <c r="M197" s="1011"/>
      <c r="N197" s="62"/>
    </row>
    <row r="198" spans="1:14">
      <c r="A198" s="42">
        <f>+A197+1</f>
        <v>118</v>
      </c>
      <c r="B198" s="8"/>
      <c r="C198" s="44" t="s">
        <v>275</v>
      </c>
      <c r="D198" s="486" t="s">
        <v>16</v>
      </c>
      <c r="F198" s="587" t="str">
        <f>"(Line "&amp;A193&amp;" / "&amp;A194&amp;")"</f>
        <v>(Line 114 / 115)</v>
      </c>
      <c r="G198" s="497"/>
      <c r="H198" s="968">
        <f>IF(H194&gt;0,H193/H194,0)</f>
        <v>0.51904575399667596</v>
      </c>
      <c r="K198" s="1019"/>
      <c r="L198" s="1011"/>
      <c r="M198" s="1011"/>
      <c r="N198" s="62"/>
    </row>
    <row r="199" spans="1:14">
      <c r="A199" s="42"/>
      <c r="B199" s="8"/>
      <c r="C199" s="502"/>
      <c r="F199" s="497"/>
      <c r="G199" s="497"/>
      <c r="H199" s="419"/>
      <c r="I199" s="781"/>
      <c r="J199" s="781"/>
      <c r="K199" s="62"/>
      <c r="L199" s="781"/>
      <c r="M199" s="781"/>
      <c r="N199" s="62"/>
    </row>
    <row r="200" spans="1:14">
      <c r="A200" s="42">
        <f>+A198+1</f>
        <v>119</v>
      </c>
      <c r="B200" s="8"/>
      <c r="C200" s="502" t="s">
        <v>276</v>
      </c>
      <c r="D200" s="490" t="s">
        <v>23</v>
      </c>
      <c r="F200" s="587" t="str">
        <f>"(Line "&amp;A174&amp;" / "&amp;A191&amp;")"</f>
        <v>(Line 101 / 112)</v>
      </c>
      <c r="G200" s="497"/>
      <c r="H200" s="622">
        <f>IF(H191&gt;0,H174/H191,0)</f>
        <v>5.4167799477601454E-2</v>
      </c>
      <c r="K200" s="1019"/>
      <c r="L200" s="1012"/>
      <c r="M200" s="1012"/>
      <c r="N200" s="62"/>
    </row>
    <row r="201" spans="1:14">
      <c r="A201" s="42">
        <f>+A200+1</f>
        <v>120</v>
      </c>
      <c r="B201" s="8"/>
      <c r="C201" s="502" t="s">
        <v>282</v>
      </c>
      <c r="D201" s="486" t="s">
        <v>50</v>
      </c>
      <c r="F201" s="587" t="str">
        <f>"(Line "&amp;A176&amp;" / "&amp;A192&amp;")"</f>
        <v>(Line 102 / 113)</v>
      </c>
      <c r="G201" s="497"/>
      <c r="H201" s="622">
        <f>IF(H192&gt;0,H176/H192,0)</f>
        <v>6.9521052631578942E-2</v>
      </c>
      <c r="K201" s="1019"/>
      <c r="L201" s="1012"/>
      <c r="M201" s="1012"/>
      <c r="N201" s="62"/>
    </row>
    <row r="202" spans="1:14">
      <c r="A202" s="42">
        <f>+A201+1</f>
        <v>121</v>
      </c>
      <c r="B202" s="8"/>
      <c r="C202" s="502" t="s">
        <v>277</v>
      </c>
      <c r="D202" s="486" t="s">
        <v>16</v>
      </c>
      <c r="E202" s="123" t="str">
        <f>"(Note "&amp;B$305&amp;")"</f>
        <v>(Note J)</v>
      </c>
      <c r="F202" s="460" t="s">
        <v>252</v>
      </c>
      <c r="G202" s="497"/>
      <c r="H202" s="623">
        <v>0.113</v>
      </c>
      <c r="K202" s="1019"/>
      <c r="L202" s="1012"/>
      <c r="M202" s="1012"/>
      <c r="N202" s="62"/>
    </row>
    <row r="203" spans="1:14">
      <c r="A203" s="42"/>
      <c r="B203" s="8"/>
      <c r="C203" s="502"/>
      <c r="F203" s="497"/>
      <c r="G203" s="497"/>
      <c r="H203" s="9"/>
      <c r="I203" s="45"/>
      <c r="J203" s="45"/>
      <c r="K203" s="62"/>
      <c r="L203" s="45"/>
      <c r="M203" s="62"/>
      <c r="N203" s="62"/>
    </row>
    <row r="204" spans="1:14">
      <c r="A204" s="42">
        <f>+A202+1</f>
        <v>122</v>
      </c>
      <c r="B204" s="8"/>
      <c r="C204" s="44" t="s">
        <v>278</v>
      </c>
      <c r="D204" s="490" t="s">
        <v>28</v>
      </c>
      <c r="F204" s="587" t="str">
        <f>"(Line "&amp;A196&amp;" * "&amp;A200&amp;")"</f>
        <v>(Line 116 * 119)</v>
      </c>
      <c r="G204" s="624"/>
      <c r="H204" s="622">
        <f>H200*H196</f>
        <v>2.3793404086808148E-2</v>
      </c>
      <c r="K204" s="1019"/>
      <c r="L204" s="1012"/>
      <c r="M204" s="1012"/>
      <c r="N204" s="62"/>
    </row>
    <row r="205" spans="1:14">
      <c r="A205" s="42">
        <f>+A204+1</f>
        <v>123</v>
      </c>
      <c r="B205" s="8"/>
      <c r="C205" s="44" t="s">
        <v>283</v>
      </c>
      <c r="D205" s="486" t="s">
        <v>50</v>
      </c>
      <c r="F205" s="587" t="str">
        <f>"(Line "&amp;A197&amp;" * "&amp;A201&amp;")"</f>
        <v>(Line 117 * 120)</v>
      </c>
      <c r="G205" s="40"/>
      <c r="H205" s="622">
        <f>H201*H197</f>
        <v>2.8990687470861571E-3</v>
      </c>
      <c r="K205" s="1019"/>
      <c r="L205" s="1012"/>
      <c r="M205" s="1012"/>
      <c r="N205" s="62"/>
    </row>
    <row r="206" spans="1:14">
      <c r="A206" s="42">
        <f>+A205+1</f>
        <v>124</v>
      </c>
      <c r="B206" s="106"/>
      <c r="C206" s="55" t="s">
        <v>279</v>
      </c>
      <c r="D206" s="488" t="s">
        <v>16</v>
      </c>
      <c r="E206" s="116"/>
      <c r="F206" s="583" t="str">
        <f>"(Line "&amp;A198&amp;" * "&amp;A202&amp;")"</f>
        <v>(Line 118 * 121)</v>
      </c>
      <c r="G206" s="625"/>
      <c r="H206" s="626">
        <f>H202*H198</f>
        <v>5.8652170201624387E-2</v>
      </c>
      <c r="K206" s="1019"/>
      <c r="L206" s="1012"/>
      <c r="M206" s="1012"/>
      <c r="N206" s="62"/>
    </row>
    <row r="207" spans="1:14" s="1" customFormat="1" ht="15.75">
      <c r="A207" s="8">
        <f>+A206+1</f>
        <v>125</v>
      </c>
      <c r="B207" s="47" t="s">
        <v>24</v>
      </c>
      <c r="C207" s="47"/>
      <c r="D207" s="77"/>
      <c r="E207" s="117"/>
      <c r="F207" s="587" t="str">
        <f>"(Sum Lines "&amp;A204&amp;" to "&amp;A206&amp;")"</f>
        <v>(Sum Lines 122 to 124)</v>
      </c>
      <c r="G207" s="49"/>
      <c r="H207" s="41">
        <f>SUM(H204:H206)</f>
        <v>8.5344643035518697E-2</v>
      </c>
      <c r="I207" s="20"/>
      <c r="J207" s="20"/>
      <c r="K207" s="1019"/>
      <c r="L207" s="1013"/>
      <c r="M207" s="1013"/>
      <c r="N207" s="139"/>
    </row>
    <row r="208" spans="1:14" s="1" customFormat="1" ht="15.75">
      <c r="A208" s="3"/>
      <c r="B208" s="3"/>
      <c r="C208" s="47"/>
      <c r="D208" s="77"/>
      <c r="E208" s="117"/>
      <c r="F208" s="48"/>
      <c r="G208" s="49"/>
      <c r="H208" s="41"/>
      <c r="I208" s="1014"/>
      <c r="J208" s="1014"/>
      <c r="K208" s="139"/>
      <c r="L208" s="1014"/>
      <c r="M208" s="1014"/>
      <c r="N208" s="139"/>
    </row>
    <row r="209" spans="1:15" ht="16.5" thickBot="1">
      <c r="A209" s="8">
        <f>+A207+1</f>
        <v>126</v>
      </c>
      <c r="B209" s="66" t="s">
        <v>177</v>
      </c>
      <c r="C209" s="65"/>
      <c r="D209" s="63"/>
      <c r="E209" s="118"/>
      <c r="F209" s="15" t="str">
        <f>"(Line "&amp;A106&amp;" * "&amp;A207&amp;")"</f>
        <v>(Line 59 * 125)</v>
      </c>
      <c r="G209" s="67"/>
      <c r="H209" s="15">
        <f>+H106*H207</f>
        <v>51216916.848395042</v>
      </c>
      <c r="K209" s="1015"/>
      <c r="L209" s="62"/>
      <c r="M209" s="62"/>
      <c r="N209" s="62"/>
    </row>
    <row r="210" spans="1:15" ht="15.75" thickTop="1">
      <c r="A210" s="8"/>
      <c r="B210" s="8"/>
      <c r="C210" s="486"/>
      <c r="F210" s="497"/>
      <c r="G210" s="497"/>
      <c r="H210" s="622"/>
    </row>
    <row r="211" spans="1:15" s="435" customFormat="1">
      <c r="A211" s="552" t="s">
        <v>462</v>
      </c>
      <c r="B211" s="436"/>
      <c r="C211" s="494"/>
      <c r="D211" s="436"/>
      <c r="E211" s="618"/>
      <c r="H211" s="437"/>
    </row>
    <row r="212" spans="1:15" ht="15.75">
      <c r="A212" s="24"/>
      <c r="B212" s="8"/>
      <c r="C212" s="7"/>
      <c r="D212" s="25"/>
      <c r="E212" s="419"/>
      <c r="F212" s="9"/>
      <c r="G212" s="9"/>
      <c r="H212" s="12"/>
    </row>
    <row r="213" spans="1:15" ht="15.75">
      <c r="A213" s="8" t="s">
        <v>45</v>
      </c>
      <c r="B213" s="81" t="s">
        <v>178</v>
      </c>
      <c r="E213" s="419"/>
      <c r="F213" s="497"/>
      <c r="G213" s="627"/>
      <c r="H213" s="9"/>
      <c r="I213" s="440"/>
      <c r="J213" s="440"/>
      <c r="K213" s="440"/>
    </row>
    <row r="214" spans="1:15">
      <c r="A214" s="8">
        <f>+A209+1</f>
        <v>127</v>
      </c>
      <c r="B214" s="8"/>
      <c r="C214" s="9" t="s">
        <v>176</v>
      </c>
      <c r="F214" s="9"/>
      <c r="G214" s="503"/>
      <c r="H214" s="628">
        <v>0.35</v>
      </c>
      <c r="I214" s="82"/>
      <c r="J214" s="82"/>
      <c r="K214" s="82"/>
      <c r="L214" s="82"/>
    </row>
    <row r="215" spans="1:15">
      <c r="A215" s="8">
        <f>+A214+1</f>
        <v>128</v>
      </c>
      <c r="B215" s="8"/>
      <c r="C215" s="503" t="s">
        <v>175</v>
      </c>
      <c r="D215" s="629"/>
      <c r="E215" s="123" t="str">
        <f>"(Note "&amp;B$299&amp;")"</f>
        <v>(Note I)</v>
      </c>
      <c r="F215" s="9"/>
      <c r="G215" s="503"/>
      <c r="H215" s="628">
        <v>8.2500000000000004E-2</v>
      </c>
    </row>
    <row r="216" spans="1:15">
      <c r="A216" s="8">
        <f>+A215+1</f>
        <v>129</v>
      </c>
      <c r="B216" s="8"/>
      <c r="C216" s="503" t="s">
        <v>242</v>
      </c>
      <c r="D216" s="503" t="s">
        <v>243</v>
      </c>
      <c r="F216" s="9" t="s">
        <v>392</v>
      </c>
      <c r="G216" s="503"/>
      <c r="H216" s="628">
        <v>0</v>
      </c>
      <c r="I216" s="82"/>
      <c r="J216" s="82"/>
      <c r="K216" s="82"/>
    </row>
    <row r="217" spans="1:15">
      <c r="A217" s="8">
        <f>+A216+1</f>
        <v>130</v>
      </c>
      <c r="B217" s="8"/>
      <c r="C217" s="503" t="s">
        <v>254</v>
      </c>
      <c r="D217" s="504" t="s">
        <v>272</v>
      </c>
      <c r="F217" s="9"/>
      <c r="G217" s="503"/>
      <c r="H217" s="32">
        <f>IF(H214&gt;0,1-(((1-H215)*(1-H214))/(1-H215*H214*H216)),0)</f>
        <v>0.40362500000000001</v>
      </c>
    </row>
    <row r="218" spans="1:15">
      <c r="A218" s="8">
        <f>+A217+1</f>
        <v>131</v>
      </c>
      <c r="B218" s="8"/>
      <c r="C218" s="503" t="s">
        <v>241</v>
      </c>
      <c r="D218" s="629"/>
      <c r="F218" s="9"/>
      <c r="G218" s="503"/>
      <c r="H218" s="630">
        <f>+H217/(1-H217)</f>
        <v>0.67679731712429259</v>
      </c>
      <c r="I218" s="82"/>
      <c r="J218" s="82"/>
      <c r="K218" s="82"/>
    </row>
    <row r="219" spans="1:15">
      <c r="A219" s="8"/>
      <c r="B219" s="8"/>
      <c r="E219" s="590"/>
      <c r="F219" s="504"/>
      <c r="G219" s="627"/>
      <c r="H219" s="32"/>
    </row>
    <row r="220" spans="1:15" ht="15.75">
      <c r="A220" s="8"/>
      <c r="B220" s="81" t="s">
        <v>173</v>
      </c>
      <c r="C220" s="486"/>
      <c r="E220" s="123" t="str">
        <f>"(Note "&amp;B$299&amp;")"</f>
        <v>(Note I)</v>
      </c>
      <c r="F220" s="497"/>
      <c r="G220" s="627"/>
      <c r="H220" s="631"/>
    </row>
    <row r="221" spans="1:15">
      <c r="A221" s="8">
        <f>+A218+1</f>
        <v>132</v>
      </c>
      <c r="B221" s="8"/>
      <c r="C221" s="487" t="s">
        <v>230</v>
      </c>
      <c r="E221" s="582" t="s">
        <v>251</v>
      </c>
      <c r="F221" s="24" t="s">
        <v>680</v>
      </c>
      <c r="G221" s="627"/>
      <c r="H221" s="577">
        <v>-589712</v>
      </c>
      <c r="I221" s="26"/>
      <c r="J221" s="26"/>
      <c r="K221" s="26"/>
      <c r="L221" s="26"/>
      <c r="M221" s="26"/>
      <c r="N221" s="26"/>
      <c r="O221" s="26"/>
    </row>
    <row r="222" spans="1:15">
      <c r="A222" s="8">
        <f>+A221+1</f>
        <v>133</v>
      </c>
      <c r="B222" s="8"/>
      <c r="C222" s="486" t="s">
        <v>240</v>
      </c>
      <c r="E222" s="8"/>
      <c r="F222" s="587" t="str">
        <f>"(Line "&amp;A218&amp;")"</f>
        <v>(Line 131)</v>
      </c>
      <c r="G222" s="627"/>
      <c r="H222" s="632">
        <f>+H218</f>
        <v>0.67679731712429259</v>
      </c>
    </row>
    <row r="223" spans="1:15" s="46" customFormat="1">
      <c r="A223" s="8">
        <f>+A222+1</f>
        <v>134</v>
      </c>
      <c r="B223" s="43"/>
      <c r="C223" s="100" t="s">
        <v>162</v>
      </c>
      <c r="D223" s="54"/>
      <c r="E223" s="106"/>
      <c r="F223" s="583" t="str">
        <f>"(Line "&amp;A$35&amp;")"</f>
        <v>(Line 18)</v>
      </c>
      <c r="G223" s="633"/>
      <c r="H223" s="78">
        <f>+H35</f>
        <v>0.17865538468265896</v>
      </c>
    </row>
    <row r="224" spans="1:15" ht="15.75">
      <c r="A224" s="8">
        <f>+A223+1</f>
        <v>135</v>
      </c>
      <c r="B224" s="8"/>
      <c r="C224" s="85" t="s">
        <v>174</v>
      </c>
      <c r="D224" s="28"/>
      <c r="E224" s="123"/>
      <c r="F224" s="593" t="s">
        <v>676</v>
      </c>
      <c r="G224" s="598"/>
      <c r="H224" s="634">
        <f>+H221*(1+H222)*H223</f>
        <v>-176659.35730367669</v>
      </c>
      <c r="I224" s="46"/>
      <c r="J224" s="46"/>
      <c r="K224" s="50"/>
    </row>
    <row r="225" spans="1:11" ht="15.75">
      <c r="A225" s="8"/>
      <c r="B225" s="8"/>
      <c r="C225" s="104"/>
      <c r="D225" s="45"/>
      <c r="E225" s="143"/>
      <c r="F225" s="142"/>
      <c r="G225" s="633"/>
      <c r="H225" s="635"/>
    </row>
    <row r="226" spans="1:11" ht="15.75">
      <c r="A226" s="8"/>
      <c r="B226" s="8"/>
      <c r="C226" s="104"/>
      <c r="D226" s="45"/>
      <c r="E226" s="143"/>
      <c r="F226" s="142"/>
      <c r="G226" s="633"/>
      <c r="H226" s="636"/>
    </row>
    <row r="227" spans="1:11" ht="15.75">
      <c r="A227" s="8"/>
      <c r="B227" s="8"/>
      <c r="E227" s="590"/>
      <c r="F227" s="504"/>
      <c r="G227" s="627"/>
      <c r="H227" s="141"/>
    </row>
    <row r="228" spans="1:11" ht="15.75">
      <c r="A228" s="8">
        <f>+A224+1</f>
        <v>136</v>
      </c>
      <c r="B228" s="1" t="s">
        <v>208</v>
      </c>
      <c r="C228" s="20"/>
      <c r="D228" s="9" t="s">
        <v>214</v>
      </c>
      <c r="E228" s="419"/>
      <c r="F228" s="587" t="str">
        <f>"[Line "&amp;A218&amp;" * "&amp;A209&amp;" * (1-("&amp;A204&amp;" / "&amp;A207&amp;"))]"</f>
        <v>[Line 131 * 126 * (1-(122 / 125))]</v>
      </c>
      <c r="G228" s="9"/>
      <c r="H228" s="185">
        <f>+H218*(1-H204/H207)*H209</f>
        <v>24999573.103908349</v>
      </c>
      <c r="I228" s="46"/>
      <c r="J228" s="46"/>
    </row>
    <row r="229" spans="1:11">
      <c r="A229" s="8"/>
      <c r="B229" s="8"/>
      <c r="C229" s="44"/>
      <c r="D229" s="45"/>
      <c r="E229" s="119"/>
      <c r="F229" s="633"/>
      <c r="G229" s="633"/>
      <c r="H229" s="594"/>
    </row>
    <row r="230" spans="1:11" ht="16.5" thickBot="1">
      <c r="A230" s="8">
        <f>+A228+1</f>
        <v>137</v>
      </c>
      <c r="B230" s="66" t="s">
        <v>12</v>
      </c>
      <c r="C230" s="66"/>
      <c r="D230" s="63"/>
      <c r="E230" s="112"/>
      <c r="F230" s="15" t="str">
        <f>"(Line "&amp;A224&amp;" + "&amp;A228&amp;")"</f>
        <v>(Line 135 + 136)</v>
      </c>
      <c r="G230" s="80"/>
      <c r="H230" s="105">
        <f>+H228+H224</f>
        <v>24822913.746604674</v>
      </c>
      <c r="I230" s="46"/>
      <c r="J230" s="46"/>
    </row>
    <row r="231" spans="1:11" ht="15.75" thickTop="1">
      <c r="A231" s="8"/>
      <c r="B231" s="8"/>
      <c r="C231" s="504"/>
      <c r="F231" s="597"/>
      <c r="G231" s="637"/>
      <c r="H231" s="638"/>
    </row>
    <row r="232" spans="1:11" s="435" customFormat="1">
      <c r="A232" s="552" t="s">
        <v>29</v>
      </c>
      <c r="B232" s="436"/>
      <c r="C232" s="494"/>
      <c r="D232" s="436"/>
      <c r="E232" s="608"/>
      <c r="H232" s="437"/>
    </row>
    <row r="233" spans="1:11">
      <c r="A233" s="52"/>
      <c r="B233" s="20"/>
      <c r="C233" s="20"/>
      <c r="D233" s="20"/>
    </row>
    <row r="234" spans="1:11" ht="15.75">
      <c r="A234" s="52"/>
      <c r="B234" s="1" t="s">
        <v>13</v>
      </c>
      <c r="C234" s="46"/>
      <c r="D234" s="46"/>
    </row>
    <row r="235" spans="1:11">
      <c r="A235" s="52">
        <f>+A230+1</f>
        <v>138</v>
      </c>
      <c r="B235" s="20"/>
      <c r="C235" s="46" t="s">
        <v>14</v>
      </c>
      <c r="D235" s="46"/>
      <c r="F235" s="587" t="str">
        <f>"(Line "&amp;A69&amp;")"</f>
        <v>(Line 39)</v>
      </c>
      <c r="H235" s="50">
        <f>+H69</f>
        <v>753902149.67635965</v>
      </c>
      <c r="K235" s="50"/>
    </row>
    <row r="236" spans="1:11">
      <c r="A236" s="8">
        <f>+A235+1</f>
        <v>139</v>
      </c>
      <c r="B236" s="20"/>
      <c r="C236" s="46" t="s">
        <v>203</v>
      </c>
      <c r="D236" s="46"/>
      <c r="F236" s="583" t="str">
        <f>"(Line "&amp;A104&amp;")"</f>
        <v>(Line 58)</v>
      </c>
      <c r="H236" s="50">
        <f>+H104</f>
        <v>-153783442.43565321</v>
      </c>
      <c r="K236" s="50"/>
    </row>
    <row r="237" spans="1:11" ht="15.75">
      <c r="A237" s="8">
        <f>+A236+1</f>
        <v>140</v>
      </c>
      <c r="B237" s="8"/>
      <c r="C237" s="11" t="s">
        <v>207</v>
      </c>
      <c r="D237" s="86"/>
      <c r="E237" s="120"/>
      <c r="F237" s="587" t="str">
        <f>"(Line "&amp;A106&amp;")"</f>
        <v>(Line 59)</v>
      </c>
      <c r="G237" s="87"/>
      <c r="H237" s="88">
        <f>+H106</f>
        <v>600118707.24070644</v>
      </c>
    </row>
    <row r="238" spans="1:11">
      <c r="A238" s="8"/>
      <c r="B238" s="8"/>
      <c r="C238" s="490"/>
      <c r="D238" s="45"/>
      <c r="E238" s="419"/>
      <c r="F238" s="9"/>
      <c r="G238" s="9"/>
      <c r="H238" s="50"/>
    </row>
    <row r="239" spans="1:11">
      <c r="A239" s="8">
        <f>+A237+1</f>
        <v>141</v>
      </c>
      <c r="C239" s="490" t="s">
        <v>256</v>
      </c>
      <c r="D239" s="33"/>
      <c r="F239" s="587" t="str">
        <f>"(Line "&amp;A141&amp;")"</f>
        <v>(Line 84)</v>
      </c>
      <c r="H239" s="50">
        <f>+H141</f>
        <v>55771002.763452128</v>
      </c>
      <c r="K239" s="50"/>
    </row>
    <row r="240" spans="1:11">
      <c r="A240" s="8">
        <f>+A239+1</f>
        <v>142</v>
      </c>
      <c r="C240" s="44" t="s">
        <v>182</v>
      </c>
      <c r="D240" s="33"/>
      <c r="F240" s="587" t="str">
        <f>"(Line "&amp;A161&amp;")"</f>
        <v>(Line 96)</v>
      </c>
      <c r="H240" s="50">
        <f>+H161</f>
        <v>27449838.275884904</v>
      </c>
      <c r="K240" s="50"/>
    </row>
    <row r="241" spans="1:11">
      <c r="A241" s="8">
        <f>+A240+1</f>
        <v>143</v>
      </c>
      <c r="B241" s="8"/>
      <c r="C241" s="490" t="s">
        <v>15</v>
      </c>
      <c r="D241" s="45"/>
      <c r="E241" s="419"/>
      <c r="F241" s="587" t="str">
        <f>"(Line "&amp;A167&amp;")"</f>
        <v>(Line 98)</v>
      </c>
      <c r="G241" s="9"/>
      <c r="H241" s="50">
        <f>+H167</f>
        <v>16054226.395649197</v>
      </c>
      <c r="K241" s="50"/>
    </row>
    <row r="242" spans="1:11">
      <c r="A242" s="8">
        <f>+A241+1</f>
        <v>144</v>
      </c>
      <c r="B242" s="8"/>
      <c r="C242" s="505" t="s">
        <v>235</v>
      </c>
      <c r="D242" s="45"/>
      <c r="E242" s="419"/>
      <c r="F242" s="587" t="str">
        <f>"(Line "&amp;A209&amp;")"</f>
        <v>(Line 126)</v>
      </c>
      <c r="G242" s="9"/>
      <c r="H242" s="50">
        <f>+H209</f>
        <v>51216916.848395042</v>
      </c>
      <c r="K242" s="50"/>
    </row>
    <row r="243" spans="1:11">
      <c r="A243" s="8">
        <f>+A242+1</f>
        <v>145</v>
      </c>
      <c r="B243" s="8"/>
      <c r="C243" s="505" t="s">
        <v>236</v>
      </c>
      <c r="D243" s="45"/>
      <c r="E243" s="419"/>
      <c r="F243" s="587" t="str">
        <f>"(Line "&amp;A230&amp;")"</f>
        <v>(Line 137)</v>
      </c>
      <c r="G243" s="9"/>
      <c r="H243" s="50">
        <f>+H230</f>
        <v>24822913.746604674</v>
      </c>
      <c r="I243" s="50"/>
      <c r="J243" s="50"/>
      <c r="K243" s="50"/>
    </row>
    <row r="244" spans="1:11" ht="15.75" thickBot="1">
      <c r="A244" s="8"/>
      <c r="B244" s="8"/>
      <c r="C244" s="505"/>
      <c r="D244" s="45"/>
      <c r="E244" s="419"/>
      <c r="F244" s="9"/>
      <c r="G244" s="9"/>
      <c r="H244" s="50"/>
    </row>
    <row r="245" spans="1:11" ht="18.75" thickBot="1">
      <c r="A245" s="94">
        <f>+A243+1</f>
        <v>146</v>
      </c>
      <c r="B245" s="92"/>
      <c r="C245" s="506" t="s">
        <v>237</v>
      </c>
      <c r="D245" s="639"/>
      <c r="E245" s="640"/>
      <c r="F245" s="186" t="str">
        <f>"(Sum Lines "&amp;A239&amp;" to "&amp;A243&amp;")"</f>
        <v>(Sum Lines 141 to 145)</v>
      </c>
      <c r="G245" s="93"/>
      <c r="H245" s="98">
        <f>SUM(H243,H242,H241,H240,H239)</f>
        <v>175314898.02998596</v>
      </c>
    </row>
    <row r="246" spans="1:11" ht="18">
      <c r="A246" s="102"/>
      <c r="B246" s="134"/>
      <c r="C246" s="507"/>
      <c r="D246" s="641"/>
      <c r="E246" s="642"/>
      <c r="F246" s="48"/>
      <c r="G246" s="135"/>
      <c r="H246" s="643"/>
    </row>
    <row r="247" spans="1:11" ht="18">
      <c r="A247" s="102"/>
      <c r="B247" s="104" t="s">
        <v>88</v>
      </c>
      <c r="C247" s="507"/>
      <c r="D247" s="641"/>
      <c r="E247" s="642"/>
      <c r="F247" s="48"/>
      <c r="G247" s="135"/>
      <c r="H247" s="643"/>
    </row>
    <row r="248" spans="1:11" ht="18">
      <c r="A248" s="119">
        <f>+A245+1</f>
        <v>147</v>
      </c>
      <c r="B248" s="119"/>
      <c r="C248" s="490" t="str">
        <f>+C40</f>
        <v>Transmission Plant In Service</v>
      </c>
      <c r="D248" s="641"/>
      <c r="E248" s="642"/>
      <c r="F248" s="587" t="str">
        <f>"(Line "&amp;A40&amp;")"</f>
        <v>(Line 19)</v>
      </c>
      <c r="G248" s="135"/>
      <c r="H248" s="644">
        <f>+H40</f>
        <v>1011607962.04</v>
      </c>
    </row>
    <row r="249" spans="1:11" ht="18">
      <c r="A249" s="119">
        <f>+A248+1</f>
        <v>148</v>
      </c>
      <c r="B249" s="119"/>
      <c r="C249" s="508" t="s">
        <v>89</v>
      </c>
      <c r="D249" s="645"/>
      <c r="E249" s="130" t="str">
        <f>"(Note "&amp;B$309&amp;")"</f>
        <v>(Note M)</v>
      </c>
      <c r="F249" s="500" t="s">
        <v>648</v>
      </c>
      <c r="G249" s="135"/>
      <c r="H249" s="646">
        <f>+'5 - Cost Support'!G109</f>
        <v>0</v>
      </c>
    </row>
    <row r="250" spans="1:11" ht="18">
      <c r="A250" s="119">
        <f>+A249+1</f>
        <v>149</v>
      </c>
      <c r="B250" s="119"/>
      <c r="C250" s="490" t="s">
        <v>90</v>
      </c>
      <c r="D250" s="641"/>
      <c r="E250" s="647"/>
      <c r="F250" s="593" t="str">
        <f>"(Line "&amp;A248&amp;" - "&amp;A249&amp;")"</f>
        <v>(Line 147 - 148)</v>
      </c>
      <c r="G250" s="135"/>
      <c r="H250" s="644">
        <f>+H248-H249</f>
        <v>1011607962.04</v>
      </c>
    </row>
    <row r="251" spans="1:11" ht="18">
      <c r="A251" s="119">
        <f>+A250+1</f>
        <v>150</v>
      </c>
      <c r="B251" s="119"/>
      <c r="C251" s="490" t="s">
        <v>91</v>
      </c>
      <c r="D251" s="641"/>
      <c r="E251" s="642"/>
      <c r="F251" s="593" t="str">
        <f>"(Line "&amp;A250&amp;" / "&amp;A248&amp;")"</f>
        <v>(Line 149 / 147)</v>
      </c>
      <c r="G251" s="135"/>
      <c r="H251" s="648">
        <f>+H250/H248</f>
        <v>1</v>
      </c>
    </row>
    <row r="252" spans="1:11" ht="18">
      <c r="A252" s="119">
        <f>+A251+1</f>
        <v>151</v>
      </c>
      <c r="B252" s="119"/>
      <c r="C252" s="508" t="s">
        <v>237</v>
      </c>
      <c r="D252" s="645"/>
      <c r="E252" s="649"/>
      <c r="F252" s="500" t="str">
        <f>"(Line "&amp;A245&amp;")"</f>
        <v>(Line 146)</v>
      </c>
      <c r="G252" s="135"/>
      <c r="H252" s="650">
        <f>+H245</f>
        <v>175314898.02998596</v>
      </c>
    </row>
    <row r="253" spans="1:11" ht="18">
      <c r="A253" s="119">
        <f>+A252+1</f>
        <v>152</v>
      </c>
      <c r="B253" s="119"/>
      <c r="C253" s="19" t="s">
        <v>92</v>
      </c>
      <c r="D253" s="641"/>
      <c r="E253" s="642"/>
      <c r="F253" s="593" t="str">
        <f>"(Line "&amp;A251&amp;" * "&amp;A252&amp;")"</f>
        <v>(Line 150 * 151)</v>
      </c>
      <c r="G253" s="135"/>
      <c r="H253" s="140">
        <f>+H252*H251</f>
        <v>175314898.02998596</v>
      </c>
    </row>
    <row r="254" spans="1:11" ht="15.75">
      <c r="A254" s="148"/>
      <c r="B254" s="8"/>
      <c r="C254" s="490"/>
      <c r="D254" s="45"/>
      <c r="E254" s="419"/>
      <c r="F254" s="9"/>
      <c r="G254" s="9"/>
      <c r="H254" s="12"/>
    </row>
    <row r="255" spans="1:11" ht="15.75">
      <c r="A255" s="148"/>
      <c r="B255" s="59" t="s">
        <v>399</v>
      </c>
      <c r="C255" s="490"/>
      <c r="D255" s="45"/>
      <c r="E255" s="419"/>
      <c r="F255" s="9"/>
      <c r="G255" s="9"/>
      <c r="H255" s="12"/>
    </row>
    <row r="256" spans="1:11" ht="15.75">
      <c r="A256" s="42">
        <f>+A253+1</f>
        <v>153</v>
      </c>
      <c r="B256" s="20"/>
      <c r="C256" s="59" t="s">
        <v>18</v>
      </c>
      <c r="D256" s="45"/>
      <c r="E256" s="419"/>
      <c r="F256" s="9" t="s">
        <v>649</v>
      </c>
      <c r="G256" s="9"/>
      <c r="H256" s="651">
        <f>+'3 - Revenue Credits'!D23</f>
        <v>9925100.5750494935</v>
      </c>
    </row>
    <row r="257" spans="1:8" ht="15.75">
      <c r="A257" s="42">
        <f>+A256+1</f>
        <v>154</v>
      </c>
      <c r="B257" s="20"/>
      <c r="C257" s="59" t="s">
        <v>397</v>
      </c>
      <c r="D257" s="45"/>
      <c r="E257" s="123" t="str">
        <f>"(Note "&amp;B$310&amp;")"</f>
        <v>(Note N)</v>
      </c>
      <c r="F257" s="9" t="s">
        <v>398</v>
      </c>
      <c r="G257" s="9"/>
      <c r="H257" s="651">
        <f>+'5 - Cost Support'!G181</f>
        <v>0</v>
      </c>
    </row>
    <row r="258" spans="1:8" ht="16.5" thickBot="1">
      <c r="A258" s="8"/>
      <c r="B258" s="8"/>
      <c r="C258" s="62"/>
      <c r="D258" s="62"/>
      <c r="F258" s="9"/>
      <c r="G258" s="9"/>
      <c r="H258" s="12"/>
    </row>
    <row r="259" spans="1:8" s="1" customFormat="1" ht="18.75" thickBot="1">
      <c r="A259" s="94">
        <f>+A257+1</f>
        <v>155</v>
      </c>
      <c r="B259" s="101"/>
      <c r="C259" s="95" t="s">
        <v>255</v>
      </c>
      <c r="D259" s="96"/>
      <c r="E259" s="121"/>
      <c r="F259" s="186" t="str">
        <f>"(Line "&amp;A253&amp;" - "&amp;A256&amp;" + "&amp;A257&amp;")"</f>
        <v>(Line 152 - 153 + 154)</v>
      </c>
      <c r="G259" s="97"/>
      <c r="H259" s="98">
        <f>ROUND(+H253-H256+H257,0)</f>
        <v>165389797</v>
      </c>
    </row>
    <row r="260" spans="1:8" ht="15.75">
      <c r="A260" s="148"/>
      <c r="B260" s="8"/>
      <c r="C260" s="62"/>
      <c r="D260" s="62"/>
      <c r="F260" s="9"/>
      <c r="G260" s="9"/>
      <c r="H260" s="12"/>
    </row>
    <row r="261" spans="1:8" ht="15.75">
      <c r="A261" s="42"/>
      <c r="B261" s="139" t="s">
        <v>610</v>
      </c>
      <c r="C261" s="20"/>
      <c r="D261" s="62"/>
      <c r="E261" s="123"/>
      <c r="F261" s="9"/>
      <c r="G261" s="9"/>
      <c r="H261" s="12"/>
    </row>
    <row r="262" spans="1:8" ht="15.75">
      <c r="A262" s="42">
        <f>+A259+1</f>
        <v>156</v>
      </c>
      <c r="B262" s="8"/>
      <c r="C262" s="62" t="str">
        <f>+C259</f>
        <v>Net Revenue Requirement</v>
      </c>
      <c r="D262" s="62"/>
      <c r="F262" s="9" t="str">
        <f>"(Line "&amp;A259&amp;")"</f>
        <v>(Line 155)</v>
      </c>
      <c r="G262" s="9"/>
      <c r="H262" s="160">
        <f>+H259</f>
        <v>165389797</v>
      </c>
    </row>
    <row r="263" spans="1:8" ht="15.75">
      <c r="A263" s="42">
        <f>+A262+1</f>
        <v>157</v>
      </c>
      <c r="B263" s="8"/>
      <c r="C263" s="62" t="s">
        <v>339</v>
      </c>
      <c r="D263" s="62"/>
      <c r="F263" s="9" t="str">
        <f>"(Line "&amp;A40&amp;" - "&amp;A57&amp;")"</f>
        <v>(Line 19 - 30)</v>
      </c>
      <c r="G263" s="9"/>
      <c r="H263" s="160">
        <f>+H40-H57</f>
        <v>658105190.23000002</v>
      </c>
    </row>
    <row r="264" spans="1:8" ht="15.75">
      <c r="A264" s="42">
        <f>+A263+1</f>
        <v>158</v>
      </c>
      <c r="B264" s="8"/>
      <c r="C264" s="62" t="s">
        <v>605</v>
      </c>
      <c r="D264" s="62"/>
      <c r="F264" s="9" t="str">
        <f>"(Line "&amp;A262&amp;" / "&amp;A263&amp;")"</f>
        <v>(Line 156 / 157)</v>
      </c>
      <c r="G264" s="9"/>
      <c r="H264" s="12">
        <f>+H262/H263</f>
        <v>0.25131209942623034</v>
      </c>
    </row>
    <row r="265" spans="1:8" ht="15.75">
      <c r="A265" s="42">
        <f>+A264+1</f>
        <v>159</v>
      </c>
      <c r="B265" s="8"/>
      <c r="C265" s="62" t="s">
        <v>606</v>
      </c>
      <c r="D265" s="62"/>
      <c r="F265" s="9" t="str">
        <f>"(Line "&amp;A262&amp;" - "&amp;A146&amp;") / "&amp;A263</f>
        <v>(Line 156 - 85) / 157</v>
      </c>
      <c r="G265" s="9"/>
      <c r="H265" s="12">
        <f>(H262-H146)/H263</f>
        <v>0.2180028862405102</v>
      </c>
    </row>
    <row r="266" spans="1:8" ht="15.75">
      <c r="A266" s="42">
        <f>+A265+1</f>
        <v>160</v>
      </c>
      <c r="B266" s="42"/>
      <c r="C266" s="62" t="s">
        <v>607</v>
      </c>
      <c r="D266" s="62"/>
      <c r="E266" s="53"/>
      <c r="F266" s="25" t="str">
        <f>"(Line "&amp;A262&amp;" - "&amp;A146&amp;" - "&amp;A209&amp;" - "&amp;A230&amp;") / "&amp;A263</f>
        <v>(Line 156 - 85 - 126 - 137) / 157</v>
      </c>
      <c r="G266" s="9"/>
      <c r="H266" s="12">
        <f>(H262-H146-H209-H230)/H263</f>
        <v>0.10245930487409564</v>
      </c>
    </row>
    <row r="267" spans="1:8" ht="15.75">
      <c r="A267" s="42"/>
      <c r="B267" s="8"/>
      <c r="C267" s="62"/>
      <c r="D267" s="62"/>
      <c r="F267" s="9"/>
      <c r="G267" s="9"/>
      <c r="H267" s="12"/>
    </row>
    <row r="268" spans="1:8" ht="15.75">
      <c r="A268" s="42"/>
      <c r="B268" s="8"/>
      <c r="C268" s="62"/>
      <c r="D268" s="62"/>
      <c r="F268" s="9"/>
      <c r="G268" s="9"/>
      <c r="H268" s="12"/>
    </row>
    <row r="269" spans="1:8" ht="15.75">
      <c r="A269" s="42"/>
      <c r="B269" s="139" t="s">
        <v>611</v>
      </c>
      <c r="C269" s="62"/>
      <c r="D269" s="62"/>
      <c r="E269" s="123"/>
      <c r="F269" s="9"/>
      <c r="G269" s="9"/>
      <c r="H269" s="12"/>
    </row>
    <row r="270" spans="1:8" ht="15.75">
      <c r="A270" s="42">
        <f>+A266+1</f>
        <v>161</v>
      </c>
      <c r="B270" s="8"/>
      <c r="C270" s="62" t="s">
        <v>463</v>
      </c>
      <c r="D270" s="62"/>
      <c r="F270" s="25" t="str">
        <f>"(Line "&amp;A259&amp;" - "&amp;A242&amp;" - "&amp;A243&amp;")"</f>
        <v>(Line 155 - 144 - 145)</v>
      </c>
      <c r="G270" s="9"/>
      <c r="H270" s="160">
        <f>+H259-H242-H243</f>
        <v>89349966.405000269</v>
      </c>
    </row>
    <row r="271" spans="1:8" ht="15.75">
      <c r="A271" s="42">
        <f>+A270+1</f>
        <v>162</v>
      </c>
      <c r="B271" s="8"/>
      <c r="C271" s="62" t="s">
        <v>615</v>
      </c>
      <c r="D271" s="62"/>
      <c r="F271" s="25" t="s">
        <v>650</v>
      </c>
      <c r="G271" s="9"/>
      <c r="H271" s="160">
        <f>+'4 - 100 Basis Pt ROE'!I9</f>
        <v>81262870.911700845</v>
      </c>
    </row>
    <row r="272" spans="1:8" ht="15.75">
      <c r="A272" s="42">
        <f>+A271+1</f>
        <v>163</v>
      </c>
      <c r="B272" s="8"/>
      <c r="C272" s="62" t="s">
        <v>614</v>
      </c>
      <c r="D272" s="62"/>
      <c r="F272" s="25" t="str">
        <f>"(Line "&amp;A270&amp;" + "&amp;A271&amp;")"</f>
        <v>(Line 161 + 162)</v>
      </c>
      <c r="G272" s="9"/>
      <c r="H272" s="160">
        <f>+H271+H270</f>
        <v>170612837.31670111</v>
      </c>
    </row>
    <row r="273" spans="1:254" ht="15.75">
      <c r="A273" s="42">
        <f>+A272+1</f>
        <v>164</v>
      </c>
      <c r="B273" s="8"/>
      <c r="C273" s="62" t="str">
        <f>+C263</f>
        <v>Net Transmission Plant</v>
      </c>
      <c r="D273" s="62"/>
      <c r="F273" s="9" t="str">
        <f>"(Line "&amp;A40&amp;" - "&amp;A57&amp;")"</f>
        <v>(Line 19 - 30)</v>
      </c>
      <c r="G273" s="9"/>
      <c r="H273" s="160">
        <f>+H263</f>
        <v>658105190.23000002</v>
      </c>
    </row>
    <row r="274" spans="1:254" ht="15.75">
      <c r="A274" s="42">
        <f>+A273+1</f>
        <v>165</v>
      </c>
      <c r="B274" s="8"/>
      <c r="C274" s="62" t="s">
        <v>613</v>
      </c>
      <c r="D274" s="62"/>
      <c r="F274" s="9" t="str">
        <f>"(Line "&amp;A272&amp;" / "&amp;A273&amp;")"</f>
        <v>(Line 163 / 164)</v>
      </c>
      <c r="G274" s="9"/>
      <c r="H274" s="12">
        <f>+H272/H273</f>
        <v>0.25924858191298256</v>
      </c>
    </row>
    <row r="275" spans="1:254" ht="15.75">
      <c r="A275" s="42">
        <f>+A274+1</f>
        <v>166</v>
      </c>
      <c r="B275" s="8"/>
      <c r="C275" s="62" t="s">
        <v>612</v>
      </c>
      <c r="D275" s="62"/>
      <c r="F275" s="9" t="str">
        <f>"(Line "&amp;A271&amp;" - "&amp;A146&amp;") / "&amp;A273</f>
        <v>(Line 162 - 85) / 164</v>
      </c>
      <c r="G275" s="9"/>
      <c r="H275" s="12">
        <f>(H272-H146)/H273</f>
        <v>0.22593936872726239</v>
      </c>
    </row>
    <row r="276" spans="1:254" ht="15.75">
      <c r="A276" s="42"/>
      <c r="B276" s="8"/>
      <c r="C276" s="62"/>
      <c r="D276" s="62"/>
      <c r="F276" s="9"/>
      <c r="G276" s="9"/>
      <c r="H276" s="12"/>
    </row>
    <row r="277" spans="1:254" ht="15.75">
      <c r="A277" s="42">
        <f>+A275+1</f>
        <v>167</v>
      </c>
      <c r="B277" s="8"/>
      <c r="C277" s="139" t="s">
        <v>255</v>
      </c>
      <c r="D277" s="62"/>
      <c r="E277" s="53"/>
      <c r="F277" s="9" t="str">
        <f>"(Line "&amp;A259&amp;")"</f>
        <v>(Line 155)</v>
      </c>
      <c r="G277" s="9"/>
      <c r="H277" s="160">
        <f>+H259</f>
        <v>165389797</v>
      </c>
      <c r="I277" s="99"/>
      <c r="K277" s="99"/>
      <c r="L277" s="440"/>
    </row>
    <row r="278" spans="1:254" ht="15.75">
      <c r="A278" s="42">
        <f>+A277+1</f>
        <v>168</v>
      </c>
      <c r="B278" s="8"/>
      <c r="C278" s="62" t="s">
        <v>571</v>
      </c>
      <c r="D278" s="62"/>
      <c r="E278" s="419"/>
      <c r="F278" s="36" t="s">
        <v>787</v>
      </c>
      <c r="G278" s="9"/>
      <c r="H278" s="449">
        <f>+'5 - Cost Support'!I213</f>
        <v>4480378.6629141215</v>
      </c>
      <c r="I278" s="1032"/>
      <c r="J278" s="1028"/>
      <c r="K278" s="99"/>
      <c r="L278" s="440"/>
    </row>
    <row r="279" spans="1:254" ht="15.75">
      <c r="A279" s="42">
        <f>+A278+1</f>
        <v>169</v>
      </c>
      <c r="B279" s="8"/>
      <c r="C279" s="62" t="s">
        <v>127</v>
      </c>
      <c r="D279" s="62"/>
      <c r="E279" s="123"/>
      <c r="F279" s="36" t="s">
        <v>128</v>
      </c>
      <c r="G279" s="9"/>
      <c r="H279" s="449">
        <f>+'7 - Cap Add WS'!CP56+'7 - Cap Add WS'!CP54-1031557</f>
        <v>1198041.995864667</v>
      </c>
      <c r="I279" s="1032"/>
      <c r="J279" s="1028"/>
      <c r="K279" s="99"/>
    </row>
    <row r="280" spans="1:254" s="26" customFormat="1" ht="15.75">
      <c r="A280" s="42">
        <f>+A279+1</f>
        <v>170</v>
      </c>
      <c r="B280" s="42"/>
      <c r="C280" s="45" t="s">
        <v>686</v>
      </c>
      <c r="D280" s="455"/>
      <c r="E280" s="123"/>
      <c r="F280" s="45" t="s">
        <v>687</v>
      </c>
      <c r="G280" s="25"/>
      <c r="H280" s="449">
        <f>+'5 - Cost Support'!G192</f>
        <v>0</v>
      </c>
      <c r="I280" s="1033"/>
      <c r="K280" s="99"/>
      <c r="IT280" s="26">
        <f>SUM(A280:IS280)</f>
        <v>170</v>
      </c>
    </row>
    <row r="281" spans="1:254" ht="15.75">
      <c r="A281" s="42">
        <f>+A280+1</f>
        <v>171</v>
      </c>
      <c r="B281" s="8"/>
      <c r="C281" s="139" t="s">
        <v>404</v>
      </c>
      <c r="D281" s="62"/>
      <c r="E281" s="53"/>
      <c r="F281" s="25" t="str">
        <f>"(Line "&amp;A277&amp;" + "&amp;A278&amp;" + "&amp;A279&amp;"+ "&amp;A280&amp;")"</f>
        <v>(Line 167 + 168 + 169+ 170)</v>
      </c>
      <c r="G281" s="9"/>
      <c r="H281" s="160">
        <f>+H277+H278+H279+H280</f>
        <v>171068217.65877879</v>
      </c>
      <c r="I281" s="99"/>
      <c r="K281" s="99"/>
      <c r="L281" s="440"/>
    </row>
    <row r="282" spans="1:254" ht="15.75">
      <c r="A282" s="42"/>
      <c r="B282" s="8"/>
      <c r="C282" s="62"/>
      <c r="D282" s="62"/>
      <c r="F282" s="9"/>
      <c r="G282" s="9"/>
      <c r="H282" s="12"/>
    </row>
    <row r="283" spans="1:254" ht="15.75">
      <c r="A283" s="42"/>
      <c r="B283" s="59" t="s">
        <v>403</v>
      </c>
      <c r="C283" s="62"/>
      <c r="D283" s="62"/>
      <c r="F283" s="9"/>
      <c r="G283" s="9"/>
      <c r="H283" s="12"/>
    </row>
    <row r="284" spans="1:254" ht="15.75">
      <c r="A284" s="42">
        <f>+A281+1</f>
        <v>172</v>
      </c>
      <c r="B284" s="8"/>
      <c r="C284" s="9" t="s">
        <v>184</v>
      </c>
      <c r="E284" s="123" t="str">
        <f>"(Note "&amp;B$308&amp;")"</f>
        <v>(Note L)</v>
      </c>
      <c r="F284" s="139" t="s">
        <v>398</v>
      </c>
      <c r="G284" s="62"/>
      <c r="H284" s="652">
        <v>6830</v>
      </c>
      <c r="K284" s="99"/>
    </row>
    <row r="285" spans="1:254" ht="15.75">
      <c r="A285" s="42">
        <f>+A284+1</f>
        <v>173</v>
      </c>
      <c r="B285" s="8"/>
      <c r="C285" s="9" t="s">
        <v>183</v>
      </c>
      <c r="D285" s="653"/>
      <c r="E285" s="123" t="s">
        <v>253</v>
      </c>
      <c r="F285" s="587" t="str">
        <f>"(Line "&amp;A281&amp;" / "&amp;A284&amp;")"</f>
        <v>(Line 171 / 172)</v>
      </c>
      <c r="G285" s="654"/>
      <c r="H285" s="655">
        <f>+H281/H284</f>
        <v>25046.591165267757</v>
      </c>
      <c r="K285" s="99"/>
    </row>
    <row r="286" spans="1:254" ht="16.5" thickBot="1">
      <c r="A286" s="8"/>
      <c r="B286" s="8"/>
      <c r="E286" s="656"/>
      <c r="F286" s="654"/>
      <c r="G286" s="654"/>
      <c r="H286" s="657"/>
    </row>
    <row r="287" spans="1:254" s="46" customFormat="1" ht="18.75" thickBot="1">
      <c r="A287" s="94">
        <f>+A285+1</f>
        <v>174</v>
      </c>
      <c r="B287" s="103"/>
      <c r="C287" s="95" t="s">
        <v>273</v>
      </c>
      <c r="D287" s="103"/>
      <c r="E287" s="103"/>
      <c r="F287" s="103" t="str">
        <f>"(Line "&amp;A285&amp;")"</f>
        <v>(Line 173)</v>
      </c>
      <c r="G287" s="103"/>
      <c r="H287" s="138">
        <f>+H285</f>
        <v>25046.591165267757</v>
      </c>
    </row>
    <row r="288" spans="1:254" s="46" customFormat="1" ht="15.75">
      <c r="A288" s="148"/>
      <c r="B288" s="43"/>
      <c r="C288" s="33"/>
      <c r="D288" s="33"/>
      <c r="E288" s="656"/>
      <c r="F288" s="654"/>
      <c r="G288" s="654"/>
      <c r="H288" s="657"/>
      <c r="K288" s="876"/>
    </row>
    <row r="289" spans="1:8" s="46" customFormat="1" ht="18">
      <c r="A289" s="102"/>
      <c r="B289" s="104" t="s">
        <v>244</v>
      </c>
      <c r="C289" s="33"/>
      <c r="D289" s="33"/>
      <c r="E289" s="656"/>
      <c r="F289" s="654"/>
      <c r="G289" s="654"/>
      <c r="H289" s="657"/>
    </row>
    <row r="290" spans="1:8" s="46" customFormat="1" ht="18">
      <c r="A290" s="102"/>
      <c r="B290" s="43" t="s">
        <v>47</v>
      </c>
      <c r="C290" s="33" t="s">
        <v>260</v>
      </c>
      <c r="D290" s="33"/>
      <c r="E290" s="656"/>
      <c r="F290" s="654"/>
      <c r="G290" s="654"/>
      <c r="H290" s="657"/>
    </row>
    <row r="291" spans="1:8" s="46" customFormat="1" ht="18">
      <c r="A291" s="146"/>
      <c r="B291" s="43" t="s">
        <v>223</v>
      </c>
      <c r="C291" s="36" t="s">
        <v>727</v>
      </c>
      <c r="D291" s="45"/>
      <c r="E291" s="658"/>
      <c r="F291" s="659"/>
      <c r="G291" s="654"/>
      <c r="H291" s="657"/>
    </row>
    <row r="292" spans="1:8" s="46" customFormat="1" ht="18">
      <c r="A292" s="146"/>
      <c r="B292" s="43"/>
      <c r="C292" s="36" t="s">
        <v>728</v>
      </c>
      <c r="D292" s="45"/>
      <c r="E292" s="658"/>
      <c r="F292" s="659"/>
      <c r="G292" s="654"/>
      <c r="H292" s="660"/>
    </row>
    <row r="293" spans="1:8" s="46" customFormat="1" ht="18">
      <c r="A293" s="146"/>
      <c r="B293" s="43"/>
      <c r="C293" s="36" t="s">
        <v>553</v>
      </c>
      <c r="D293" s="45"/>
      <c r="E293" s="658"/>
      <c r="F293" s="659"/>
      <c r="G293" s="654"/>
      <c r="H293" s="657"/>
    </row>
    <row r="294" spans="1:8" s="46" customFormat="1" ht="18">
      <c r="A294" s="102"/>
      <c r="B294" s="43" t="s">
        <v>19</v>
      </c>
      <c r="C294" s="36" t="s">
        <v>261</v>
      </c>
      <c r="D294" s="33"/>
      <c r="E294" s="656"/>
      <c r="F294" s="654"/>
      <c r="G294" s="654"/>
      <c r="H294" s="657"/>
    </row>
    <row r="295" spans="1:8" s="46" customFormat="1" ht="18">
      <c r="A295" s="102"/>
      <c r="B295" s="43" t="s">
        <v>48</v>
      </c>
      <c r="C295" s="503" t="s">
        <v>657</v>
      </c>
      <c r="D295" s="33"/>
      <c r="E295" s="656"/>
      <c r="F295" s="654"/>
      <c r="G295" s="654"/>
      <c r="H295" s="657"/>
    </row>
    <row r="296" spans="1:8" s="46" customFormat="1" ht="18">
      <c r="A296" s="102"/>
      <c r="B296" s="43" t="s">
        <v>46</v>
      </c>
      <c r="C296" s="25" t="s">
        <v>94</v>
      </c>
      <c r="D296" s="33"/>
      <c r="E296" s="656"/>
      <c r="F296" s="654"/>
      <c r="G296" s="654"/>
      <c r="H296" s="657"/>
    </row>
    <row r="297" spans="1:8" s="46" customFormat="1" ht="18">
      <c r="A297" s="146"/>
      <c r="B297" s="43" t="s">
        <v>452</v>
      </c>
      <c r="C297" s="503" t="s">
        <v>297</v>
      </c>
      <c r="D297" s="33"/>
      <c r="E297" s="656"/>
      <c r="F297" s="654"/>
      <c r="G297" s="654"/>
      <c r="H297" s="661"/>
    </row>
    <row r="298" spans="1:8" s="46" customFormat="1" ht="18">
      <c r="A298" s="102"/>
      <c r="B298" s="43" t="s">
        <v>49</v>
      </c>
      <c r="C298" s="503" t="s">
        <v>656</v>
      </c>
      <c r="D298" s="33"/>
      <c r="E298" s="656"/>
      <c r="F298" s="654"/>
      <c r="G298" s="654"/>
      <c r="H298" s="657"/>
    </row>
    <row r="299" spans="1:8" s="46" customFormat="1" ht="18">
      <c r="A299" s="102"/>
      <c r="B299" s="43" t="s">
        <v>30</v>
      </c>
      <c r="C299" s="503" t="s">
        <v>52</v>
      </c>
      <c r="D299" s="33"/>
      <c r="E299" s="656"/>
      <c r="F299" s="654"/>
      <c r="G299" s="654"/>
      <c r="H299" s="657"/>
    </row>
    <row r="300" spans="1:8" s="46" customFormat="1" ht="18">
      <c r="A300" s="102"/>
      <c r="B300" s="43"/>
      <c r="C300" s="503" t="s">
        <v>53</v>
      </c>
      <c r="D300" s="33"/>
      <c r="E300" s="656"/>
      <c r="F300" s="654"/>
      <c r="G300" s="654"/>
      <c r="H300" s="657"/>
    </row>
    <row r="301" spans="1:8" s="46" customFormat="1" ht="18">
      <c r="A301" s="102"/>
      <c r="B301" s="43"/>
      <c r="C301" s="503" t="s">
        <v>70</v>
      </c>
      <c r="D301" s="33"/>
      <c r="E301" s="656"/>
      <c r="F301" s="654"/>
      <c r="G301" s="654"/>
      <c r="H301" s="661"/>
    </row>
    <row r="302" spans="1:8" s="46" customFormat="1" ht="18">
      <c r="A302" s="102"/>
      <c r="B302" s="43"/>
      <c r="C302" s="503" t="s">
        <v>71</v>
      </c>
      <c r="D302" s="33"/>
      <c r="E302" s="656"/>
      <c r="F302" s="654"/>
      <c r="G302" s="654"/>
      <c r="H302" s="657"/>
    </row>
    <row r="303" spans="1:8" s="46" customFormat="1" ht="18">
      <c r="A303" s="146"/>
      <c r="B303" s="43"/>
      <c r="C303" s="503" t="s">
        <v>72</v>
      </c>
      <c r="D303" s="33"/>
      <c r="E303" s="656"/>
      <c r="F303" s="654"/>
      <c r="G303" s="654"/>
      <c r="H303" s="657"/>
    </row>
    <row r="304" spans="1:8" s="46" customFormat="1" ht="18">
      <c r="A304" s="146"/>
      <c r="B304" s="43"/>
      <c r="C304" s="503" t="s">
        <v>338</v>
      </c>
      <c r="D304" s="33"/>
      <c r="E304" s="656"/>
      <c r="F304" s="654"/>
      <c r="G304" s="654"/>
      <c r="H304" s="657"/>
    </row>
    <row r="305" spans="1:8" s="46" customFormat="1" ht="18">
      <c r="A305" s="146"/>
      <c r="B305" s="43" t="s">
        <v>32</v>
      </c>
      <c r="C305" s="503" t="s">
        <v>644</v>
      </c>
      <c r="D305" s="33"/>
      <c r="E305" s="656"/>
      <c r="F305" s="654"/>
      <c r="G305" s="654"/>
      <c r="H305" s="657"/>
    </row>
    <row r="306" spans="1:8" s="46" customFormat="1" ht="18">
      <c r="A306" s="146"/>
      <c r="B306" s="43"/>
      <c r="C306" s="503" t="s">
        <v>645</v>
      </c>
      <c r="D306" s="33"/>
      <c r="E306" s="656"/>
      <c r="F306" s="654"/>
      <c r="G306" s="654"/>
      <c r="H306" s="657"/>
    </row>
    <row r="307" spans="1:8" s="46" customFormat="1" ht="18">
      <c r="A307" s="146"/>
      <c r="B307" s="43" t="s">
        <v>51</v>
      </c>
      <c r="C307" s="33" t="s">
        <v>298</v>
      </c>
      <c r="D307" s="33"/>
      <c r="E307" s="656"/>
      <c r="F307" s="654"/>
      <c r="G307" s="654"/>
      <c r="H307" s="657"/>
    </row>
    <row r="308" spans="1:8" s="46" customFormat="1" ht="18">
      <c r="A308" s="146"/>
      <c r="B308" s="43" t="s">
        <v>189</v>
      </c>
      <c r="C308" s="45" t="s">
        <v>126</v>
      </c>
      <c r="D308" s="33"/>
      <c r="E308" s="656"/>
      <c r="F308" s="654"/>
      <c r="G308" s="654"/>
      <c r="H308" s="657"/>
    </row>
    <row r="309" spans="1:8" ht="15.75">
      <c r="A309" s="42"/>
      <c r="B309" s="8" t="s">
        <v>190</v>
      </c>
      <c r="C309" s="9" t="s">
        <v>572</v>
      </c>
      <c r="E309" s="656"/>
      <c r="F309" s="654"/>
      <c r="G309" s="654"/>
      <c r="H309" s="657"/>
    </row>
    <row r="310" spans="1:8" ht="15.75">
      <c r="A310" s="42"/>
      <c r="B310" s="8" t="s">
        <v>453</v>
      </c>
      <c r="C310" s="509" t="s">
        <v>401</v>
      </c>
      <c r="E310" s="656"/>
      <c r="F310" s="654"/>
      <c r="G310" s="654"/>
      <c r="H310" s="657"/>
    </row>
    <row r="311" spans="1:8" ht="15.75">
      <c r="A311" s="42"/>
      <c r="B311" s="8"/>
      <c r="C311" s="509" t="s">
        <v>400</v>
      </c>
      <c r="E311" s="656"/>
      <c r="F311" s="654"/>
      <c r="G311" s="654"/>
      <c r="H311" s="657"/>
    </row>
    <row r="312" spans="1:8" ht="15.75">
      <c r="A312" s="42"/>
      <c r="B312" s="8"/>
      <c r="C312" s="509" t="str">
        <f>"  Interest on the Network Credits as booked each year is added to the revenue requirement to make the Transmisison Owner whole on Line "&amp;A257&amp;"."</f>
        <v xml:space="preserve">  Interest on the Network Credits as booked each year is added to the revenue requirement to make the Transmisison Owner whole on Line 154.</v>
      </c>
      <c r="D312" s="25"/>
      <c r="E312" s="658"/>
      <c r="F312" s="659"/>
      <c r="G312" s="654"/>
      <c r="H312" s="657"/>
    </row>
    <row r="313" spans="1:8" ht="15.75">
      <c r="A313" s="42"/>
      <c r="B313" s="8" t="s">
        <v>523</v>
      </c>
      <c r="C313" s="509" t="s">
        <v>123</v>
      </c>
      <c r="D313" s="25"/>
      <c r="E313" s="658"/>
      <c r="F313" s="659"/>
      <c r="G313" s="654"/>
      <c r="H313" s="657"/>
    </row>
    <row r="314" spans="1:8" ht="15.75">
      <c r="A314" s="42"/>
      <c r="B314" s="8"/>
      <c r="C314" s="509" t="s">
        <v>124</v>
      </c>
      <c r="D314" s="25"/>
      <c r="E314" s="658"/>
      <c r="F314" s="659"/>
      <c r="G314" s="654"/>
      <c r="H314" s="657"/>
    </row>
    <row r="315" spans="1:8" s="46" customFormat="1" ht="18">
      <c r="A315" s="461"/>
      <c r="B315" s="8" t="s">
        <v>100</v>
      </c>
      <c r="C315" s="480" t="s">
        <v>125</v>
      </c>
      <c r="D315" s="662"/>
      <c r="E315" s="662"/>
      <c r="F315" s="662"/>
      <c r="G315" s="102"/>
      <c r="H315" s="102"/>
    </row>
    <row r="316" spans="1:8" ht="15.75">
      <c r="A316" s="119"/>
      <c r="B316" s="119" t="s">
        <v>362</v>
      </c>
      <c r="C316" s="45" t="s">
        <v>692</v>
      </c>
      <c r="D316" s="45"/>
      <c r="E316" s="658"/>
      <c r="F316" s="659"/>
      <c r="G316" s="654"/>
      <c r="H316" s="657"/>
    </row>
    <row r="317" spans="1:8" ht="15.75">
      <c r="A317" s="119"/>
      <c r="B317" s="119"/>
      <c r="C317" s="45" t="s">
        <v>693</v>
      </c>
      <c r="D317" s="45"/>
      <c r="E317" s="658"/>
      <c r="F317" s="659"/>
      <c r="G317" s="654"/>
      <c r="H317" s="657"/>
    </row>
    <row r="318" spans="1:8" ht="15.75">
      <c r="A318" s="119"/>
      <c r="B318" s="411"/>
      <c r="C318" s="45" t="s">
        <v>694</v>
      </c>
      <c r="D318" s="45"/>
      <c r="E318" s="658"/>
      <c r="F318" s="659"/>
      <c r="G318" s="654"/>
      <c r="H318" s="657"/>
    </row>
    <row r="319" spans="1:8" ht="15.75">
      <c r="A319" s="119"/>
      <c r="B319" s="411"/>
      <c r="C319" s="45" t="s">
        <v>695</v>
      </c>
      <c r="D319" s="45"/>
      <c r="E319" s="658"/>
      <c r="F319" s="659"/>
      <c r="G319" s="654"/>
      <c r="H319" s="657"/>
    </row>
    <row r="320" spans="1:8" ht="15.75">
      <c r="A320" s="119"/>
      <c r="B320" s="119"/>
      <c r="C320" s="45" t="s">
        <v>696</v>
      </c>
      <c r="D320" s="45"/>
      <c r="E320" s="658"/>
      <c r="F320" s="659"/>
      <c r="G320" s="654"/>
      <c r="H320" s="657"/>
    </row>
    <row r="321" spans="1:8" ht="15.75">
      <c r="A321" s="119"/>
      <c r="B321" s="119"/>
      <c r="C321" s="45" t="s">
        <v>697</v>
      </c>
      <c r="D321" s="45"/>
      <c r="E321" s="658"/>
      <c r="F321" s="659"/>
      <c r="G321" s="654"/>
      <c r="H321" s="657"/>
    </row>
    <row r="322" spans="1:8" ht="15.75">
      <c r="A322" s="119"/>
      <c r="B322" s="411"/>
      <c r="C322" s="45" t="s">
        <v>698</v>
      </c>
      <c r="D322" s="45"/>
      <c r="E322" s="658"/>
      <c r="F322" s="659"/>
      <c r="G322" s="654"/>
      <c r="H322" s="657"/>
    </row>
    <row r="323" spans="1:8" ht="15.75">
      <c r="A323" s="119"/>
      <c r="B323" s="119"/>
      <c r="C323" s="45" t="s">
        <v>699</v>
      </c>
      <c r="D323" s="45"/>
      <c r="E323" s="658"/>
      <c r="F323" s="659"/>
      <c r="G323" s="654"/>
      <c r="H323" s="657"/>
    </row>
    <row r="324" spans="1:8" ht="15.75">
      <c r="A324" s="119"/>
      <c r="B324" s="119"/>
      <c r="C324" s="45" t="s">
        <v>700</v>
      </c>
      <c r="D324" s="45"/>
      <c r="E324" s="658"/>
      <c r="F324" s="659"/>
      <c r="G324" s="654"/>
      <c r="H324" s="657"/>
    </row>
    <row r="325" spans="1:8" ht="15.75">
      <c r="A325" s="119"/>
      <c r="B325" s="119"/>
      <c r="C325" s="45" t="s">
        <v>701</v>
      </c>
      <c r="D325" s="45"/>
      <c r="E325" s="658"/>
      <c r="F325" s="659"/>
      <c r="G325" s="654"/>
      <c r="H325" s="657"/>
    </row>
    <row r="326" spans="1:8" ht="15.75">
      <c r="A326" s="119"/>
      <c r="B326" s="119"/>
      <c r="C326" s="45" t="s">
        <v>702</v>
      </c>
      <c r="D326" s="45"/>
      <c r="E326" s="658"/>
      <c r="F326" s="659"/>
      <c r="G326" s="654"/>
      <c r="H326" s="657"/>
    </row>
    <row r="327" spans="1:8" ht="15.75">
      <c r="A327" s="119"/>
      <c r="B327" s="119" t="s">
        <v>777</v>
      </c>
      <c r="C327" s="45" t="s">
        <v>778</v>
      </c>
      <c r="D327" s="45"/>
      <c r="E327" s="658"/>
      <c r="F327" s="659"/>
      <c r="G327" s="654"/>
      <c r="H327" s="657"/>
    </row>
    <row r="328" spans="1:8" ht="15.75">
      <c r="A328" s="119"/>
      <c r="B328" s="119"/>
      <c r="C328" s="45"/>
      <c r="D328" s="45"/>
      <c r="E328" s="658"/>
      <c r="F328" s="659"/>
      <c r="G328" s="654"/>
      <c r="H328" s="657"/>
    </row>
    <row r="329" spans="1:8" ht="15.75">
      <c r="A329" s="119"/>
      <c r="B329" s="119"/>
      <c r="C329" s="45"/>
      <c r="D329" s="45"/>
      <c r="E329" s="658"/>
      <c r="F329" s="659"/>
      <c r="G329" s="654"/>
      <c r="H329" s="657"/>
    </row>
    <row r="330" spans="1:8" ht="15.75">
      <c r="A330" s="119"/>
      <c r="B330" s="119"/>
      <c r="C330" s="45"/>
      <c r="D330" s="45"/>
      <c r="E330" s="658"/>
      <c r="F330" s="659"/>
      <c r="G330" s="654"/>
      <c r="H330" s="657"/>
    </row>
    <row r="331" spans="1:8" ht="15.75">
      <c r="A331" s="119"/>
      <c r="B331" s="119"/>
      <c r="C331" s="45"/>
      <c r="D331" s="45"/>
      <c r="E331" s="658"/>
      <c r="F331" s="659"/>
      <c r="G331" s="654"/>
      <c r="H331" s="657"/>
    </row>
    <row r="332" spans="1:8" ht="15.75">
      <c r="A332" s="119"/>
      <c r="B332" s="119"/>
      <c r="C332" s="45"/>
      <c r="D332" s="45"/>
      <c r="E332" s="658"/>
      <c r="F332" s="659"/>
      <c r="G332" s="654"/>
      <c r="H332" s="657"/>
    </row>
    <row r="333" spans="1:8" ht="15.75">
      <c r="A333" s="22"/>
      <c r="B333" s="8"/>
      <c r="C333" s="487"/>
      <c r="D333" s="25"/>
      <c r="E333" s="419"/>
      <c r="F333" s="9"/>
      <c r="G333" s="9"/>
      <c r="H333" s="12"/>
    </row>
    <row r="334" spans="1:8" ht="15.75">
      <c r="A334" s="90"/>
      <c r="B334" s="89"/>
      <c r="C334" s="74"/>
      <c r="D334" s="73"/>
      <c r="E334" s="663"/>
      <c r="F334" s="73"/>
      <c r="G334" s="73"/>
      <c r="H334" s="74"/>
    </row>
    <row r="335" spans="1:8">
      <c r="A335" s="22"/>
      <c r="B335" s="8"/>
      <c r="C335" s="20"/>
      <c r="D335" s="20"/>
    </row>
    <row r="336" spans="1:8">
      <c r="H336" s="84"/>
    </row>
    <row r="337" spans="8:8">
      <c r="H337" s="83"/>
    </row>
    <row r="338" spans="8:8">
      <c r="H338" s="82"/>
    </row>
  </sheetData>
  <mergeCells count="3">
    <mergeCell ref="F4:F5"/>
    <mergeCell ref="C41:D41"/>
    <mergeCell ref="H4:H5"/>
  </mergeCells>
  <phoneticPr fontId="0" type="noConversion"/>
  <printOptions horizontalCentered="1"/>
  <pageMargins left="0.5" right="0.5" top="1.5" bottom="0.5" header="0.5" footer="0.5"/>
  <pageSetup scale="45" fitToHeight="10" orientation="portrait" r:id="rId1"/>
  <headerFooter alignWithMargins="0">
    <oddHeader>&amp;L&amp;"Arial,Bold"&amp;22Baltimore Gas and Electric Company
&amp;R&amp;"Arial,Bold"&amp;22
Page &amp;P of &amp;N</oddHeader>
    <oddFooter>&amp;CPage &amp;P of 5</oddFooter>
  </headerFooter>
  <rowBreaks count="4" manualBreakCount="4">
    <brk id="70" min="4" max="9" man="1"/>
    <brk id="142" min="4" max="9" man="1"/>
    <brk id="210" min="4" max="9" man="1"/>
    <brk id="287" min="4"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3"/>
  <sheetViews>
    <sheetView tabSelected="1" topLeftCell="A115" zoomScaleNormal="100" zoomScaleSheetLayoutView="100" workbookViewId="0">
      <selection activeCell="H148" sqref="H148"/>
    </sheetView>
  </sheetViews>
  <sheetFormatPr defaultRowHeight="12.75"/>
  <cols>
    <col min="1" max="1" width="4.140625" style="477" customWidth="1"/>
    <col min="2" max="2" width="4.7109375" style="477" customWidth="1"/>
    <col min="3" max="3" width="7.140625" style="477" customWidth="1"/>
    <col min="4" max="4" width="14.42578125" style="465" customWidth="1"/>
    <col min="5" max="5" width="14.140625" style="465" customWidth="1"/>
    <col min="6" max="6" width="17.42578125" style="465" customWidth="1"/>
    <col min="7" max="7" width="15.140625" style="465" customWidth="1"/>
    <col min="8" max="8" width="14.140625" style="465" customWidth="1"/>
    <col min="9" max="9" width="15" style="465" customWidth="1"/>
    <col min="10" max="10" width="12.85546875" style="465" customWidth="1"/>
    <col min="11" max="11" width="12" style="465" bestFit="1" customWidth="1"/>
    <col min="12" max="16384" width="9.140625" style="465"/>
  </cols>
  <sheetData>
    <row r="1" spans="1:29" ht="18">
      <c r="A1" s="1048" t="str">
        <f>+'ATT H-2A'!A4</f>
        <v>Baltimore Gas and Electric Company</v>
      </c>
      <c r="B1" s="1129"/>
      <c r="C1" s="1129"/>
      <c r="D1" s="1129"/>
      <c r="E1" s="1129"/>
      <c r="F1" s="1129"/>
      <c r="G1" s="1129"/>
      <c r="H1" s="1129"/>
      <c r="I1" s="1129"/>
      <c r="J1" s="1129"/>
    </row>
    <row r="2" spans="1:29">
      <c r="A2" s="155"/>
    </row>
    <row r="3" spans="1:29" ht="18.75">
      <c r="A3" s="1130" t="s">
        <v>641</v>
      </c>
      <c r="B3" s="1130"/>
      <c r="C3" s="1130"/>
      <c r="D3" s="1130"/>
      <c r="E3" s="1130"/>
      <c r="F3" s="1130"/>
      <c r="G3" s="1130"/>
      <c r="H3" s="1130"/>
      <c r="I3" s="1131"/>
      <c r="J3" s="1131"/>
    </row>
    <row r="5" spans="1:29" ht="14.25">
      <c r="J5" s="726"/>
    </row>
    <row r="6" spans="1:29">
      <c r="A6" s="471" t="s">
        <v>465</v>
      </c>
      <c r="B6" s="471" t="s">
        <v>466</v>
      </c>
      <c r="C6" s="471" t="s">
        <v>467</v>
      </c>
      <c r="D6" s="471" t="s">
        <v>468</v>
      </c>
      <c r="E6" s="417"/>
      <c r="F6" s="417"/>
      <c r="G6" s="417"/>
      <c r="H6" s="417"/>
      <c r="I6" s="417"/>
      <c r="J6" s="417"/>
      <c r="K6" s="417"/>
      <c r="L6" s="417"/>
      <c r="M6" s="417"/>
      <c r="N6" s="417"/>
      <c r="O6" s="417"/>
      <c r="P6" s="417"/>
      <c r="Q6" s="417"/>
      <c r="R6" s="417"/>
      <c r="S6" s="417"/>
      <c r="T6" s="417"/>
      <c r="U6" s="417"/>
      <c r="V6" s="417"/>
      <c r="W6" s="417"/>
      <c r="X6" s="417"/>
      <c r="Y6" s="417"/>
      <c r="Z6" s="417"/>
      <c r="AA6" s="417"/>
      <c r="AB6" s="417"/>
      <c r="AC6" s="417"/>
    </row>
    <row r="7" spans="1:29">
      <c r="B7" s="471"/>
      <c r="C7" s="471"/>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row>
    <row r="8" spans="1:29">
      <c r="A8" s="727" t="s">
        <v>469</v>
      </c>
      <c r="B8" s="471"/>
      <c r="C8" s="471"/>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row>
    <row r="9" spans="1:29">
      <c r="A9" s="471">
        <v>1</v>
      </c>
      <c r="B9" s="471" t="s">
        <v>470</v>
      </c>
      <c r="C9" s="528" t="s">
        <v>147</v>
      </c>
      <c r="D9" s="728" t="s">
        <v>564</v>
      </c>
      <c r="E9" s="417"/>
      <c r="F9" s="417"/>
      <c r="G9" s="417"/>
      <c r="H9" s="417"/>
      <c r="I9" s="417"/>
      <c r="J9" s="417"/>
      <c r="K9" s="417"/>
      <c r="L9" s="417"/>
      <c r="M9" s="417"/>
      <c r="N9" s="417"/>
      <c r="O9" s="417"/>
      <c r="P9" s="417"/>
      <c r="Q9" s="417"/>
      <c r="R9" s="417"/>
      <c r="S9" s="417"/>
      <c r="T9" s="417"/>
      <c r="U9" s="417"/>
      <c r="V9" s="417"/>
      <c r="W9" s="417"/>
      <c r="X9" s="417"/>
      <c r="Y9" s="417"/>
      <c r="Z9" s="417"/>
      <c r="AA9" s="417"/>
      <c r="AB9" s="417"/>
      <c r="AC9" s="417"/>
    </row>
    <row r="10" spans="1:29">
      <c r="A10" s="471">
        <v>2</v>
      </c>
      <c r="B10" s="471" t="str">
        <f>+B9</f>
        <v>April</v>
      </c>
      <c r="C10" s="528" t="str">
        <f>+C9</f>
        <v>Year 2</v>
      </c>
      <c r="D10" s="728" t="s">
        <v>556</v>
      </c>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row>
    <row r="11" spans="1:29">
      <c r="A11" s="471">
        <v>3</v>
      </c>
      <c r="B11" s="471" t="s">
        <v>470</v>
      </c>
      <c r="C11" s="528" t="str">
        <f>+C10</f>
        <v>Year 2</v>
      </c>
      <c r="D11" s="728" t="s">
        <v>529</v>
      </c>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row>
    <row r="12" spans="1:29">
      <c r="A12" s="471">
        <v>4</v>
      </c>
      <c r="B12" s="471" t="s">
        <v>471</v>
      </c>
      <c r="C12" s="528" t="str">
        <f>+C11</f>
        <v>Year 2</v>
      </c>
      <c r="D12" s="728" t="s">
        <v>148</v>
      </c>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row>
    <row r="13" spans="1:29">
      <c r="A13" s="471">
        <v>5</v>
      </c>
      <c r="B13" s="529" t="s">
        <v>472</v>
      </c>
      <c r="C13" s="528" t="str">
        <f>+C12</f>
        <v>Year 2</v>
      </c>
      <c r="D13" s="728" t="s">
        <v>557</v>
      </c>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row>
    <row r="14" spans="1:29">
      <c r="A14" s="471"/>
      <c r="B14" s="471"/>
      <c r="C14" s="528"/>
      <c r="D14" s="728"/>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row>
    <row r="15" spans="1:29">
      <c r="A15" s="471">
        <v>6</v>
      </c>
      <c r="B15" s="471" t="str">
        <f>+B9</f>
        <v>April</v>
      </c>
      <c r="C15" s="528" t="s">
        <v>149</v>
      </c>
      <c r="D15" s="728" t="s">
        <v>558</v>
      </c>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row>
    <row r="16" spans="1:29">
      <c r="A16" s="471">
        <v>7</v>
      </c>
      <c r="B16" s="471" t="str">
        <f>+B15</f>
        <v>April</v>
      </c>
      <c r="C16" s="528" t="str">
        <f>+C15</f>
        <v>Year 3</v>
      </c>
      <c r="D16" s="728" t="s">
        <v>559</v>
      </c>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row>
    <row r="17" spans="1:29">
      <c r="A17" s="530">
        <v>8</v>
      </c>
      <c r="B17" s="530" t="str">
        <f>+B16</f>
        <v>April</v>
      </c>
      <c r="C17" s="531" t="str">
        <f>+C16</f>
        <v>Year 3</v>
      </c>
      <c r="D17" s="728" t="s">
        <v>562</v>
      </c>
      <c r="E17" s="728"/>
      <c r="F17" s="728"/>
      <c r="G17" s="728"/>
      <c r="H17" s="728"/>
      <c r="I17" s="728"/>
      <c r="J17" s="728"/>
      <c r="K17" s="728"/>
      <c r="L17" s="729"/>
      <c r="M17" s="729"/>
      <c r="N17" s="417"/>
      <c r="O17" s="417"/>
      <c r="P17" s="417"/>
      <c r="Q17" s="417"/>
      <c r="R17" s="417"/>
      <c r="S17" s="417"/>
      <c r="T17" s="417"/>
      <c r="U17" s="417"/>
      <c r="V17" s="417"/>
      <c r="W17" s="417"/>
      <c r="X17" s="417"/>
      <c r="Y17" s="417"/>
      <c r="Z17" s="417"/>
      <c r="AA17" s="417"/>
      <c r="AB17" s="417"/>
      <c r="AC17" s="417"/>
    </row>
    <row r="18" spans="1:29">
      <c r="A18" s="530"/>
      <c r="B18" s="530"/>
      <c r="C18" s="531"/>
      <c r="D18" s="728" t="s">
        <v>368</v>
      </c>
      <c r="E18" s="728"/>
      <c r="F18" s="728"/>
      <c r="G18" s="728"/>
      <c r="H18" s="728"/>
      <c r="I18" s="728"/>
      <c r="J18" s="728"/>
      <c r="K18" s="728"/>
      <c r="L18" s="729"/>
      <c r="M18" s="729"/>
      <c r="N18" s="417"/>
      <c r="O18" s="417"/>
      <c r="P18" s="417"/>
      <c r="Q18" s="417"/>
      <c r="R18" s="417"/>
      <c r="S18" s="417"/>
      <c r="T18" s="417"/>
      <c r="U18" s="417"/>
      <c r="V18" s="417"/>
      <c r="W18" s="417"/>
      <c r="X18" s="417"/>
      <c r="Y18" s="417"/>
      <c r="Z18" s="417"/>
      <c r="AA18" s="417"/>
      <c r="AB18" s="417"/>
      <c r="AC18" s="417"/>
    </row>
    <row r="19" spans="1:29">
      <c r="A19" s="471">
        <v>9</v>
      </c>
      <c r="B19" s="471" t="str">
        <f>+B17</f>
        <v>April</v>
      </c>
      <c r="C19" s="528" t="str">
        <f>+C17</f>
        <v>Year 3</v>
      </c>
      <c r="D19" s="728" t="s">
        <v>150</v>
      </c>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row>
    <row r="20" spans="1:29">
      <c r="A20" s="471">
        <v>10</v>
      </c>
      <c r="B20" s="471" t="str">
        <f>+B12</f>
        <v>May</v>
      </c>
      <c r="C20" s="528" t="str">
        <f>+C19</f>
        <v>Year 3</v>
      </c>
      <c r="D20" s="728" t="s">
        <v>151</v>
      </c>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row>
    <row r="21" spans="1:29">
      <c r="A21" s="471">
        <v>11</v>
      </c>
      <c r="B21" s="529" t="str">
        <f>+B13</f>
        <v>June</v>
      </c>
      <c r="C21" s="528" t="str">
        <f>+C20</f>
        <v>Year 3</v>
      </c>
      <c r="D21" s="728" t="s">
        <v>563</v>
      </c>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row>
    <row r="22" spans="1:29">
      <c r="A22" s="471"/>
      <c r="B22" s="529"/>
      <c r="C22" s="471"/>
      <c r="D22" s="728"/>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row>
    <row r="23" spans="1:29">
      <c r="A23" s="730"/>
      <c r="B23" s="532"/>
      <c r="C23" s="471"/>
      <c r="D23" s="731"/>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row>
    <row r="24" spans="1:29">
      <c r="A24" s="471">
        <f>+A9</f>
        <v>1</v>
      </c>
      <c r="B24" s="471" t="str">
        <f>+B9</f>
        <v>April</v>
      </c>
      <c r="C24" s="471" t="str">
        <f>+C9</f>
        <v>Year 2</v>
      </c>
      <c r="D24" s="417" t="str">
        <f>+D9</f>
        <v>TO populates the formula with Year 1 data from FERC Form 1 for Year 1 (e.g., 2004)</v>
      </c>
      <c r="E24" s="417"/>
      <c r="F24" s="417"/>
      <c r="G24" s="417"/>
      <c r="H24" s="417"/>
      <c r="I24" s="417"/>
      <c r="K24" s="417"/>
      <c r="L24" s="417"/>
      <c r="M24" s="417"/>
      <c r="N24" s="417"/>
      <c r="O24" s="417"/>
      <c r="P24" s="417"/>
      <c r="Q24" s="417"/>
      <c r="R24" s="417"/>
      <c r="S24" s="417"/>
      <c r="T24" s="417"/>
      <c r="U24" s="417"/>
      <c r="V24" s="417"/>
      <c r="W24" s="417"/>
      <c r="X24" s="417"/>
      <c r="Y24" s="417"/>
      <c r="Z24" s="417"/>
      <c r="AA24" s="417"/>
      <c r="AB24" s="417"/>
      <c r="AC24" s="417"/>
    </row>
    <row r="25" spans="1:29">
      <c r="A25" s="471"/>
      <c r="B25" s="471"/>
      <c r="C25" s="471"/>
      <c r="D25" s="732">
        <v>156499486</v>
      </c>
      <c r="E25" s="417" t="s">
        <v>153</v>
      </c>
      <c r="F25" s="417"/>
      <c r="G25" s="733" t="s">
        <v>577</v>
      </c>
      <c r="H25" s="417"/>
      <c r="I25" s="417"/>
      <c r="J25" s="417"/>
      <c r="K25" s="417"/>
      <c r="L25" s="417"/>
      <c r="M25" s="417"/>
      <c r="N25" s="417"/>
      <c r="O25" s="417"/>
      <c r="P25" s="417"/>
      <c r="Q25" s="417"/>
      <c r="R25" s="417"/>
      <c r="S25" s="417"/>
      <c r="T25" s="417"/>
      <c r="U25" s="417"/>
      <c r="V25" s="417"/>
      <c r="W25" s="417"/>
      <c r="X25" s="417"/>
      <c r="Y25" s="417"/>
      <c r="Z25" s="417"/>
      <c r="AA25" s="417"/>
      <c r="AB25" s="417"/>
      <c r="AC25" s="417"/>
    </row>
    <row r="26" spans="1:29">
      <c r="A26" s="471"/>
      <c r="B26" s="471"/>
      <c r="C26" s="471"/>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row>
    <row r="27" spans="1:29">
      <c r="A27" s="471">
        <v>2</v>
      </c>
      <c r="B27" s="471" t="str">
        <f>+B24</f>
        <v>April</v>
      </c>
      <c r="C27" s="471" t="str">
        <f>+C24</f>
        <v>Year 2</v>
      </c>
      <c r="D27" s="728" t="str">
        <f>+D10</f>
        <v>TO estimates all transmission Cap Adds for Year 2 weighted based on Months expected to be in service in Year 2 (e.g, 2005)</v>
      </c>
      <c r="E27" s="417"/>
      <c r="F27" s="417"/>
      <c r="G27" s="417"/>
      <c r="H27" s="417"/>
      <c r="I27" s="417"/>
      <c r="K27" s="417"/>
      <c r="L27" s="417"/>
      <c r="M27" s="417"/>
      <c r="N27" s="417"/>
      <c r="O27" s="417"/>
      <c r="P27" s="417"/>
      <c r="Q27" s="417"/>
      <c r="R27" s="417"/>
      <c r="S27" s="417"/>
      <c r="T27" s="417"/>
      <c r="U27" s="417"/>
      <c r="V27" s="417"/>
      <c r="W27" s="417"/>
      <c r="X27" s="417"/>
      <c r="Y27" s="417"/>
      <c r="Z27" s="417"/>
      <c r="AA27" s="417"/>
      <c r="AB27" s="417"/>
      <c r="AC27" s="417"/>
    </row>
    <row r="28" spans="1:29">
      <c r="A28" s="471"/>
      <c r="B28" s="471"/>
      <c r="C28" s="471"/>
      <c r="D28" s="417"/>
      <c r="E28" s="471" t="s">
        <v>526</v>
      </c>
      <c r="F28" s="471" t="s">
        <v>473</v>
      </c>
      <c r="G28" s="471" t="s">
        <v>330</v>
      </c>
      <c r="H28" s="471" t="s">
        <v>474</v>
      </c>
      <c r="I28" s="417"/>
      <c r="J28" s="417"/>
      <c r="K28" s="417"/>
      <c r="L28" s="417"/>
      <c r="M28" s="417"/>
      <c r="N28" s="417"/>
      <c r="O28" s="417"/>
      <c r="P28" s="417"/>
      <c r="Q28" s="417"/>
      <c r="R28" s="417"/>
      <c r="S28" s="417"/>
      <c r="T28" s="417"/>
      <c r="U28" s="417"/>
      <c r="V28" s="417"/>
      <c r="W28" s="417"/>
      <c r="X28" s="417"/>
      <c r="Y28" s="417"/>
      <c r="Z28" s="417"/>
      <c r="AA28" s="417"/>
      <c r="AB28" s="417"/>
      <c r="AC28" s="417"/>
    </row>
    <row r="29" spans="1:29">
      <c r="A29" s="471"/>
      <c r="B29" s="471"/>
      <c r="C29" s="471"/>
      <c r="D29" s="417" t="s">
        <v>475</v>
      </c>
      <c r="E29" s="734">
        <v>294514.37633333332</v>
      </c>
      <c r="F29" s="417">
        <v>11.5</v>
      </c>
      <c r="G29" s="735">
        <f t="shared" ref="G29:G40" si="0">+F29*E29</f>
        <v>3386915.3278333331</v>
      </c>
      <c r="H29" s="731">
        <f t="shared" ref="H29:H40" si="1">+G29/12</f>
        <v>282242.94398611109</v>
      </c>
      <c r="I29" s="417"/>
      <c r="J29" s="417"/>
      <c r="K29" s="417"/>
      <c r="L29" s="417"/>
      <c r="M29" s="417"/>
      <c r="N29" s="417"/>
      <c r="O29" s="417"/>
      <c r="P29" s="417"/>
      <c r="Q29" s="417"/>
      <c r="R29" s="417"/>
      <c r="S29" s="417"/>
      <c r="T29" s="417"/>
      <c r="U29" s="417"/>
      <c r="V29" s="417"/>
      <c r="W29" s="417"/>
      <c r="X29" s="417"/>
      <c r="Y29" s="417"/>
      <c r="Z29" s="417"/>
      <c r="AA29" s="417"/>
      <c r="AB29" s="417"/>
      <c r="AC29" s="417"/>
    </row>
    <row r="30" spans="1:29">
      <c r="A30" s="471"/>
      <c r="B30" s="471"/>
      <c r="C30" s="471"/>
      <c r="D30" s="417" t="s">
        <v>476</v>
      </c>
      <c r="E30" s="734">
        <v>306059.19593333331</v>
      </c>
      <c r="F30" s="417">
        <f t="shared" ref="F30:F40" si="2">+F29-1</f>
        <v>10.5</v>
      </c>
      <c r="G30" s="735">
        <f t="shared" si="0"/>
        <v>3213621.5572999995</v>
      </c>
      <c r="H30" s="731">
        <f t="shared" si="1"/>
        <v>267801.79644166661</v>
      </c>
      <c r="I30" s="417"/>
      <c r="J30" s="417"/>
      <c r="K30" s="417"/>
      <c r="L30" s="417"/>
      <c r="M30" s="417"/>
      <c r="N30" s="417"/>
      <c r="O30" s="417"/>
      <c r="P30" s="417"/>
      <c r="Q30" s="417"/>
      <c r="R30" s="417"/>
      <c r="S30" s="417"/>
      <c r="T30" s="417"/>
      <c r="U30" s="417"/>
      <c r="V30" s="417"/>
      <c r="W30" s="417"/>
      <c r="X30" s="417"/>
      <c r="Y30" s="417"/>
      <c r="Z30" s="417"/>
      <c r="AA30" s="417"/>
      <c r="AB30" s="417"/>
      <c r="AC30" s="417"/>
    </row>
    <row r="31" spans="1:29">
      <c r="A31" s="471"/>
      <c r="B31" s="471"/>
      <c r="C31" s="471"/>
      <c r="D31" s="417" t="s">
        <v>477</v>
      </c>
      <c r="E31" s="734">
        <v>507033.85580259905</v>
      </c>
      <c r="F31" s="417">
        <f t="shared" si="2"/>
        <v>9.5</v>
      </c>
      <c r="G31" s="735">
        <f t="shared" si="0"/>
        <v>4816821.6301246909</v>
      </c>
      <c r="H31" s="731">
        <f t="shared" si="1"/>
        <v>401401.80251039093</v>
      </c>
      <c r="I31" s="417"/>
      <c r="J31" s="417"/>
      <c r="K31" s="417"/>
      <c r="L31" s="417"/>
      <c r="M31" s="417"/>
      <c r="N31" s="417"/>
      <c r="O31" s="417"/>
      <c r="P31" s="417"/>
      <c r="Q31" s="417"/>
      <c r="R31" s="417"/>
      <c r="S31" s="417"/>
      <c r="T31" s="417"/>
      <c r="U31" s="417"/>
      <c r="V31" s="417"/>
      <c r="W31" s="417"/>
      <c r="X31" s="417"/>
      <c r="Y31" s="417"/>
      <c r="Z31" s="417"/>
      <c r="AA31" s="417"/>
      <c r="AB31" s="417"/>
      <c r="AC31" s="417"/>
    </row>
    <row r="32" spans="1:29">
      <c r="A32" s="471"/>
      <c r="B32" s="471"/>
      <c r="C32" s="471"/>
      <c r="D32" s="417" t="s">
        <v>478</v>
      </c>
      <c r="E32" s="734">
        <v>337827.32683333335</v>
      </c>
      <c r="F32" s="417">
        <f t="shared" si="2"/>
        <v>8.5</v>
      </c>
      <c r="G32" s="735">
        <f t="shared" si="0"/>
        <v>2871532.2780833337</v>
      </c>
      <c r="H32" s="731">
        <f t="shared" si="1"/>
        <v>239294.35650694449</v>
      </c>
      <c r="I32" s="417"/>
      <c r="J32" s="417"/>
      <c r="K32" s="417"/>
      <c r="L32" s="417"/>
      <c r="M32" s="417"/>
      <c r="N32" s="417"/>
      <c r="O32" s="417"/>
      <c r="P32" s="417"/>
      <c r="Q32" s="417"/>
      <c r="R32" s="417"/>
      <c r="S32" s="417"/>
      <c r="T32" s="417"/>
      <c r="U32" s="417"/>
      <c r="V32" s="417"/>
      <c r="W32" s="417"/>
      <c r="X32" s="417"/>
      <c r="Y32" s="417"/>
      <c r="Z32" s="417"/>
      <c r="AA32" s="417"/>
      <c r="AB32" s="417"/>
      <c r="AC32" s="417"/>
    </row>
    <row r="33" spans="1:29">
      <c r="A33" s="471"/>
      <c r="B33" s="471"/>
      <c r="C33" s="471"/>
      <c r="D33" s="417" t="s">
        <v>471</v>
      </c>
      <c r="E33" s="734">
        <v>334643.42683333333</v>
      </c>
      <c r="F33" s="417">
        <f t="shared" si="2"/>
        <v>7.5</v>
      </c>
      <c r="G33" s="735">
        <f t="shared" si="0"/>
        <v>2509825.7012499999</v>
      </c>
      <c r="H33" s="731">
        <f t="shared" si="1"/>
        <v>209152.14177083332</v>
      </c>
      <c r="I33" s="417"/>
      <c r="J33" s="417"/>
      <c r="K33" s="417"/>
      <c r="L33" s="417"/>
      <c r="M33" s="417"/>
      <c r="N33" s="417"/>
      <c r="O33" s="417"/>
      <c r="P33" s="417"/>
      <c r="Q33" s="417"/>
      <c r="R33" s="417"/>
      <c r="S33" s="417"/>
      <c r="T33" s="417"/>
      <c r="U33" s="417"/>
      <c r="V33" s="417"/>
      <c r="W33" s="417"/>
      <c r="X33" s="417"/>
      <c r="Y33" s="417"/>
      <c r="Z33" s="417"/>
      <c r="AA33" s="417"/>
      <c r="AB33" s="417"/>
      <c r="AC33" s="417"/>
    </row>
    <row r="34" spans="1:29">
      <c r="A34" s="471"/>
      <c r="B34" s="471"/>
      <c r="C34" s="471"/>
      <c r="D34" s="417" t="s">
        <v>479</v>
      </c>
      <c r="E34" s="734">
        <v>6193003.9075919818</v>
      </c>
      <c r="F34" s="417">
        <f t="shared" si="2"/>
        <v>6.5</v>
      </c>
      <c r="G34" s="735">
        <f t="shared" si="0"/>
        <v>40254525.399347879</v>
      </c>
      <c r="H34" s="731">
        <f t="shared" si="1"/>
        <v>3354543.7832789901</v>
      </c>
      <c r="I34" s="417"/>
      <c r="J34" s="417"/>
      <c r="K34" s="417"/>
      <c r="L34" s="417"/>
      <c r="M34" s="417"/>
      <c r="N34" s="417"/>
      <c r="O34" s="417"/>
      <c r="P34" s="417"/>
      <c r="Q34" s="417"/>
      <c r="R34" s="417"/>
      <c r="S34" s="417"/>
      <c r="T34" s="417"/>
      <c r="U34" s="417"/>
      <c r="V34" s="417"/>
      <c r="W34" s="417"/>
      <c r="X34" s="417"/>
      <c r="Y34" s="417"/>
      <c r="Z34" s="417"/>
      <c r="AA34" s="417"/>
      <c r="AB34" s="417"/>
      <c r="AC34" s="417"/>
    </row>
    <row r="35" spans="1:29">
      <c r="A35" s="471"/>
      <c r="B35" s="471"/>
      <c r="C35" s="471"/>
      <c r="D35" s="417" t="s">
        <v>480</v>
      </c>
      <c r="E35" s="734">
        <v>412218.8722333333</v>
      </c>
      <c r="F35" s="417">
        <f t="shared" si="2"/>
        <v>5.5</v>
      </c>
      <c r="G35" s="735">
        <f t="shared" si="0"/>
        <v>2267203.7972833333</v>
      </c>
      <c r="H35" s="731">
        <f t="shared" si="1"/>
        <v>188933.64977361111</v>
      </c>
      <c r="I35" s="417"/>
      <c r="J35" s="417"/>
      <c r="K35" s="417"/>
      <c r="L35" s="417"/>
      <c r="M35" s="417"/>
      <c r="N35" s="417"/>
      <c r="O35" s="417"/>
      <c r="P35" s="417"/>
      <c r="Q35" s="417"/>
      <c r="R35" s="417"/>
      <c r="S35" s="417"/>
      <c r="T35" s="417"/>
      <c r="U35" s="417"/>
      <c r="V35" s="417"/>
      <c r="W35" s="417"/>
      <c r="X35" s="417"/>
      <c r="Y35" s="417"/>
      <c r="Z35" s="417"/>
      <c r="AA35" s="417"/>
      <c r="AB35" s="417"/>
      <c r="AC35" s="417"/>
    </row>
    <row r="36" spans="1:29">
      <c r="A36" s="471"/>
      <c r="B36" s="471"/>
      <c r="C36" s="471"/>
      <c r="D36" s="417" t="s">
        <v>481</v>
      </c>
      <c r="E36" s="734">
        <v>404127.8722333333</v>
      </c>
      <c r="F36" s="417">
        <f t="shared" si="2"/>
        <v>4.5</v>
      </c>
      <c r="G36" s="735">
        <f t="shared" si="0"/>
        <v>1818575.4250499997</v>
      </c>
      <c r="H36" s="731">
        <f t="shared" si="1"/>
        <v>151547.95208749999</v>
      </c>
      <c r="I36" s="417"/>
      <c r="J36" s="417"/>
      <c r="K36" s="417"/>
      <c r="L36" s="417"/>
      <c r="M36" s="417"/>
      <c r="N36" s="417"/>
      <c r="O36" s="417"/>
      <c r="P36" s="417"/>
      <c r="Q36" s="417"/>
      <c r="R36" s="417"/>
      <c r="S36" s="417"/>
      <c r="T36" s="417"/>
      <c r="U36" s="417"/>
      <c r="V36" s="417"/>
      <c r="W36" s="417"/>
      <c r="X36" s="417"/>
      <c r="Y36" s="417"/>
      <c r="Z36" s="417"/>
      <c r="AA36" s="417"/>
      <c r="AB36" s="417"/>
      <c r="AC36" s="417"/>
    </row>
    <row r="37" spans="1:29">
      <c r="A37" s="471"/>
      <c r="B37" s="471"/>
      <c r="C37" s="471"/>
      <c r="D37" s="417" t="s">
        <v>482</v>
      </c>
      <c r="E37" s="734">
        <v>5518506.3517384417</v>
      </c>
      <c r="F37" s="417">
        <f t="shared" si="2"/>
        <v>3.5</v>
      </c>
      <c r="G37" s="735">
        <f t="shared" si="0"/>
        <v>19314772.231084548</v>
      </c>
      <c r="H37" s="731">
        <f t="shared" si="1"/>
        <v>1609564.3525903791</v>
      </c>
      <c r="I37" s="417"/>
      <c r="J37" s="417"/>
      <c r="K37" s="417"/>
      <c r="L37" s="417"/>
      <c r="M37" s="417"/>
      <c r="N37" s="417"/>
      <c r="O37" s="417"/>
      <c r="P37" s="417"/>
      <c r="Q37" s="417"/>
      <c r="R37" s="417"/>
      <c r="S37" s="417"/>
      <c r="T37" s="417"/>
      <c r="U37" s="417"/>
      <c r="V37" s="417"/>
      <c r="W37" s="417"/>
      <c r="X37" s="417"/>
      <c r="Y37" s="417"/>
      <c r="Z37" s="417"/>
      <c r="AA37" s="417"/>
      <c r="AB37" s="417"/>
      <c r="AC37" s="417"/>
    </row>
    <row r="38" spans="1:29">
      <c r="A38" s="471"/>
      <c r="B38" s="471"/>
      <c r="C38" s="471"/>
      <c r="D38" s="417" t="s">
        <v>483</v>
      </c>
      <c r="E38" s="734">
        <v>696912.05906738807</v>
      </c>
      <c r="F38" s="417">
        <f t="shared" si="2"/>
        <v>2.5</v>
      </c>
      <c r="G38" s="735">
        <f t="shared" si="0"/>
        <v>1742280.1476684702</v>
      </c>
      <c r="H38" s="731">
        <f t="shared" si="1"/>
        <v>145190.01230570584</v>
      </c>
      <c r="I38" s="417"/>
      <c r="J38" s="417"/>
      <c r="K38" s="417"/>
      <c r="L38" s="417"/>
      <c r="M38" s="417"/>
      <c r="N38" s="417"/>
      <c r="O38" s="417"/>
      <c r="P38" s="417"/>
      <c r="Q38" s="417"/>
      <c r="R38" s="417"/>
      <c r="S38" s="417"/>
      <c r="T38" s="417"/>
      <c r="U38" s="417"/>
      <c r="V38" s="417"/>
      <c r="W38" s="417"/>
      <c r="X38" s="417"/>
      <c r="Y38" s="417"/>
      <c r="Z38" s="417"/>
      <c r="AA38" s="417"/>
      <c r="AB38" s="417"/>
      <c r="AC38" s="417"/>
    </row>
    <row r="39" spans="1:29">
      <c r="A39" s="471"/>
      <c r="B39" s="471"/>
      <c r="C39" s="471"/>
      <c r="D39" s="417" t="s">
        <v>484</v>
      </c>
      <c r="E39" s="734">
        <v>2491578.3988443166</v>
      </c>
      <c r="F39" s="417">
        <f t="shared" si="2"/>
        <v>1.5</v>
      </c>
      <c r="G39" s="735">
        <f t="shared" si="0"/>
        <v>3737367.5982664749</v>
      </c>
      <c r="H39" s="731">
        <f t="shared" si="1"/>
        <v>311447.29985553958</v>
      </c>
      <c r="I39" s="417"/>
      <c r="J39" s="417"/>
      <c r="K39" s="417"/>
      <c r="L39" s="417"/>
      <c r="M39" s="417"/>
      <c r="N39" s="417"/>
      <c r="O39" s="417"/>
      <c r="P39" s="417"/>
      <c r="Q39" s="417"/>
      <c r="R39" s="417"/>
      <c r="S39" s="417"/>
      <c r="T39" s="417"/>
      <c r="U39" s="417"/>
      <c r="V39" s="417"/>
      <c r="W39" s="417"/>
      <c r="X39" s="417"/>
      <c r="Y39" s="417"/>
      <c r="Z39" s="417"/>
      <c r="AA39" s="417"/>
      <c r="AB39" s="417"/>
      <c r="AC39" s="417"/>
    </row>
    <row r="40" spans="1:29">
      <c r="A40" s="471"/>
      <c r="B40" s="471"/>
      <c r="C40" s="471"/>
      <c r="D40" s="417" t="s">
        <v>485</v>
      </c>
      <c r="E40" s="736">
        <v>911956.1075174741</v>
      </c>
      <c r="F40" s="417">
        <f t="shared" si="2"/>
        <v>0.5</v>
      </c>
      <c r="G40" s="735">
        <f t="shared" si="0"/>
        <v>455978.05375873705</v>
      </c>
      <c r="H40" s="731">
        <f t="shared" si="1"/>
        <v>37998.171146561421</v>
      </c>
      <c r="I40" s="417"/>
      <c r="J40" s="417"/>
      <c r="K40" s="417"/>
      <c r="L40" s="417"/>
      <c r="M40" s="417"/>
      <c r="N40" s="417"/>
      <c r="O40" s="417"/>
      <c r="P40" s="417"/>
      <c r="Q40" s="417"/>
      <c r="R40" s="417"/>
      <c r="S40" s="417"/>
      <c r="T40" s="417"/>
      <c r="U40" s="417"/>
      <c r="V40" s="417"/>
      <c r="W40" s="417"/>
      <c r="X40" s="417"/>
      <c r="Y40" s="417"/>
      <c r="Z40" s="417"/>
      <c r="AA40" s="417"/>
      <c r="AB40" s="417"/>
      <c r="AC40" s="417"/>
    </row>
    <row r="41" spans="1:29">
      <c r="A41" s="471"/>
      <c r="B41" s="471"/>
      <c r="C41" s="471"/>
      <c r="D41" s="417" t="s">
        <v>222</v>
      </c>
      <c r="E41" s="735">
        <f>SUM(E29:E40)</f>
        <v>18408381.750962202</v>
      </c>
      <c r="F41" s="417"/>
      <c r="G41" s="735">
        <f>SUM(G29:G40)</f>
        <v>86389419.147050798</v>
      </c>
      <c r="H41" s="731">
        <f>SUM(H29:H40)</f>
        <v>7199118.2622542335</v>
      </c>
      <c r="I41" s="417"/>
      <c r="J41" s="417"/>
      <c r="K41" s="417"/>
      <c r="L41" s="417"/>
      <c r="M41" s="417"/>
      <c r="N41" s="417"/>
      <c r="O41" s="417"/>
      <c r="P41" s="417"/>
      <c r="Q41" s="417"/>
      <c r="R41" s="417"/>
      <c r="S41" s="417"/>
      <c r="T41" s="417"/>
      <c r="U41" s="417"/>
      <c r="V41" s="417"/>
      <c r="W41" s="417"/>
      <c r="X41" s="417"/>
      <c r="Y41" s="417"/>
      <c r="Z41" s="417"/>
      <c r="AA41" s="417"/>
      <c r="AB41" s="417"/>
      <c r="AC41" s="417"/>
    </row>
    <row r="42" spans="1:29">
      <c r="A42" s="471"/>
      <c r="B42" s="471"/>
      <c r="D42" s="417" t="s">
        <v>154</v>
      </c>
      <c r="E42" s="417"/>
      <c r="F42" s="417"/>
      <c r="G42" s="417"/>
      <c r="H42" s="737">
        <f>+H41</f>
        <v>7199118.2622542335</v>
      </c>
      <c r="J42" s="417"/>
      <c r="K42" s="417"/>
      <c r="L42" s="417"/>
      <c r="M42" s="417"/>
      <c r="N42" s="417"/>
      <c r="O42" s="417"/>
      <c r="P42" s="417"/>
      <c r="Q42" s="417"/>
      <c r="R42" s="417"/>
      <c r="S42" s="417"/>
      <c r="T42" s="417"/>
      <c r="U42" s="417"/>
      <c r="V42" s="417"/>
      <c r="W42" s="417"/>
      <c r="X42" s="417"/>
      <c r="Y42" s="417"/>
      <c r="Z42" s="417"/>
      <c r="AA42" s="417"/>
      <c r="AB42" s="417"/>
      <c r="AC42" s="417"/>
    </row>
    <row r="43" spans="1:29">
      <c r="A43" s="471"/>
      <c r="B43" s="471"/>
      <c r="C43" s="417"/>
      <c r="E43" s="417"/>
      <c r="F43" s="417"/>
      <c r="G43" s="417"/>
      <c r="H43" s="735"/>
      <c r="I43" s="417"/>
      <c r="J43" s="417"/>
      <c r="K43" s="417"/>
      <c r="L43" s="417"/>
      <c r="M43" s="417"/>
      <c r="N43" s="417"/>
      <c r="O43" s="417"/>
      <c r="P43" s="417"/>
      <c r="Q43" s="417"/>
      <c r="R43" s="417"/>
      <c r="S43" s="417"/>
      <c r="T43" s="417"/>
      <c r="U43" s="417"/>
      <c r="V43" s="417"/>
      <c r="W43" s="417"/>
      <c r="X43" s="417"/>
      <c r="Y43" s="417"/>
      <c r="Z43" s="417"/>
      <c r="AA43" s="417"/>
      <c r="AB43" s="417"/>
      <c r="AC43" s="417"/>
    </row>
    <row r="44" spans="1:29">
      <c r="A44" s="471"/>
      <c r="B44" s="471"/>
      <c r="C44" s="471"/>
      <c r="D44" s="417"/>
      <c r="E44" s="417"/>
      <c r="F44" s="417"/>
      <c r="G44" s="417"/>
      <c r="H44" s="735"/>
      <c r="I44" s="417"/>
      <c r="J44" s="417"/>
      <c r="K44" s="417"/>
      <c r="L44" s="417"/>
      <c r="M44" s="417"/>
      <c r="N44" s="417"/>
      <c r="O44" s="417"/>
      <c r="P44" s="417"/>
      <c r="Q44" s="417"/>
      <c r="R44" s="417"/>
      <c r="S44" s="417"/>
      <c r="T44" s="417"/>
      <c r="U44" s="417"/>
      <c r="V44" s="417"/>
      <c r="W44" s="417"/>
      <c r="X44" s="417"/>
      <c r="Y44" s="417"/>
      <c r="Z44" s="417"/>
      <c r="AA44" s="417"/>
      <c r="AB44" s="417"/>
      <c r="AC44" s="417"/>
    </row>
    <row r="45" spans="1:29">
      <c r="A45" s="471">
        <v>3</v>
      </c>
      <c r="B45" s="471" t="str">
        <f>+B27</f>
        <v>April</v>
      </c>
      <c r="C45" s="471" t="str">
        <f>+C27</f>
        <v>Year 2</v>
      </c>
      <c r="D45" s="728" t="str">
        <f>+D11</f>
        <v>TO adds weighted Cap Adds to plant in service in Formula</v>
      </c>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row>
    <row r="46" spans="1:29">
      <c r="A46" s="471"/>
      <c r="B46" s="471"/>
      <c r="C46" s="471"/>
      <c r="D46" s="738">
        <f>+H42</f>
        <v>7199118.2622542335</v>
      </c>
      <c r="E46" s="417" t="str">
        <f>"Input to Formula Line "&amp;'ATT H-2A'!A42</f>
        <v>Input to Formula Line 21</v>
      </c>
      <c r="F46" s="735"/>
      <c r="G46" s="471"/>
      <c r="H46" s="735"/>
      <c r="I46" s="417"/>
      <c r="J46" s="417"/>
      <c r="K46" s="417"/>
      <c r="L46" s="417"/>
      <c r="M46" s="417"/>
      <c r="N46" s="417"/>
      <c r="O46" s="417"/>
      <c r="P46" s="417"/>
      <c r="Q46" s="417"/>
      <c r="R46" s="417"/>
      <c r="S46" s="417"/>
      <c r="T46" s="417"/>
      <c r="U46" s="417"/>
      <c r="V46" s="417"/>
      <c r="W46" s="417"/>
      <c r="X46" s="417"/>
      <c r="Y46" s="417"/>
      <c r="Z46" s="417"/>
      <c r="AA46" s="417"/>
      <c r="AB46" s="417"/>
      <c r="AC46" s="417"/>
    </row>
    <row r="47" spans="1:29">
      <c r="A47" s="471"/>
      <c r="B47" s="471"/>
      <c r="C47" s="471"/>
      <c r="D47" s="738"/>
      <c r="E47" s="471"/>
      <c r="F47" s="735"/>
      <c r="G47" s="471"/>
      <c r="H47" s="735"/>
      <c r="I47" s="417"/>
      <c r="J47" s="417"/>
      <c r="K47" s="417"/>
      <c r="L47" s="417"/>
      <c r="M47" s="417"/>
      <c r="N47" s="417"/>
      <c r="O47" s="417"/>
      <c r="P47" s="417"/>
      <c r="Q47" s="417"/>
      <c r="R47" s="417"/>
      <c r="S47" s="417"/>
      <c r="T47" s="417"/>
      <c r="U47" s="417"/>
      <c r="V47" s="417"/>
      <c r="W47" s="417"/>
      <c r="X47" s="417"/>
      <c r="Y47" s="417"/>
      <c r="Z47" s="417"/>
      <c r="AA47" s="417"/>
      <c r="AB47" s="417"/>
      <c r="AC47" s="417"/>
    </row>
    <row r="48" spans="1:29">
      <c r="A48" s="471">
        <v>4</v>
      </c>
      <c r="B48" s="471" t="str">
        <f>+B12</f>
        <v>May</v>
      </c>
      <c r="C48" s="471" t="str">
        <f>+C45</f>
        <v>Year 2</v>
      </c>
      <c r="D48" s="417" t="s">
        <v>486</v>
      </c>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row>
    <row r="49" spans="1:29">
      <c r="A49" s="471"/>
      <c r="B49" s="471"/>
      <c r="C49" s="471"/>
      <c r="D49" s="739">
        <v>157344049</v>
      </c>
      <c r="F49" s="738"/>
      <c r="G49" s="733" t="s">
        <v>576</v>
      </c>
      <c r="H49" s="417"/>
      <c r="I49" s="417"/>
      <c r="J49" s="417"/>
      <c r="K49" s="417"/>
      <c r="L49" s="417"/>
      <c r="M49" s="417"/>
      <c r="N49" s="417"/>
      <c r="O49" s="417"/>
      <c r="P49" s="417"/>
      <c r="Q49" s="417"/>
      <c r="R49" s="417"/>
      <c r="S49" s="417"/>
      <c r="T49" s="417"/>
      <c r="U49" s="417"/>
      <c r="V49" s="417"/>
      <c r="W49" s="417"/>
      <c r="X49" s="417"/>
      <c r="Y49" s="417"/>
      <c r="Z49" s="417"/>
      <c r="AA49" s="417"/>
      <c r="AB49" s="417"/>
      <c r="AC49" s="417"/>
    </row>
    <row r="50" spans="1:29">
      <c r="A50" s="471"/>
      <c r="B50" s="471"/>
      <c r="C50" s="471"/>
      <c r="D50" s="740"/>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row>
    <row r="51" spans="1:29">
      <c r="A51" s="471">
        <f>+A13</f>
        <v>5</v>
      </c>
      <c r="B51" s="471" t="str">
        <f>+B13</f>
        <v>June</v>
      </c>
      <c r="C51" s="471" t="str">
        <f>+C13</f>
        <v>Year 2</v>
      </c>
      <c r="D51" s="741" t="str">
        <f>+D13</f>
        <v>Results of Step 3 go into effect for the Rate Year 1 (e.g., June 1, 2005 - May 31, 2006)</v>
      </c>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row>
    <row r="52" spans="1:29">
      <c r="A52" s="471"/>
      <c r="B52" s="471"/>
      <c r="C52" s="471"/>
      <c r="D52" s="738">
        <f>+D49</f>
        <v>157344049</v>
      </c>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row>
    <row r="53" spans="1:29">
      <c r="A53" s="533"/>
      <c r="B53" s="533"/>
      <c r="C53" s="533"/>
      <c r="D53" s="742"/>
      <c r="E53" s="742"/>
      <c r="F53" s="742"/>
      <c r="G53" s="742"/>
      <c r="H53" s="742"/>
      <c r="I53" s="742"/>
      <c r="J53" s="742"/>
      <c r="K53" s="742"/>
      <c r="L53" s="417"/>
      <c r="M53" s="417"/>
      <c r="N53" s="417"/>
      <c r="O53" s="417"/>
      <c r="P53" s="417"/>
      <c r="Q53" s="417"/>
      <c r="R53" s="417"/>
      <c r="S53" s="417"/>
      <c r="T53" s="417"/>
      <c r="U53" s="417"/>
      <c r="V53" s="417"/>
      <c r="W53" s="417"/>
      <c r="X53" s="417"/>
      <c r="Y53" s="417"/>
      <c r="Z53" s="417"/>
      <c r="AA53" s="417"/>
      <c r="AB53" s="417"/>
      <c r="AC53" s="417"/>
    </row>
    <row r="54" spans="1:29" ht="15">
      <c r="A54" s="533"/>
      <c r="B54" s="533"/>
      <c r="C54" s="533"/>
      <c r="D54" s="742"/>
      <c r="E54" s="742"/>
      <c r="F54" s="742"/>
      <c r="G54" s="742"/>
      <c r="H54" s="742"/>
      <c r="I54" s="742"/>
      <c r="J54" s="743"/>
      <c r="K54" s="742"/>
      <c r="L54" s="417"/>
      <c r="M54" s="417"/>
      <c r="N54" s="417"/>
      <c r="O54" s="417"/>
      <c r="P54" s="417"/>
      <c r="Q54" s="417"/>
      <c r="R54" s="417"/>
      <c r="S54" s="417"/>
      <c r="T54" s="417"/>
      <c r="U54" s="417"/>
      <c r="V54" s="417"/>
      <c r="W54" s="417"/>
      <c r="X54" s="417"/>
      <c r="Y54" s="417"/>
      <c r="Z54" s="417"/>
      <c r="AA54" s="417"/>
      <c r="AB54" s="417"/>
      <c r="AC54" s="417"/>
    </row>
    <row r="55" spans="1:29" ht="15">
      <c r="A55" s="534"/>
      <c r="B55" s="534"/>
      <c r="C55" s="534"/>
      <c r="D55" s="744"/>
      <c r="E55" s="742"/>
      <c r="F55" s="742"/>
      <c r="G55" s="742"/>
      <c r="H55" s="742"/>
      <c r="I55" s="742"/>
      <c r="J55" s="743"/>
      <c r="K55" s="742"/>
      <c r="L55" s="417"/>
      <c r="M55" s="417"/>
      <c r="N55" s="417"/>
      <c r="O55" s="417"/>
      <c r="P55" s="417"/>
      <c r="Q55" s="417"/>
      <c r="R55" s="417"/>
      <c r="S55" s="417"/>
      <c r="T55" s="417"/>
      <c r="U55" s="417"/>
      <c r="V55" s="417"/>
      <c r="W55" s="417"/>
      <c r="X55" s="417"/>
      <c r="Y55" s="417"/>
      <c r="Z55" s="417"/>
      <c r="AA55" s="417"/>
      <c r="AB55" s="417"/>
      <c r="AC55" s="417"/>
    </row>
    <row r="56" spans="1:29">
      <c r="A56" s="471">
        <f>+A15</f>
        <v>6</v>
      </c>
      <c r="B56" s="471" t="str">
        <f>+B15</f>
        <v>April</v>
      </c>
      <c r="C56" s="471" t="str">
        <f>+C15</f>
        <v>Year 3</v>
      </c>
      <c r="D56" s="728" t="str">
        <f>+D15</f>
        <v>TO populates the formula with Year 2 data from FERC Form 1 for Year 2 (e.g, 2005)</v>
      </c>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row>
    <row r="57" spans="1:29">
      <c r="A57" s="728"/>
      <c r="B57" s="471"/>
      <c r="C57" s="532"/>
      <c r="D57" s="739">
        <v>165214915</v>
      </c>
      <c r="E57" s="417" t="s">
        <v>153</v>
      </c>
      <c r="F57" s="417"/>
      <c r="G57" s="733" t="s">
        <v>565</v>
      </c>
      <c r="H57" s="417"/>
      <c r="I57" s="417"/>
      <c r="K57" s="417"/>
      <c r="L57" s="417"/>
      <c r="M57" s="417"/>
      <c r="N57" s="417"/>
      <c r="O57" s="417"/>
      <c r="P57" s="417"/>
      <c r="Q57" s="417"/>
      <c r="R57" s="417"/>
      <c r="S57" s="417"/>
      <c r="T57" s="417"/>
      <c r="U57" s="417"/>
      <c r="V57" s="417"/>
      <c r="W57" s="417"/>
      <c r="X57" s="417"/>
      <c r="Y57" s="417"/>
      <c r="Z57" s="417"/>
      <c r="AA57" s="417"/>
      <c r="AB57" s="417"/>
      <c r="AC57" s="417"/>
    </row>
    <row r="58" spans="1:29">
      <c r="A58" s="471"/>
      <c r="B58" s="471"/>
      <c r="C58" s="471"/>
      <c r="D58" s="745"/>
      <c r="E58" s="754"/>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row>
    <row r="59" spans="1:29">
      <c r="A59" s="471"/>
      <c r="B59" s="471"/>
      <c r="C59" s="471"/>
      <c r="D59" s="746"/>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row>
    <row r="60" spans="1:29">
      <c r="A60" s="471">
        <f>+A16</f>
        <v>7</v>
      </c>
      <c r="B60" s="471" t="str">
        <f>+B16</f>
        <v>April</v>
      </c>
      <c r="C60" s="471" t="str">
        <f>+C16</f>
        <v>Year 3</v>
      </c>
      <c r="D60" s="728" t="str">
        <f>+D16</f>
        <v>TO estimates Cap Adds during Year 3 weighted based on Months expected to be in service in Year 3 (e.g., 2006)</v>
      </c>
      <c r="E60" s="417"/>
      <c r="F60" s="417"/>
      <c r="G60" s="417"/>
      <c r="H60" s="417"/>
      <c r="I60" s="417"/>
      <c r="K60" s="417"/>
      <c r="L60" s="417"/>
      <c r="M60" s="417"/>
      <c r="N60" s="417"/>
      <c r="O60" s="417"/>
      <c r="P60" s="417"/>
      <c r="Q60" s="417"/>
      <c r="R60" s="417"/>
      <c r="S60" s="417"/>
      <c r="T60" s="417"/>
      <c r="U60" s="417"/>
      <c r="V60" s="417"/>
      <c r="W60" s="417"/>
      <c r="X60" s="417"/>
      <c r="Y60" s="417"/>
      <c r="Z60" s="417"/>
      <c r="AA60" s="417"/>
      <c r="AB60" s="417"/>
      <c r="AC60" s="417"/>
    </row>
    <row r="61" spans="1:29">
      <c r="A61" s="471"/>
      <c r="B61" s="471"/>
      <c r="C61" s="471"/>
      <c r="D61" s="417"/>
      <c r="E61" s="471" t="s">
        <v>526</v>
      </c>
      <c r="F61" s="471" t="s">
        <v>473</v>
      </c>
      <c r="G61" s="471" t="s">
        <v>330</v>
      </c>
      <c r="H61" s="471" t="s">
        <v>474</v>
      </c>
      <c r="I61" s="417"/>
      <c r="J61" s="417"/>
      <c r="K61" s="754"/>
      <c r="L61" s="417"/>
      <c r="M61" s="417"/>
      <c r="N61" s="417"/>
      <c r="O61" s="417"/>
      <c r="P61" s="417"/>
      <c r="Q61" s="417"/>
      <c r="R61" s="417"/>
      <c r="S61" s="417"/>
      <c r="T61" s="417"/>
      <c r="U61" s="417"/>
      <c r="V61" s="417"/>
      <c r="W61" s="417"/>
      <c r="X61" s="417"/>
      <c r="Y61" s="417"/>
      <c r="Z61" s="417"/>
      <c r="AA61" s="417"/>
      <c r="AB61" s="417"/>
      <c r="AC61" s="417"/>
    </row>
    <row r="62" spans="1:29">
      <c r="A62" s="728"/>
      <c r="B62" s="471"/>
      <c r="C62" s="471"/>
      <c r="D62" s="417" t="s">
        <v>475</v>
      </c>
      <c r="E62" s="737">
        <v>1514354.7100000002</v>
      </c>
      <c r="F62" s="417">
        <v>11.5</v>
      </c>
      <c r="G62" s="735">
        <f t="shared" ref="G62:G73" si="3">+F62*E62</f>
        <v>17415079.165000003</v>
      </c>
      <c r="H62" s="731">
        <f t="shared" ref="H62:H73" si="4">+G62/12</f>
        <v>1451256.5970833336</v>
      </c>
      <c r="I62" s="417"/>
      <c r="J62" s="417"/>
      <c r="K62" s="754"/>
      <c r="L62" s="417"/>
      <c r="M62" s="417"/>
      <c r="N62" s="417"/>
      <c r="O62" s="417"/>
      <c r="P62" s="417"/>
      <c r="Q62" s="417"/>
      <c r="R62" s="417"/>
      <c r="S62" s="417"/>
      <c r="T62" s="417"/>
      <c r="U62" s="417"/>
      <c r="V62" s="417"/>
      <c r="W62" s="417"/>
      <c r="X62" s="417"/>
      <c r="Y62" s="417"/>
      <c r="Z62" s="417"/>
      <c r="AA62" s="417"/>
      <c r="AB62" s="417"/>
      <c r="AC62" s="417"/>
    </row>
    <row r="63" spans="1:29">
      <c r="A63" s="471"/>
      <c r="B63" s="471"/>
      <c r="C63" s="471"/>
      <c r="D63" s="417" t="s">
        <v>476</v>
      </c>
      <c r="E63" s="737">
        <v>13526491.92</v>
      </c>
      <c r="F63" s="417">
        <f t="shared" ref="F63:F73" si="5">+F62-1</f>
        <v>10.5</v>
      </c>
      <c r="G63" s="735">
        <f t="shared" si="3"/>
        <v>142028165.16</v>
      </c>
      <c r="H63" s="731">
        <f t="shared" si="4"/>
        <v>11835680.43</v>
      </c>
      <c r="I63" s="417"/>
      <c r="J63" s="417"/>
      <c r="K63" s="754"/>
      <c r="L63" s="417"/>
      <c r="M63" s="417"/>
      <c r="N63" s="417"/>
      <c r="O63" s="417"/>
      <c r="P63" s="417"/>
      <c r="Q63" s="417"/>
      <c r="R63" s="417"/>
      <c r="S63" s="417"/>
      <c r="T63" s="417"/>
      <c r="U63" s="417"/>
      <c r="V63" s="417"/>
      <c r="W63" s="417"/>
      <c r="X63" s="417"/>
      <c r="Y63" s="417"/>
      <c r="Z63" s="417"/>
      <c r="AA63" s="417"/>
      <c r="AB63" s="417"/>
      <c r="AC63" s="417"/>
    </row>
    <row r="64" spans="1:29">
      <c r="A64" s="471"/>
      <c r="B64" s="471"/>
      <c r="C64" s="471"/>
      <c r="D64" s="417" t="s">
        <v>477</v>
      </c>
      <c r="E64" s="737">
        <v>718112.51</v>
      </c>
      <c r="F64" s="417">
        <f t="shared" si="5"/>
        <v>9.5</v>
      </c>
      <c r="G64" s="735">
        <f t="shared" si="3"/>
        <v>6822068.8449999997</v>
      </c>
      <c r="H64" s="731">
        <f t="shared" si="4"/>
        <v>568505.73708333331</v>
      </c>
      <c r="I64" s="417"/>
      <c r="J64" s="417"/>
      <c r="K64" s="754"/>
      <c r="L64" s="417"/>
      <c r="M64" s="417"/>
      <c r="N64" s="417"/>
      <c r="O64" s="417"/>
      <c r="P64" s="417"/>
      <c r="Q64" s="417"/>
      <c r="R64" s="417"/>
      <c r="S64" s="417"/>
      <c r="T64" s="417"/>
      <c r="U64" s="417"/>
      <c r="V64" s="417"/>
      <c r="W64" s="417"/>
      <c r="X64" s="417"/>
      <c r="Y64" s="417"/>
      <c r="Z64" s="417"/>
      <c r="AA64" s="417"/>
      <c r="AB64" s="417"/>
      <c r="AC64" s="417"/>
    </row>
    <row r="65" spans="1:29">
      <c r="A65" s="471"/>
      <c r="B65" s="471"/>
      <c r="C65" s="471"/>
      <c r="D65" s="417" t="s">
        <v>478</v>
      </c>
      <c r="E65" s="737">
        <v>11101605.084582001</v>
      </c>
      <c r="F65" s="417">
        <f t="shared" si="5"/>
        <v>8.5</v>
      </c>
      <c r="G65" s="735">
        <f t="shared" si="3"/>
        <v>94363643.218947008</v>
      </c>
      <c r="H65" s="731">
        <f t="shared" si="4"/>
        <v>7863636.9349122504</v>
      </c>
      <c r="I65" s="417"/>
      <c r="J65" s="417"/>
      <c r="K65" s="754"/>
      <c r="L65" s="417"/>
      <c r="M65" s="417"/>
      <c r="N65" s="417"/>
      <c r="O65" s="417"/>
      <c r="P65" s="417"/>
      <c r="Q65" s="417"/>
      <c r="R65" s="417"/>
      <c r="S65" s="417"/>
      <c r="T65" s="417"/>
      <c r="U65" s="417"/>
      <c r="V65" s="417"/>
      <c r="W65" s="417"/>
      <c r="X65" s="417"/>
      <c r="Y65" s="417"/>
      <c r="Z65" s="417"/>
      <c r="AA65" s="417"/>
      <c r="AB65" s="417"/>
      <c r="AC65" s="417"/>
    </row>
    <row r="66" spans="1:29">
      <c r="A66" s="471"/>
      <c r="B66" s="471"/>
      <c r="C66" s="471"/>
      <c r="D66" s="417" t="s">
        <v>471</v>
      </c>
      <c r="E66" s="737">
        <v>875470.4700000002</v>
      </c>
      <c r="F66" s="417">
        <f t="shared" si="5"/>
        <v>7.5</v>
      </c>
      <c r="G66" s="735">
        <f t="shared" si="3"/>
        <v>6566028.5250000013</v>
      </c>
      <c r="H66" s="731">
        <f t="shared" si="4"/>
        <v>547169.04375000007</v>
      </c>
      <c r="I66" s="417"/>
      <c r="J66" s="417"/>
      <c r="K66" s="754"/>
      <c r="L66" s="417"/>
      <c r="M66" s="417"/>
      <c r="N66" s="417"/>
      <c r="O66" s="417"/>
      <c r="P66" s="417"/>
      <c r="Q66" s="417"/>
      <c r="R66" s="417"/>
      <c r="S66" s="417"/>
      <c r="T66" s="417"/>
      <c r="U66" s="417"/>
      <c r="V66" s="417"/>
      <c r="W66" s="417"/>
      <c r="X66" s="417"/>
      <c r="Y66" s="417"/>
      <c r="Z66" s="417"/>
      <c r="AA66" s="417"/>
      <c r="AB66" s="417"/>
      <c r="AC66" s="417"/>
    </row>
    <row r="67" spans="1:29">
      <c r="A67" s="471"/>
      <c r="B67" s="471"/>
      <c r="C67" s="471"/>
      <c r="D67" s="417" t="s">
        <v>479</v>
      </c>
      <c r="E67" s="737">
        <v>8428039.8095612489</v>
      </c>
      <c r="F67" s="417">
        <f t="shared" si="5"/>
        <v>6.5</v>
      </c>
      <c r="G67" s="735">
        <f t="shared" si="3"/>
        <v>54782258.76214812</v>
      </c>
      <c r="H67" s="731">
        <f t="shared" si="4"/>
        <v>4565188.23017901</v>
      </c>
      <c r="I67" s="417"/>
      <c r="J67" s="417"/>
      <c r="K67" s="754"/>
      <c r="L67" s="417"/>
      <c r="M67" s="417"/>
      <c r="N67" s="417"/>
      <c r="O67" s="417"/>
      <c r="P67" s="417"/>
      <c r="Q67" s="417"/>
      <c r="R67" s="417"/>
      <c r="S67" s="417"/>
      <c r="T67" s="417"/>
      <c r="U67" s="417"/>
      <c r="V67" s="417"/>
      <c r="W67" s="417"/>
      <c r="X67" s="417"/>
      <c r="Y67" s="417"/>
      <c r="Z67" s="417"/>
      <c r="AA67" s="417"/>
      <c r="AB67" s="417"/>
      <c r="AC67" s="417"/>
    </row>
    <row r="68" spans="1:29">
      <c r="A68" s="471"/>
      <c r="B68" s="471"/>
      <c r="C68" s="471"/>
      <c r="D68" s="417" t="s">
        <v>480</v>
      </c>
      <c r="E68" s="737">
        <v>34383.920000000042</v>
      </c>
      <c r="F68" s="417">
        <f t="shared" si="5"/>
        <v>5.5</v>
      </c>
      <c r="G68" s="735">
        <f t="shared" si="3"/>
        <v>189111.56000000023</v>
      </c>
      <c r="H68" s="731">
        <f t="shared" si="4"/>
        <v>15759.296666666685</v>
      </c>
      <c r="I68" s="417"/>
      <c r="J68" s="417"/>
      <c r="K68" s="754"/>
      <c r="L68" s="417"/>
      <c r="M68" s="417"/>
      <c r="N68" s="417"/>
      <c r="O68" s="417"/>
      <c r="P68" s="417"/>
      <c r="Q68" s="417"/>
      <c r="R68" s="417"/>
      <c r="S68" s="417"/>
      <c r="T68" s="417"/>
      <c r="U68" s="417"/>
      <c r="V68" s="417"/>
      <c r="W68" s="417"/>
      <c r="X68" s="417"/>
      <c r="Y68" s="417"/>
      <c r="Z68" s="417"/>
      <c r="AA68" s="417"/>
      <c r="AB68" s="417"/>
      <c r="AC68" s="417"/>
    </row>
    <row r="69" spans="1:29">
      <c r="A69" s="471"/>
      <c r="B69" s="471"/>
      <c r="C69" s="471"/>
      <c r="D69" s="417" t="s">
        <v>481</v>
      </c>
      <c r="E69" s="737">
        <v>2805152.96</v>
      </c>
      <c r="F69" s="417">
        <f t="shared" si="5"/>
        <v>4.5</v>
      </c>
      <c r="G69" s="735">
        <f t="shared" si="3"/>
        <v>12623188.32</v>
      </c>
      <c r="H69" s="731">
        <f t="shared" si="4"/>
        <v>1051932.3600000001</v>
      </c>
      <c r="I69" s="417"/>
      <c r="J69" s="417"/>
      <c r="K69" s="754"/>
      <c r="L69" s="417"/>
      <c r="M69" s="417"/>
      <c r="N69" s="417"/>
      <c r="O69" s="417"/>
      <c r="P69" s="417"/>
      <c r="Q69" s="417"/>
      <c r="R69" s="417"/>
      <c r="S69" s="417"/>
      <c r="T69" s="417"/>
      <c r="U69" s="417"/>
      <c r="V69" s="417"/>
      <c r="W69" s="417"/>
      <c r="X69" s="417"/>
      <c r="Y69" s="417"/>
      <c r="Z69" s="417"/>
      <c r="AA69" s="417"/>
      <c r="AB69" s="417"/>
      <c r="AC69" s="417"/>
    </row>
    <row r="70" spans="1:29">
      <c r="A70" s="471"/>
      <c r="B70" s="471"/>
      <c r="C70" s="471"/>
      <c r="D70" s="417" t="s">
        <v>482</v>
      </c>
      <c r="E70" s="737">
        <v>231341.44999999995</v>
      </c>
      <c r="F70" s="417">
        <f t="shared" si="5"/>
        <v>3.5</v>
      </c>
      <c r="G70" s="735">
        <f t="shared" si="3"/>
        <v>809695.07499999984</v>
      </c>
      <c r="H70" s="731">
        <f t="shared" si="4"/>
        <v>67474.58958333332</v>
      </c>
      <c r="I70" s="417"/>
      <c r="J70" s="417"/>
      <c r="K70" s="754"/>
      <c r="L70" s="417"/>
      <c r="M70" s="417"/>
      <c r="N70" s="417"/>
      <c r="O70" s="417"/>
      <c r="P70" s="417"/>
      <c r="Q70" s="417"/>
      <c r="R70" s="417"/>
      <c r="S70" s="417"/>
      <c r="T70" s="417"/>
      <c r="U70" s="417"/>
      <c r="V70" s="417"/>
      <c r="W70" s="417"/>
      <c r="X70" s="417"/>
      <c r="Y70" s="417"/>
      <c r="Z70" s="417"/>
      <c r="AA70" s="417"/>
      <c r="AB70" s="417"/>
      <c r="AC70" s="417"/>
    </row>
    <row r="71" spans="1:29">
      <c r="A71" s="471"/>
      <c r="B71" s="471"/>
      <c r="C71" s="471"/>
      <c r="D71" s="417" t="s">
        <v>483</v>
      </c>
      <c r="E71" s="737">
        <v>642404.90999999992</v>
      </c>
      <c r="F71" s="417">
        <f t="shared" si="5"/>
        <v>2.5</v>
      </c>
      <c r="G71" s="735">
        <f t="shared" si="3"/>
        <v>1606012.2749999999</v>
      </c>
      <c r="H71" s="731">
        <f t="shared" si="4"/>
        <v>133834.35624999998</v>
      </c>
      <c r="I71" s="417"/>
      <c r="J71" s="417"/>
      <c r="K71" s="754"/>
      <c r="L71" s="417"/>
      <c r="M71" s="417"/>
      <c r="N71" s="417"/>
      <c r="O71" s="417"/>
      <c r="P71" s="417"/>
      <c r="Q71" s="417"/>
      <c r="R71" s="417"/>
      <c r="S71" s="417"/>
      <c r="T71" s="417"/>
      <c r="U71" s="417"/>
      <c r="V71" s="417"/>
      <c r="W71" s="417"/>
      <c r="X71" s="417"/>
      <c r="Y71" s="417"/>
      <c r="Z71" s="417"/>
      <c r="AA71" s="417"/>
      <c r="AB71" s="417"/>
      <c r="AC71" s="417"/>
    </row>
    <row r="72" spans="1:29">
      <c r="A72" s="471"/>
      <c r="B72" s="471"/>
      <c r="C72" s="471"/>
      <c r="D72" s="417" t="s">
        <v>484</v>
      </c>
      <c r="E72" s="737">
        <v>100486.62</v>
      </c>
      <c r="F72" s="417">
        <f t="shared" si="5"/>
        <v>1.5</v>
      </c>
      <c r="G72" s="735">
        <f t="shared" si="3"/>
        <v>150729.93</v>
      </c>
      <c r="H72" s="731">
        <f t="shared" si="4"/>
        <v>12560.827499999999</v>
      </c>
      <c r="I72" s="417"/>
      <c r="J72" s="417"/>
      <c r="K72" s="754"/>
      <c r="L72" s="417"/>
      <c r="M72" s="417"/>
      <c r="N72" s="417"/>
      <c r="O72" s="417"/>
      <c r="P72" s="417"/>
      <c r="Q72" s="417"/>
      <c r="R72" s="417"/>
      <c r="S72" s="417"/>
      <c r="T72" s="417"/>
      <c r="U72" s="417"/>
      <c r="V72" s="417"/>
      <c r="W72" s="417"/>
      <c r="X72" s="417"/>
      <c r="Y72" s="417"/>
      <c r="Z72" s="417"/>
      <c r="AA72" s="417"/>
      <c r="AB72" s="417"/>
      <c r="AC72" s="417"/>
    </row>
    <row r="73" spans="1:29">
      <c r="A73" s="471"/>
      <c r="B73" s="471"/>
      <c r="C73" s="471"/>
      <c r="D73" s="417" t="s">
        <v>485</v>
      </c>
      <c r="E73" s="747">
        <v>6356200.2667716462</v>
      </c>
      <c r="F73" s="417">
        <f t="shared" si="5"/>
        <v>0.5</v>
      </c>
      <c r="G73" s="735">
        <f t="shared" si="3"/>
        <v>3178100.1333858231</v>
      </c>
      <c r="H73" s="731">
        <f t="shared" si="4"/>
        <v>264841.67778215191</v>
      </c>
      <c r="I73" s="417"/>
      <c r="J73" s="417"/>
      <c r="K73" s="754"/>
      <c r="L73" s="417"/>
      <c r="M73" s="417"/>
      <c r="N73" s="417"/>
      <c r="O73" s="417"/>
      <c r="P73" s="417"/>
      <c r="Q73" s="417"/>
      <c r="R73" s="417"/>
      <c r="S73" s="417"/>
      <c r="T73" s="417"/>
      <c r="U73" s="417"/>
      <c r="V73" s="417"/>
      <c r="W73" s="417"/>
      <c r="X73" s="417"/>
      <c r="Y73" s="417"/>
      <c r="Z73" s="417"/>
      <c r="AA73" s="417"/>
      <c r="AB73" s="417"/>
      <c r="AC73" s="417"/>
    </row>
    <row r="74" spans="1:29">
      <c r="A74" s="471"/>
      <c r="B74" s="471"/>
      <c r="C74" s="471"/>
      <c r="D74" s="417" t="s">
        <v>222</v>
      </c>
      <c r="E74" s="735">
        <f>SUM(E62:E73)</f>
        <v>46334044.630914897</v>
      </c>
      <c r="F74" s="417"/>
      <c r="G74" s="735">
        <f>SUM(G62:G73)</f>
        <v>340534080.96948093</v>
      </c>
      <c r="H74" s="731">
        <f>SUM(H62:H73)</f>
        <v>28377840.080790076</v>
      </c>
      <c r="I74" s="417"/>
      <c r="J74" s="417"/>
      <c r="K74" s="754"/>
      <c r="L74" s="417"/>
      <c r="M74" s="417"/>
      <c r="N74" s="417"/>
      <c r="O74" s="417"/>
      <c r="P74" s="417"/>
      <c r="Q74" s="417"/>
      <c r="R74" s="417"/>
      <c r="S74" s="417"/>
      <c r="T74" s="417"/>
      <c r="U74" s="417"/>
      <c r="V74" s="417"/>
      <c r="W74" s="417"/>
      <c r="X74" s="417"/>
      <c r="Y74" s="417"/>
      <c r="Z74" s="417"/>
      <c r="AA74" s="417"/>
      <c r="AB74" s="417"/>
      <c r="AC74" s="417"/>
    </row>
    <row r="75" spans="1:29">
      <c r="A75" s="471"/>
      <c r="B75" s="471"/>
      <c r="D75" s="417" t="s">
        <v>155</v>
      </c>
      <c r="E75" s="417"/>
      <c r="F75" s="417"/>
      <c r="G75" s="417"/>
      <c r="H75" s="737">
        <f>+H74</f>
        <v>28377840.080790076</v>
      </c>
      <c r="I75" s="417" t="str">
        <f>+E46</f>
        <v>Input to Formula Line 21</v>
      </c>
      <c r="J75" s="417"/>
      <c r="K75" s="754"/>
      <c r="L75" s="417"/>
      <c r="M75" s="417"/>
      <c r="N75" s="417"/>
      <c r="O75" s="417"/>
      <c r="P75" s="417"/>
      <c r="Q75" s="417"/>
      <c r="R75" s="417"/>
      <c r="S75" s="417"/>
      <c r="T75" s="417"/>
      <c r="U75" s="417"/>
      <c r="V75" s="417"/>
      <c r="W75" s="417"/>
      <c r="X75" s="417"/>
      <c r="Y75" s="417"/>
      <c r="Z75" s="417"/>
      <c r="AA75" s="417"/>
      <c r="AB75" s="417"/>
      <c r="AC75" s="417"/>
    </row>
    <row r="76" spans="1:29">
      <c r="A76" s="471"/>
      <c r="B76" s="471"/>
      <c r="D76" s="417"/>
      <c r="E76" s="417"/>
      <c r="F76" s="417"/>
      <c r="G76" s="417"/>
      <c r="H76" s="748"/>
      <c r="I76" s="417"/>
      <c r="J76" s="417"/>
      <c r="K76" s="417"/>
      <c r="L76" s="417"/>
      <c r="M76" s="417"/>
      <c r="N76" s="417"/>
      <c r="O76" s="417"/>
      <c r="P76" s="417"/>
      <c r="Q76" s="417"/>
      <c r="R76" s="417"/>
      <c r="S76" s="417"/>
      <c r="T76" s="417"/>
      <c r="U76" s="417"/>
      <c r="V76" s="417"/>
      <c r="W76" s="417"/>
      <c r="X76" s="417"/>
      <c r="Y76" s="417"/>
      <c r="Z76" s="417"/>
      <c r="AA76" s="417"/>
      <c r="AB76" s="417"/>
      <c r="AC76" s="417"/>
    </row>
    <row r="77" spans="1:29">
      <c r="A77" s="471"/>
      <c r="B77" s="471"/>
      <c r="C77" s="471"/>
      <c r="D77" s="417"/>
      <c r="E77" s="417"/>
      <c r="F77" s="417"/>
      <c r="G77" s="417"/>
      <c r="H77" s="735"/>
      <c r="I77" s="417"/>
      <c r="J77" s="417"/>
      <c r="K77" s="417"/>
      <c r="L77" s="417"/>
      <c r="M77" s="417"/>
      <c r="N77" s="417"/>
      <c r="O77" s="417"/>
      <c r="P77" s="417"/>
      <c r="Q77" s="417"/>
      <c r="R77" s="417"/>
      <c r="S77" s="417"/>
      <c r="T77" s="417"/>
      <c r="U77" s="417"/>
      <c r="V77" s="417"/>
      <c r="W77" s="417"/>
      <c r="X77" s="417"/>
      <c r="Y77" s="417"/>
      <c r="Z77" s="417"/>
      <c r="AA77" s="417"/>
      <c r="AB77" s="417"/>
      <c r="AC77" s="417"/>
    </row>
    <row r="78" spans="1:29" ht="26.25" customHeight="1">
      <c r="A78" s="530">
        <f>+A17</f>
        <v>8</v>
      </c>
      <c r="B78" s="530" t="str">
        <f>+B17</f>
        <v>April</v>
      </c>
      <c r="C78" s="530" t="str">
        <f>+C17</f>
        <v>Year 3</v>
      </c>
      <c r="D78" s="1132" t="str">
        <f>+D17</f>
        <v>Reconciliation - TO calculates Reconciliation by removing from Year 2 data - the total Cap Adds placed in service in Year 2 and adding weighted average in Year 2 actual Cap Adds in Reconciliation</v>
      </c>
      <c r="E78" s="1132"/>
      <c r="F78" s="1132"/>
      <c r="G78" s="1132"/>
      <c r="H78" s="1132"/>
      <c r="I78" s="554"/>
      <c r="J78" s="554"/>
      <c r="K78" s="417"/>
      <c r="L78" s="417"/>
      <c r="M78" s="417"/>
      <c r="N78" s="417"/>
      <c r="O78" s="417"/>
      <c r="P78" s="417"/>
      <c r="Q78" s="417"/>
      <c r="R78" s="417"/>
      <c r="S78" s="417"/>
      <c r="T78" s="417"/>
      <c r="U78" s="417"/>
      <c r="V78" s="417"/>
      <c r="W78" s="417"/>
      <c r="X78" s="417"/>
      <c r="Y78" s="417"/>
      <c r="Z78" s="417"/>
      <c r="AA78" s="417"/>
      <c r="AB78" s="417"/>
      <c r="AC78" s="417"/>
    </row>
    <row r="79" spans="1:29">
      <c r="A79" s="471"/>
      <c r="B79" s="471"/>
      <c r="C79" s="471"/>
      <c r="D79" s="554"/>
      <c r="E79" s="554"/>
      <c r="F79" s="554"/>
      <c r="G79" s="554"/>
      <c r="H79" s="554"/>
      <c r="I79" s="554"/>
      <c r="J79" s="554"/>
      <c r="K79" s="417"/>
      <c r="L79" s="417"/>
      <c r="M79" s="417"/>
      <c r="N79" s="417"/>
      <c r="O79" s="417"/>
      <c r="P79" s="417"/>
      <c r="Q79" s="417"/>
      <c r="R79" s="417"/>
      <c r="S79" s="417"/>
      <c r="T79" s="417"/>
      <c r="U79" s="417"/>
      <c r="V79" s="417"/>
      <c r="W79" s="417"/>
      <c r="X79" s="417"/>
      <c r="Y79" s="417"/>
      <c r="Z79" s="417"/>
      <c r="AA79" s="417"/>
      <c r="AB79" s="417"/>
      <c r="AC79" s="417"/>
    </row>
    <row r="80" spans="1:29">
      <c r="A80" s="471"/>
      <c r="B80" s="471"/>
      <c r="C80" s="471"/>
      <c r="D80" s="417" t="s">
        <v>566</v>
      </c>
      <c r="E80" s="558"/>
      <c r="F80" s="558"/>
      <c r="G80" s="558"/>
      <c r="H80" s="558"/>
      <c r="I80" s="558"/>
      <c r="J80" s="558"/>
      <c r="K80" s="417"/>
      <c r="L80" s="417"/>
      <c r="M80" s="417"/>
      <c r="N80" s="417"/>
      <c r="O80" s="417"/>
      <c r="P80" s="417"/>
      <c r="Q80" s="417"/>
      <c r="R80" s="417"/>
      <c r="S80" s="417"/>
      <c r="T80" s="417"/>
      <c r="U80" s="417"/>
      <c r="V80" s="417"/>
      <c r="W80" s="417"/>
      <c r="X80" s="417"/>
      <c r="Y80" s="417"/>
      <c r="Z80" s="417"/>
      <c r="AA80" s="417"/>
      <c r="AB80" s="417"/>
      <c r="AC80" s="417"/>
    </row>
    <row r="81" spans="1:29">
      <c r="A81" s="471"/>
      <c r="B81" s="471"/>
      <c r="C81" s="471"/>
      <c r="D81" s="417" t="s">
        <v>568</v>
      </c>
      <c r="E81" s="417"/>
      <c r="F81" s="417"/>
      <c r="G81" s="417"/>
      <c r="H81" s="749">
        <f>+E97</f>
        <v>46012431.159999937</v>
      </c>
      <c r="I81" s="417" t="str">
        <f>"Input to Formula Line "&amp;'ATT H-2A'!A41</f>
        <v>Input to Formula Line 20</v>
      </c>
      <c r="J81" s="417"/>
      <c r="K81" s="417"/>
      <c r="L81" s="417"/>
      <c r="M81" s="417"/>
      <c r="N81" s="417"/>
      <c r="O81" s="417"/>
      <c r="P81" s="417"/>
      <c r="Q81" s="417"/>
      <c r="R81" s="417"/>
      <c r="S81" s="417"/>
      <c r="T81" s="417"/>
      <c r="U81" s="417"/>
      <c r="V81" s="417"/>
      <c r="W81" s="417"/>
      <c r="X81" s="417"/>
      <c r="Y81" s="417"/>
      <c r="Z81" s="417"/>
      <c r="AA81" s="417"/>
      <c r="AB81" s="417"/>
      <c r="AC81" s="417"/>
    </row>
    <row r="82" spans="1:29">
      <c r="A82" s="471"/>
      <c r="B82" s="471"/>
      <c r="C82" s="471"/>
      <c r="D82" s="745"/>
      <c r="E82" s="417"/>
      <c r="F82" s="417"/>
      <c r="G82" s="417"/>
      <c r="H82" s="417"/>
      <c r="I82" s="417"/>
      <c r="J82" s="417"/>
      <c r="K82" s="417"/>
      <c r="L82" s="417"/>
      <c r="M82" s="417"/>
      <c r="N82" s="417"/>
      <c r="O82" s="417"/>
      <c r="P82" s="417"/>
      <c r="Q82" s="417"/>
      <c r="R82" s="417"/>
      <c r="S82" s="417"/>
      <c r="T82" s="417"/>
      <c r="U82" s="417"/>
      <c r="V82" s="417"/>
      <c r="W82" s="417"/>
      <c r="X82" s="417"/>
      <c r="Y82" s="417"/>
      <c r="Z82" s="417"/>
      <c r="AA82" s="417"/>
      <c r="AB82" s="417"/>
      <c r="AC82" s="417"/>
    </row>
    <row r="83" spans="1:29">
      <c r="A83" s="471"/>
      <c r="B83" s="471"/>
      <c r="C83" s="471"/>
      <c r="D83" s="750" t="s">
        <v>567</v>
      </c>
      <c r="E83" s="417"/>
      <c r="F83" s="417"/>
      <c r="G83" s="417"/>
      <c r="H83" s="417"/>
      <c r="I83" s="417"/>
      <c r="J83" s="417"/>
      <c r="K83" s="417"/>
      <c r="L83" s="417"/>
      <c r="M83" s="417"/>
      <c r="N83" s="417"/>
      <c r="O83" s="417"/>
      <c r="P83" s="417"/>
      <c r="Q83" s="417"/>
      <c r="R83" s="417"/>
      <c r="S83" s="417"/>
      <c r="T83" s="417"/>
      <c r="U83" s="417"/>
      <c r="V83" s="417"/>
      <c r="W83" s="417"/>
      <c r="X83" s="417"/>
      <c r="Y83" s="417"/>
      <c r="Z83" s="417"/>
      <c r="AA83" s="417"/>
      <c r="AB83" s="417"/>
      <c r="AC83" s="417"/>
    </row>
    <row r="84" spans="1:29">
      <c r="A84" s="471"/>
      <c r="B84" s="471"/>
      <c r="C84" s="471"/>
      <c r="D84" s="417"/>
      <c r="E84" s="471" t="s">
        <v>527</v>
      </c>
      <c r="F84" s="471" t="s">
        <v>473</v>
      </c>
      <c r="G84" s="471" t="s">
        <v>330</v>
      </c>
      <c r="H84" s="471" t="s">
        <v>474</v>
      </c>
      <c r="I84" s="417"/>
      <c r="J84" s="417"/>
      <c r="K84" s="417"/>
      <c r="L84" s="417"/>
      <c r="M84" s="417"/>
      <c r="N84" s="417"/>
      <c r="O84" s="417"/>
      <c r="P84" s="417"/>
      <c r="Q84" s="417"/>
      <c r="R84" s="417"/>
      <c r="S84" s="417"/>
      <c r="T84" s="417"/>
      <c r="U84" s="417"/>
      <c r="V84" s="417"/>
      <c r="W84" s="417"/>
      <c r="X84" s="417"/>
      <c r="Y84" s="417"/>
      <c r="Z84" s="417"/>
      <c r="AA84" s="417"/>
      <c r="AB84" s="417"/>
      <c r="AC84" s="417"/>
    </row>
    <row r="85" spans="1:29">
      <c r="A85" s="471"/>
      <c r="B85" s="471"/>
      <c r="C85" s="471"/>
      <c r="D85" s="417" t="s">
        <v>475</v>
      </c>
      <c r="E85" s="751">
        <v>507450.13999999996</v>
      </c>
      <c r="F85" s="417">
        <v>11.5</v>
      </c>
      <c r="G85" s="735">
        <f t="shared" ref="G85:G96" si="6">+F85*E85</f>
        <v>5835676.6099999994</v>
      </c>
      <c r="H85" s="731">
        <f t="shared" ref="H85:H96" si="7">+G85/12</f>
        <v>486306.3841666666</v>
      </c>
      <c r="I85" s="417"/>
      <c r="J85" s="417"/>
      <c r="K85" s="417"/>
      <c r="L85" s="417"/>
      <c r="M85" s="417"/>
      <c r="N85" s="417"/>
      <c r="O85" s="417"/>
      <c r="P85" s="417"/>
      <c r="Q85" s="417"/>
      <c r="R85" s="417"/>
      <c r="S85" s="417"/>
      <c r="T85" s="417"/>
      <c r="U85" s="417"/>
      <c r="V85" s="417"/>
      <c r="W85" s="417"/>
      <c r="X85" s="417"/>
      <c r="Y85" s="417"/>
      <c r="Z85" s="417"/>
      <c r="AA85" s="417"/>
      <c r="AB85" s="417"/>
      <c r="AC85" s="417"/>
    </row>
    <row r="86" spans="1:29">
      <c r="A86" s="471"/>
      <c r="B86" s="471"/>
      <c r="C86" s="471"/>
      <c r="D86" s="417" t="s">
        <v>476</v>
      </c>
      <c r="E86" s="751">
        <v>785931.7100000002</v>
      </c>
      <c r="F86" s="417">
        <f t="shared" ref="F86:F96" si="8">+F85-1</f>
        <v>10.5</v>
      </c>
      <c r="G86" s="735">
        <f t="shared" si="6"/>
        <v>8252282.9550000019</v>
      </c>
      <c r="H86" s="731">
        <f t="shared" si="7"/>
        <v>687690.2462500002</v>
      </c>
      <c r="I86" s="417"/>
      <c r="J86" s="417"/>
      <c r="K86" s="417"/>
      <c r="L86" s="417"/>
      <c r="M86" s="417"/>
      <c r="N86" s="417"/>
      <c r="O86" s="417"/>
      <c r="P86" s="417"/>
      <c r="Q86" s="417"/>
      <c r="R86" s="417"/>
      <c r="S86" s="417"/>
      <c r="T86" s="417"/>
      <c r="U86" s="417"/>
      <c r="V86" s="417"/>
      <c r="W86" s="417"/>
      <c r="X86" s="417"/>
      <c r="Y86" s="417"/>
      <c r="Z86" s="417"/>
      <c r="AA86" s="417"/>
      <c r="AB86" s="417"/>
      <c r="AC86" s="417"/>
    </row>
    <row r="87" spans="1:29">
      <c r="A87" s="471"/>
      <c r="B87" s="471"/>
      <c r="C87" s="471"/>
      <c r="D87" s="417" t="s">
        <v>477</v>
      </c>
      <c r="E87" s="751">
        <v>1320378.6599999554</v>
      </c>
      <c r="F87" s="417">
        <f t="shared" si="8"/>
        <v>9.5</v>
      </c>
      <c r="G87" s="735">
        <f t="shared" si="6"/>
        <v>12543597.269999577</v>
      </c>
      <c r="H87" s="731">
        <f t="shared" si="7"/>
        <v>1045299.7724999647</v>
      </c>
      <c r="I87" s="417"/>
      <c r="J87" s="417"/>
      <c r="K87" s="417"/>
      <c r="L87" s="417"/>
      <c r="M87" s="417"/>
      <c r="N87" s="417"/>
      <c r="O87" s="417"/>
      <c r="P87" s="417"/>
      <c r="Q87" s="417"/>
      <c r="R87" s="417"/>
      <c r="S87" s="417"/>
      <c r="T87" s="417"/>
      <c r="U87" s="417"/>
      <c r="V87" s="417"/>
      <c r="W87" s="417"/>
      <c r="X87" s="417"/>
      <c r="Y87" s="417"/>
      <c r="Z87" s="417"/>
      <c r="AA87" s="417"/>
      <c r="AB87" s="417"/>
      <c r="AC87" s="417"/>
    </row>
    <row r="88" spans="1:29">
      <c r="A88" s="471"/>
      <c r="B88" s="471"/>
      <c r="C88" s="471"/>
      <c r="D88" s="417" t="s">
        <v>478</v>
      </c>
      <c r="E88" s="751">
        <v>1512497.6999999846</v>
      </c>
      <c r="F88" s="417">
        <f t="shared" si="8"/>
        <v>8.5</v>
      </c>
      <c r="G88" s="735">
        <f t="shared" si="6"/>
        <v>12856230.449999869</v>
      </c>
      <c r="H88" s="731">
        <f t="shared" si="7"/>
        <v>1071352.5374999892</v>
      </c>
      <c r="I88" s="417"/>
      <c r="J88" s="417"/>
      <c r="K88" s="417"/>
      <c r="L88" s="417"/>
      <c r="M88" s="417"/>
      <c r="N88" s="417"/>
      <c r="O88" s="417"/>
      <c r="P88" s="417"/>
      <c r="Q88" s="417"/>
      <c r="R88" s="417"/>
      <c r="S88" s="417"/>
      <c r="T88" s="417"/>
      <c r="U88" s="417"/>
      <c r="V88" s="417"/>
      <c r="W88" s="417"/>
      <c r="X88" s="417"/>
      <c r="Y88" s="417"/>
      <c r="Z88" s="417"/>
      <c r="AA88" s="417"/>
      <c r="AB88" s="417"/>
      <c r="AC88" s="417"/>
    </row>
    <row r="89" spans="1:29">
      <c r="A89" s="471"/>
      <c r="B89" s="471"/>
      <c r="C89" s="471"/>
      <c r="D89" s="417" t="s">
        <v>471</v>
      </c>
      <c r="E89" s="751">
        <v>15140519.659999996</v>
      </c>
      <c r="F89" s="417">
        <f t="shared" si="8"/>
        <v>7.5</v>
      </c>
      <c r="G89" s="735">
        <f t="shared" si="6"/>
        <v>113553897.44999997</v>
      </c>
      <c r="H89" s="731">
        <f t="shared" si="7"/>
        <v>9462824.7874999978</v>
      </c>
      <c r="I89" s="417"/>
      <c r="J89" s="417"/>
      <c r="K89" s="417"/>
      <c r="L89" s="417"/>
      <c r="M89" s="417"/>
      <c r="N89" s="417"/>
      <c r="O89" s="417"/>
      <c r="P89" s="417"/>
      <c r="Q89" s="417"/>
      <c r="R89" s="417"/>
      <c r="S89" s="417"/>
      <c r="T89" s="417"/>
      <c r="U89" s="417"/>
      <c r="V89" s="417"/>
      <c r="W89" s="417"/>
      <c r="X89" s="417"/>
      <c r="Y89" s="417"/>
      <c r="Z89" s="417"/>
      <c r="AA89" s="417"/>
      <c r="AB89" s="417"/>
      <c r="AC89" s="417"/>
    </row>
    <row r="90" spans="1:29">
      <c r="A90" s="471"/>
      <c r="B90" s="471"/>
      <c r="C90" s="471"/>
      <c r="D90" s="417" t="s">
        <v>479</v>
      </c>
      <c r="E90" s="751">
        <v>114590.52</v>
      </c>
      <c r="F90" s="417">
        <f t="shared" si="8"/>
        <v>6.5</v>
      </c>
      <c r="G90" s="735">
        <f t="shared" si="6"/>
        <v>744838.38</v>
      </c>
      <c r="H90" s="731">
        <f t="shared" si="7"/>
        <v>62069.864999999998</v>
      </c>
      <c r="I90" s="417"/>
      <c r="J90" s="417"/>
      <c r="K90" s="417"/>
      <c r="L90" s="417"/>
      <c r="M90" s="417"/>
      <c r="N90" s="417"/>
      <c r="O90" s="417"/>
      <c r="P90" s="417"/>
      <c r="Q90" s="417"/>
      <c r="R90" s="417"/>
      <c r="S90" s="417"/>
      <c r="T90" s="417"/>
      <c r="U90" s="417"/>
      <c r="V90" s="417"/>
      <c r="W90" s="417"/>
      <c r="X90" s="417"/>
      <c r="Y90" s="417"/>
      <c r="Z90" s="417"/>
      <c r="AA90" s="417"/>
      <c r="AB90" s="417"/>
      <c r="AC90" s="417"/>
    </row>
    <row r="91" spans="1:29">
      <c r="A91" s="471"/>
      <c r="B91" s="471"/>
      <c r="C91" s="471"/>
      <c r="D91" s="417" t="s">
        <v>480</v>
      </c>
      <c r="E91" s="751">
        <v>1476070.5600000003</v>
      </c>
      <c r="F91" s="417">
        <f t="shared" si="8"/>
        <v>5.5</v>
      </c>
      <c r="G91" s="735">
        <f t="shared" si="6"/>
        <v>8118388.0800000019</v>
      </c>
      <c r="H91" s="731">
        <f t="shared" si="7"/>
        <v>676532.3400000002</v>
      </c>
      <c r="I91" s="417"/>
      <c r="J91" s="417"/>
      <c r="K91" s="417"/>
      <c r="L91" s="417"/>
      <c r="M91" s="417"/>
      <c r="N91" s="417"/>
      <c r="O91" s="417"/>
      <c r="P91" s="417"/>
      <c r="Q91" s="417"/>
      <c r="R91" s="417"/>
      <c r="S91" s="417"/>
      <c r="T91" s="417"/>
      <c r="U91" s="417"/>
      <c r="V91" s="417"/>
      <c r="W91" s="417"/>
      <c r="X91" s="417"/>
      <c r="Y91" s="417"/>
      <c r="Z91" s="417"/>
      <c r="AA91" s="417"/>
      <c r="AB91" s="417"/>
      <c r="AC91" s="417"/>
    </row>
    <row r="92" spans="1:29">
      <c r="A92" s="471"/>
      <c r="B92" s="471"/>
      <c r="C92" s="471"/>
      <c r="D92" s="417" t="s">
        <v>481</v>
      </c>
      <c r="E92" s="751">
        <v>2137546.13</v>
      </c>
      <c r="F92" s="417">
        <f t="shared" si="8"/>
        <v>4.5</v>
      </c>
      <c r="G92" s="735">
        <f t="shared" si="6"/>
        <v>9618957.584999999</v>
      </c>
      <c r="H92" s="731">
        <f t="shared" si="7"/>
        <v>801579.79874999996</v>
      </c>
      <c r="I92" s="417"/>
      <c r="J92" s="417"/>
      <c r="K92" s="417"/>
      <c r="L92" s="417"/>
      <c r="M92" s="417"/>
      <c r="N92" s="417"/>
      <c r="O92" s="417"/>
      <c r="P92" s="417"/>
      <c r="Q92" s="417"/>
      <c r="R92" s="417"/>
      <c r="S92" s="417"/>
      <c r="T92" s="417"/>
      <c r="U92" s="417"/>
      <c r="V92" s="417"/>
      <c r="W92" s="417"/>
      <c r="X92" s="417"/>
      <c r="Y92" s="417"/>
      <c r="Z92" s="417"/>
      <c r="AA92" s="417"/>
      <c r="AB92" s="417"/>
      <c r="AC92" s="417"/>
    </row>
    <row r="93" spans="1:29">
      <c r="A93" s="471"/>
      <c r="B93" s="471"/>
      <c r="C93" s="471"/>
      <c r="D93" s="417" t="s">
        <v>482</v>
      </c>
      <c r="E93" s="751">
        <v>2503678.73</v>
      </c>
      <c r="F93" s="417">
        <f t="shared" si="8"/>
        <v>3.5</v>
      </c>
      <c r="G93" s="735">
        <f t="shared" si="6"/>
        <v>8762875.5549999997</v>
      </c>
      <c r="H93" s="731">
        <f t="shared" si="7"/>
        <v>730239.62958333327</v>
      </c>
      <c r="I93" s="417"/>
      <c r="J93" s="417"/>
      <c r="K93" s="417"/>
      <c r="L93" s="417"/>
      <c r="M93" s="417"/>
      <c r="N93" s="417"/>
      <c r="O93" s="417"/>
      <c r="P93" s="417"/>
      <c r="Q93" s="417"/>
      <c r="R93" s="417"/>
      <c r="S93" s="417"/>
      <c r="T93" s="417"/>
      <c r="U93" s="417"/>
      <c r="V93" s="417"/>
      <c r="W93" s="417"/>
      <c r="X93" s="417"/>
      <c r="Y93" s="417"/>
      <c r="Z93" s="417"/>
      <c r="AA93" s="417"/>
      <c r="AB93" s="417"/>
      <c r="AC93" s="417"/>
    </row>
    <row r="94" spans="1:29">
      <c r="A94" s="471"/>
      <c r="B94" s="471"/>
      <c r="C94" s="471"/>
      <c r="D94" s="417" t="s">
        <v>483</v>
      </c>
      <c r="E94" s="751">
        <v>6699012.4800000004</v>
      </c>
      <c r="F94" s="417">
        <f t="shared" si="8"/>
        <v>2.5</v>
      </c>
      <c r="G94" s="735">
        <f t="shared" si="6"/>
        <v>16747531.200000001</v>
      </c>
      <c r="H94" s="731">
        <f t="shared" si="7"/>
        <v>1395627.6</v>
      </c>
      <c r="I94" s="417"/>
      <c r="J94" s="417"/>
      <c r="K94" s="417"/>
      <c r="L94" s="417"/>
      <c r="M94" s="417"/>
      <c r="N94" s="417"/>
      <c r="O94" s="417"/>
      <c r="P94" s="417"/>
      <c r="Q94" s="417"/>
      <c r="R94" s="417"/>
      <c r="S94" s="417"/>
      <c r="T94" s="417"/>
      <c r="U94" s="417"/>
      <c r="V94" s="417"/>
      <c r="W94" s="417"/>
      <c r="X94" s="417"/>
      <c r="Y94" s="417"/>
      <c r="Z94" s="417"/>
      <c r="AA94" s="417"/>
      <c r="AB94" s="417"/>
      <c r="AC94" s="417"/>
    </row>
    <row r="95" spans="1:29">
      <c r="A95" s="471"/>
      <c r="B95" s="471"/>
      <c r="C95" s="471"/>
      <c r="D95" s="417" t="s">
        <v>484</v>
      </c>
      <c r="E95" s="751">
        <v>8030920.290000001</v>
      </c>
      <c r="F95" s="417">
        <f t="shared" si="8"/>
        <v>1.5</v>
      </c>
      <c r="G95" s="735">
        <f t="shared" si="6"/>
        <v>12046380.435000002</v>
      </c>
      <c r="H95" s="731">
        <f t="shared" si="7"/>
        <v>1003865.0362500002</v>
      </c>
      <c r="I95" s="417"/>
      <c r="J95" s="417"/>
      <c r="K95" s="417"/>
      <c r="L95" s="417"/>
      <c r="M95" s="417"/>
      <c r="N95" s="417"/>
      <c r="O95" s="417"/>
      <c r="P95" s="417"/>
      <c r="Q95" s="417"/>
      <c r="R95" s="417"/>
      <c r="S95" s="417"/>
      <c r="T95" s="417"/>
      <c r="U95" s="417"/>
      <c r="V95" s="417"/>
      <c r="W95" s="417"/>
      <c r="X95" s="417"/>
      <c r="Y95" s="417"/>
      <c r="Z95" s="417"/>
      <c r="AA95" s="417"/>
      <c r="AB95" s="417"/>
      <c r="AC95" s="417"/>
    </row>
    <row r="96" spans="1:29">
      <c r="A96" s="471"/>
      <c r="B96" s="471"/>
      <c r="C96" s="471"/>
      <c r="D96" s="417" t="s">
        <v>485</v>
      </c>
      <c r="E96" s="751">
        <v>5783834.5799999991</v>
      </c>
      <c r="F96" s="417">
        <f t="shared" si="8"/>
        <v>0.5</v>
      </c>
      <c r="G96" s="735">
        <f t="shared" si="6"/>
        <v>2891917.2899999996</v>
      </c>
      <c r="H96" s="731">
        <f t="shared" si="7"/>
        <v>240993.10749999995</v>
      </c>
      <c r="I96" s="417"/>
      <c r="J96" s="417"/>
      <c r="K96" s="417"/>
      <c r="L96" s="417"/>
      <c r="M96" s="417"/>
      <c r="N96" s="417"/>
      <c r="O96" s="417"/>
      <c r="P96" s="417"/>
      <c r="Q96" s="417"/>
      <c r="R96" s="417"/>
      <c r="S96" s="417"/>
      <c r="T96" s="417"/>
      <c r="U96" s="417"/>
      <c r="V96" s="417"/>
      <c r="W96" s="417"/>
      <c r="X96" s="417"/>
      <c r="Y96" s="417"/>
      <c r="Z96" s="417"/>
      <c r="AA96" s="417"/>
      <c r="AB96" s="417"/>
      <c r="AC96" s="417"/>
    </row>
    <row r="97" spans="1:29">
      <c r="A97" s="471"/>
      <c r="B97" s="471"/>
      <c r="C97" s="471"/>
      <c r="D97" s="417" t="s">
        <v>222</v>
      </c>
      <c r="E97" s="735">
        <f>SUM(E85:E96)</f>
        <v>46012431.159999937</v>
      </c>
      <c r="F97" s="417"/>
      <c r="G97" s="735">
        <f>SUM(G85:G96)</f>
        <v>211972573.25999942</v>
      </c>
      <c r="H97" s="731">
        <f>SUM(H85:H96)</f>
        <v>17664381.104999952</v>
      </c>
      <c r="I97" s="417"/>
      <c r="J97" s="417"/>
      <c r="K97" s="417"/>
      <c r="L97" s="417"/>
      <c r="M97" s="417"/>
      <c r="N97" s="417"/>
      <c r="O97" s="417"/>
      <c r="P97" s="417"/>
      <c r="Q97" s="417"/>
      <c r="R97" s="417"/>
      <c r="S97" s="417"/>
      <c r="T97" s="417"/>
      <c r="U97" s="417"/>
      <c r="V97" s="417"/>
      <c r="W97" s="417"/>
      <c r="X97" s="417"/>
      <c r="Y97" s="417"/>
      <c r="Z97" s="417"/>
      <c r="AA97" s="417"/>
      <c r="AB97" s="417"/>
      <c r="AC97" s="417"/>
    </row>
    <row r="98" spans="1:29">
      <c r="A98" s="471"/>
      <c r="B98" s="471"/>
      <c r="C98" s="471"/>
      <c r="D98" s="750" t="s">
        <v>154</v>
      </c>
      <c r="E98" s="417"/>
      <c r="F98" s="417"/>
      <c r="G98" s="417"/>
      <c r="H98" s="735">
        <f>+H97</f>
        <v>17664381.104999952</v>
      </c>
      <c r="I98" s="417" t="str">
        <f>"Input to Formula Line "&amp;'ATT H-2A'!A42</f>
        <v>Input to Formula Line 21</v>
      </c>
      <c r="J98" s="417"/>
      <c r="K98" s="417"/>
      <c r="L98" s="417"/>
      <c r="M98" s="417"/>
      <c r="N98" s="417"/>
      <c r="O98" s="417"/>
      <c r="P98" s="417"/>
      <c r="Q98" s="417"/>
      <c r="R98" s="417"/>
      <c r="S98" s="417"/>
      <c r="T98" s="417"/>
      <c r="U98" s="417"/>
      <c r="V98" s="417"/>
      <c r="W98" s="417"/>
      <c r="X98" s="417"/>
      <c r="Y98" s="417"/>
      <c r="Z98" s="417"/>
      <c r="AA98" s="417"/>
      <c r="AB98" s="417"/>
      <c r="AC98" s="417"/>
    </row>
    <row r="99" spans="1:29">
      <c r="A99" s="471"/>
      <c r="B99" s="471"/>
      <c r="C99" s="471"/>
      <c r="D99" s="745"/>
      <c r="E99" s="417"/>
      <c r="F99" s="417"/>
      <c r="G99" s="417"/>
      <c r="H99" s="735"/>
      <c r="I99" s="417"/>
      <c r="J99" s="417"/>
      <c r="K99" s="417"/>
      <c r="L99" s="417"/>
      <c r="M99" s="417"/>
      <c r="N99" s="417"/>
      <c r="O99" s="417"/>
      <c r="P99" s="417"/>
      <c r="Q99" s="417"/>
      <c r="R99" s="417"/>
      <c r="S99" s="417"/>
      <c r="T99" s="417"/>
      <c r="U99" s="417"/>
      <c r="V99" s="417"/>
      <c r="W99" s="417"/>
      <c r="X99" s="417"/>
      <c r="Y99" s="417"/>
      <c r="Z99" s="417"/>
      <c r="AA99" s="417"/>
      <c r="AB99" s="417"/>
      <c r="AC99" s="417"/>
    </row>
    <row r="100" spans="1:29">
      <c r="A100" s="471"/>
      <c r="B100" s="471"/>
      <c r="C100" s="532"/>
      <c r="D100" s="752">
        <v>161821023</v>
      </c>
      <c r="E100" s="745" t="s">
        <v>550</v>
      </c>
      <c r="F100" s="417"/>
      <c r="G100" s="733" t="s">
        <v>152</v>
      </c>
      <c r="H100" s="753"/>
      <c r="I100" s="754"/>
      <c r="J100" s="417"/>
      <c r="K100" s="417"/>
      <c r="L100" s="417"/>
      <c r="M100" s="417"/>
      <c r="N100" s="417"/>
      <c r="O100" s="417"/>
      <c r="P100" s="417"/>
      <c r="Q100" s="417"/>
      <c r="R100" s="417"/>
      <c r="S100" s="417"/>
      <c r="T100" s="417"/>
      <c r="U100" s="417"/>
      <c r="V100" s="417"/>
      <c r="W100" s="417"/>
      <c r="X100" s="417"/>
      <c r="Y100" s="417"/>
      <c r="Z100" s="417"/>
      <c r="AA100" s="417"/>
      <c r="AB100" s="417"/>
      <c r="AC100" s="417"/>
    </row>
    <row r="101" spans="1:29">
      <c r="B101" s="471"/>
      <c r="C101" s="471"/>
      <c r="E101" s="417"/>
      <c r="F101" s="417"/>
      <c r="G101" s="417" t="s">
        <v>569</v>
      </c>
      <c r="H101" s="753"/>
      <c r="I101" s="754"/>
      <c r="J101" s="417"/>
      <c r="K101" s="417"/>
      <c r="L101" s="417"/>
      <c r="M101" s="417"/>
      <c r="N101" s="417"/>
      <c r="O101" s="417"/>
      <c r="P101" s="417"/>
      <c r="Q101" s="417"/>
      <c r="R101" s="417"/>
      <c r="S101" s="417"/>
      <c r="T101" s="417"/>
      <c r="U101" s="417"/>
      <c r="V101" s="417"/>
      <c r="W101" s="417"/>
      <c r="X101" s="417"/>
      <c r="Y101" s="417"/>
      <c r="Z101" s="417"/>
      <c r="AA101" s="417"/>
      <c r="AB101" s="417"/>
      <c r="AC101" s="417"/>
    </row>
    <row r="102" spans="1:29">
      <c r="A102" s="471"/>
      <c r="B102" s="471"/>
      <c r="C102" s="471"/>
      <c r="D102" s="745"/>
      <c r="E102" s="417"/>
      <c r="F102" s="417"/>
      <c r="G102" s="754"/>
      <c r="H102" s="753"/>
      <c r="I102" s="754"/>
      <c r="J102" s="417"/>
      <c r="K102" s="417"/>
      <c r="L102" s="417"/>
      <c r="M102" s="417"/>
      <c r="N102" s="417"/>
      <c r="O102" s="417"/>
      <c r="P102" s="417"/>
      <c r="Q102" s="417"/>
      <c r="R102" s="417"/>
      <c r="S102" s="417"/>
      <c r="T102" s="417"/>
      <c r="U102" s="417"/>
      <c r="V102" s="417"/>
      <c r="W102" s="417"/>
      <c r="X102" s="417"/>
      <c r="Y102" s="417"/>
      <c r="Z102" s="417"/>
      <c r="AA102" s="417"/>
      <c r="AB102" s="417"/>
      <c r="AC102" s="417"/>
    </row>
    <row r="103" spans="1:29" ht="15">
      <c r="A103" s="471"/>
      <c r="B103" s="471"/>
      <c r="C103" s="471"/>
      <c r="D103" s="745"/>
      <c r="E103" s="417"/>
      <c r="F103" s="417"/>
      <c r="G103" s="754"/>
      <c r="H103" s="753"/>
      <c r="I103" s="754"/>
      <c r="J103" s="755"/>
      <c r="K103" s="417"/>
      <c r="L103" s="417"/>
      <c r="M103" s="417"/>
      <c r="N103" s="417"/>
      <c r="O103" s="417"/>
      <c r="P103" s="417"/>
      <c r="Q103" s="417"/>
      <c r="R103" s="417"/>
      <c r="S103" s="417"/>
      <c r="T103" s="417"/>
      <c r="U103" s="417"/>
      <c r="V103" s="417"/>
      <c r="W103" s="417"/>
      <c r="X103" s="417"/>
      <c r="Y103" s="417"/>
      <c r="Z103" s="417"/>
      <c r="AA103" s="417"/>
      <c r="AB103" s="417"/>
      <c r="AC103" s="417"/>
    </row>
    <row r="104" spans="1:29" ht="14.25">
      <c r="A104" s="471"/>
      <c r="B104" s="471"/>
      <c r="C104" s="471"/>
      <c r="D104" s="745"/>
      <c r="E104" s="417"/>
      <c r="F104" s="417"/>
      <c r="G104" s="754"/>
      <c r="H104" s="753"/>
      <c r="I104" s="754"/>
      <c r="J104" s="726"/>
      <c r="K104" s="417"/>
      <c r="L104" s="417"/>
      <c r="M104" s="417"/>
      <c r="N104" s="417"/>
      <c r="O104" s="417"/>
      <c r="P104" s="417"/>
      <c r="Q104" s="417"/>
      <c r="R104" s="417"/>
      <c r="S104" s="417"/>
      <c r="T104" s="417"/>
      <c r="U104" s="417"/>
      <c r="V104" s="417"/>
      <c r="W104" s="417"/>
      <c r="X104" s="417"/>
      <c r="Y104" s="417"/>
      <c r="Z104" s="417"/>
      <c r="AA104" s="417"/>
      <c r="AB104" s="417"/>
      <c r="AC104" s="417"/>
    </row>
    <row r="105" spans="1:29" ht="14.25">
      <c r="A105" s="471"/>
      <c r="B105" s="471"/>
      <c r="C105" s="471"/>
      <c r="D105" s="745"/>
      <c r="E105" s="417"/>
      <c r="F105" s="417"/>
      <c r="G105" s="417"/>
      <c r="H105" s="735"/>
      <c r="I105" s="417"/>
      <c r="J105" s="726"/>
      <c r="K105" s="417"/>
      <c r="L105" s="417"/>
      <c r="M105" s="417"/>
      <c r="N105" s="417"/>
      <c r="O105" s="417"/>
      <c r="P105" s="417"/>
      <c r="Q105" s="417"/>
      <c r="R105" s="417"/>
      <c r="S105" s="417"/>
      <c r="T105" s="417"/>
      <c r="U105" s="417"/>
      <c r="V105" s="417"/>
      <c r="W105" s="417"/>
      <c r="X105" s="417"/>
      <c r="Y105" s="417"/>
      <c r="Z105" s="417"/>
      <c r="AA105" s="417"/>
      <c r="AB105" s="417"/>
      <c r="AC105" s="417"/>
    </row>
    <row r="106" spans="1:29" ht="37.5" customHeight="1">
      <c r="A106" s="530">
        <f>A19</f>
        <v>9</v>
      </c>
      <c r="B106" s="530" t="str">
        <f>B19</f>
        <v>April</v>
      </c>
      <c r="C106" s="530" t="str">
        <f>C19</f>
        <v>Year 3</v>
      </c>
      <c r="D106" s="1132" t="str">
        <f>D19</f>
        <v>Reconciliation - TO adds the difference between the Reconciliation in Step 8 and the forecast in Line 5 with interest to the result of Step 7 (this difference is also added to Step 8 in the subsequent year)</v>
      </c>
      <c r="E106" s="1132"/>
      <c r="F106" s="1132"/>
      <c r="G106" s="1132"/>
      <c r="H106" s="1132"/>
      <c r="I106" s="417"/>
      <c r="J106" s="417"/>
      <c r="K106" s="417"/>
      <c r="L106" s="417"/>
      <c r="M106" s="417"/>
      <c r="N106" s="417"/>
      <c r="O106" s="417"/>
      <c r="P106" s="417"/>
      <c r="Q106" s="417"/>
      <c r="R106" s="417"/>
      <c r="S106" s="417"/>
      <c r="T106" s="417"/>
      <c r="U106" s="417"/>
      <c r="V106" s="417"/>
      <c r="W106" s="417"/>
      <c r="X106" s="417"/>
      <c r="Y106" s="417"/>
      <c r="Z106" s="417"/>
      <c r="AA106" s="417"/>
      <c r="AB106" s="417"/>
      <c r="AC106" s="417"/>
    </row>
    <row r="107" spans="1:29">
      <c r="A107" s="471"/>
      <c r="B107" s="471"/>
      <c r="C107" s="471"/>
      <c r="D107" s="728"/>
      <c r="E107" s="417"/>
      <c r="F107" s="754"/>
      <c r="G107" s="417"/>
      <c r="H107" s="417"/>
      <c r="I107" s="417"/>
      <c r="J107" s="417"/>
      <c r="K107" s="417"/>
      <c r="L107" s="417"/>
      <c r="M107" s="417"/>
      <c r="N107" s="417"/>
      <c r="O107" s="417"/>
      <c r="P107" s="417"/>
      <c r="Q107" s="417"/>
      <c r="R107" s="417"/>
      <c r="S107" s="417"/>
      <c r="T107" s="417"/>
      <c r="U107" s="417"/>
      <c r="V107" s="417"/>
      <c r="W107" s="417"/>
      <c r="X107" s="417"/>
      <c r="Y107" s="417"/>
      <c r="Z107" s="417"/>
      <c r="AA107" s="417"/>
      <c r="AB107" s="417"/>
      <c r="AC107" s="417"/>
    </row>
    <row r="108" spans="1:29">
      <c r="A108" s="471"/>
      <c r="B108" s="471"/>
      <c r="C108" s="471"/>
      <c r="D108" s="728" t="s">
        <v>548</v>
      </c>
      <c r="E108" s="417"/>
      <c r="F108" s="417" t="s">
        <v>549</v>
      </c>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row>
    <row r="109" spans="1:29">
      <c r="A109" s="471"/>
      <c r="B109" s="471"/>
      <c r="C109" s="471"/>
      <c r="D109" s="735">
        <f>+D100</f>
        <v>161821023</v>
      </c>
      <c r="E109" s="471" t="str">
        <f>"-"</f>
        <v>-</v>
      </c>
      <c r="F109" s="756">
        <f>+D52</f>
        <v>157344049</v>
      </c>
      <c r="G109" s="471" t="str">
        <f>"="</f>
        <v>=</v>
      </c>
      <c r="H109" s="735">
        <f>+D109-F109</f>
        <v>4476974</v>
      </c>
      <c r="I109" s="417"/>
      <c r="J109" s="417"/>
      <c r="K109" s="417"/>
      <c r="L109" s="417"/>
      <c r="M109" s="417"/>
      <c r="N109" s="417"/>
      <c r="O109" s="417"/>
      <c r="P109" s="417"/>
      <c r="Q109" s="417"/>
      <c r="R109" s="417"/>
      <c r="S109" s="417"/>
      <c r="T109" s="417"/>
      <c r="U109" s="417"/>
      <c r="V109" s="417"/>
      <c r="W109" s="417"/>
      <c r="X109" s="417"/>
      <c r="Y109" s="417"/>
      <c r="Z109" s="417"/>
      <c r="AA109" s="417"/>
      <c r="AB109" s="417"/>
      <c r="AC109" s="417"/>
    </row>
    <row r="110" spans="1:29">
      <c r="A110" s="471"/>
      <c r="B110" s="471"/>
      <c r="C110" s="471"/>
      <c r="D110" s="757"/>
      <c r="E110" s="471"/>
      <c r="F110" s="735"/>
      <c r="G110" s="471"/>
      <c r="H110" s="735"/>
      <c r="I110" s="417"/>
      <c r="J110" s="417"/>
      <c r="K110" s="417"/>
      <c r="L110" s="417"/>
      <c r="M110" s="417"/>
      <c r="N110" s="417"/>
      <c r="O110" s="417"/>
      <c r="P110" s="417"/>
      <c r="Q110" s="417"/>
      <c r="R110" s="417"/>
      <c r="S110" s="417"/>
      <c r="T110" s="417"/>
      <c r="U110" s="417"/>
      <c r="V110" s="417"/>
      <c r="W110" s="417"/>
      <c r="X110" s="417"/>
      <c r="Y110" s="417"/>
      <c r="Z110" s="417"/>
      <c r="AA110" s="417"/>
      <c r="AB110" s="417"/>
      <c r="AC110" s="417"/>
    </row>
    <row r="111" spans="1:29">
      <c r="A111" s="471"/>
      <c r="B111" s="471"/>
      <c r="C111" s="471"/>
      <c r="D111" s="758" t="s">
        <v>487</v>
      </c>
      <c r="E111" s="471"/>
      <c r="F111" s="735"/>
      <c r="G111" s="471"/>
      <c r="H111" s="735"/>
      <c r="I111" s="417"/>
      <c r="J111" s="417"/>
      <c r="K111" s="417"/>
      <c r="L111" s="417"/>
      <c r="M111" s="417"/>
      <c r="N111" s="417"/>
      <c r="O111" s="417"/>
      <c r="P111" s="417"/>
      <c r="Q111" s="417"/>
      <c r="R111" s="417"/>
      <c r="S111" s="417"/>
      <c r="T111" s="417"/>
      <c r="U111" s="417"/>
      <c r="V111" s="417"/>
      <c r="W111" s="417"/>
      <c r="X111" s="417"/>
      <c r="Y111" s="417"/>
      <c r="Z111" s="417"/>
      <c r="AA111" s="417"/>
      <c r="AB111" s="417"/>
      <c r="AC111" s="417"/>
    </row>
    <row r="112" spans="1:29">
      <c r="A112" s="471"/>
      <c r="B112" s="471"/>
      <c r="C112" s="471"/>
      <c r="D112" s="758" t="s">
        <v>528</v>
      </c>
      <c r="E112" s="471"/>
      <c r="F112" s="759">
        <v>2.8E-3</v>
      </c>
      <c r="G112" s="471"/>
      <c r="H112" s="735"/>
      <c r="I112" s="417"/>
      <c r="J112" s="417"/>
      <c r="K112" s="417"/>
      <c r="L112" s="417"/>
      <c r="M112" s="417"/>
      <c r="N112" s="417"/>
      <c r="O112" s="417"/>
      <c r="P112" s="417"/>
      <c r="Q112" s="417"/>
      <c r="R112" s="417"/>
      <c r="S112" s="417"/>
      <c r="T112" s="417"/>
      <c r="U112" s="417"/>
      <c r="V112" s="417"/>
      <c r="W112" s="417"/>
      <c r="X112" s="417"/>
      <c r="Y112" s="417"/>
      <c r="Z112" s="417"/>
      <c r="AA112" s="417"/>
      <c r="AB112" s="417"/>
      <c r="AC112" s="417"/>
    </row>
    <row r="113" spans="1:29">
      <c r="A113" s="471"/>
      <c r="B113" s="471"/>
      <c r="C113" s="471"/>
      <c r="D113" s="760" t="s">
        <v>466</v>
      </c>
      <c r="E113" s="471" t="s">
        <v>488</v>
      </c>
      <c r="F113" s="471" t="s">
        <v>489</v>
      </c>
      <c r="G113" s="760" t="s">
        <v>490</v>
      </c>
      <c r="H113" s="471"/>
      <c r="I113" s="760" t="s">
        <v>491</v>
      </c>
      <c r="J113" s="471" t="s">
        <v>492</v>
      </c>
      <c r="K113" s="417"/>
      <c r="L113" s="417"/>
      <c r="M113" s="417"/>
      <c r="N113" s="417"/>
      <c r="O113" s="417"/>
      <c r="P113" s="417"/>
      <c r="Q113" s="417"/>
      <c r="R113" s="417"/>
      <c r="S113" s="417"/>
      <c r="T113" s="417"/>
      <c r="U113" s="417"/>
      <c r="V113" s="417"/>
      <c r="W113" s="417"/>
      <c r="X113" s="417"/>
      <c r="Y113" s="417"/>
      <c r="Z113" s="417"/>
      <c r="AA113" s="417"/>
      <c r="AB113" s="417"/>
      <c r="AC113" s="417"/>
    </row>
    <row r="114" spans="1:29">
      <c r="A114" s="471"/>
      <c r="B114" s="471"/>
      <c r="C114" s="471"/>
      <c r="D114" s="471"/>
      <c r="E114" s="471"/>
      <c r="F114" s="471"/>
      <c r="G114" s="471" t="s">
        <v>493</v>
      </c>
      <c r="H114" s="471" t="s">
        <v>494</v>
      </c>
      <c r="I114" s="471"/>
      <c r="J114" s="471"/>
      <c r="K114" s="417"/>
      <c r="L114" s="417"/>
      <c r="M114" s="417"/>
      <c r="N114" s="417"/>
      <c r="O114" s="417"/>
      <c r="P114" s="417"/>
      <c r="Q114" s="417"/>
      <c r="R114" s="417"/>
      <c r="S114" s="417"/>
      <c r="T114" s="417"/>
      <c r="U114" s="417"/>
      <c r="V114" s="417"/>
      <c r="W114" s="417"/>
      <c r="X114" s="417"/>
      <c r="Y114" s="417"/>
      <c r="Z114" s="417"/>
      <c r="AA114" s="417"/>
      <c r="AB114" s="417"/>
      <c r="AC114" s="417"/>
    </row>
    <row r="115" spans="1:29">
      <c r="A115" s="471"/>
      <c r="B115" s="471"/>
      <c r="C115" s="471"/>
      <c r="D115" s="417" t="s">
        <v>479</v>
      </c>
      <c r="E115" s="417">
        <v>2012</v>
      </c>
      <c r="F115" s="731">
        <f>+H109/12</f>
        <v>373081.16666666669</v>
      </c>
      <c r="G115" s="761">
        <f>+F112</f>
        <v>2.8E-3</v>
      </c>
      <c r="H115" s="417">
        <v>11.5</v>
      </c>
      <c r="I115" s="731">
        <f t="shared" ref="I115:I126" si="9">+H115*G115*F115</f>
        <v>12013.213566666667</v>
      </c>
      <c r="J115" s="731">
        <f t="shared" ref="J115:J126" si="10">+F115+I115</f>
        <v>385094.38023333333</v>
      </c>
      <c r="K115" s="417"/>
      <c r="L115" s="417"/>
      <c r="M115" s="417"/>
      <c r="N115" s="417"/>
      <c r="O115" s="417"/>
      <c r="P115" s="417"/>
      <c r="Q115" s="417"/>
      <c r="R115" s="417"/>
      <c r="S115" s="417"/>
      <c r="T115" s="417"/>
      <c r="U115" s="417"/>
      <c r="V115" s="417"/>
      <c r="W115" s="417"/>
      <c r="X115" s="417"/>
      <c r="Y115" s="417"/>
      <c r="Z115" s="417"/>
      <c r="AA115" s="417"/>
      <c r="AB115" s="417"/>
      <c r="AC115" s="417"/>
    </row>
    <row r="116" spans="1:29">
      <c r="A116" s="471"/>
      <c r="B116" s="471"/>
      <c r="C116" s="471"/>
      <c r="D116" s="417" t="s">
        <v>480</v>
      </c>
      <c r="E116" s="417">
        <f t="shared" ref="E116:G121" si="11">+E115</f>
        <v>2012</v>
      </c>
      <c r="F116" s="735">
        <f t="shared" si="11"/>
        <v>373081.16666666669</v>
      </c>
      <c r="G116" s="762">
        <f t="shared" si="11"/>
        <v>2.8E-3</v>
      </c>
      <c r="H116" s="417">
        <f t="shared" ref="H116:H126" si="12">+H115-1</f>
        <v>10.5</v>
      </c>
      <c r="I116" s="731">
        <f t="shared" si="9"/>
        <v>10968.586300000001</v>
      </c>
      <c r="J116" s="731">
        <f t="shared" si="10"/>
        <v>384049.75296666671</v>
      </c>
      <c r="K116" s="417"/>
      <c r="L116" s="417"/>
      <c r="M116" s="417"/>
      <c r="N116" s="417"/>
      <c r="O116" s="417"/>
      <c r="P116" s="417"/>
      <c r="Q116" s="417"/>
      <c r="R116" s="417"/>
      <c r="S116" s="417"/>
      <c r="T116" s="417"/>
      <c r="U116" s="417"/>
      <c r="V116" s="417"/>
      <c r="W116" s="417"/>
      <c r="X116" s="417"/>
      <c r="Y116" s="417"/>
      <c r="Z116" s="417"/>
      <c r="AA116" s="417"/>
      <c r="AB116" s="417"/>
      <c r="AC116" s="417"/>
    </row>
    <row r="117" spans="1:29">
      <c r="A117" s="471"/>
      <c r="B117" s="471"/>
      <c r="C117" s="471"/>
      <c r="D117" s="417" t="s">
        <v>481</v>
      </c>
      <c r="E117" s="417">
        <f t="shared" si="11"/>
        <v>2012</v>
      </c>
      <c r="F117" s="735">
        <f t="shared" si="11"/>
        <v>373081.16666666669</v>
      </c>
      <c r="G117" s="762">
        <f t="shared" si="11"/>
        <v>2.8E-3</v>
      </c>
      <c r="H117" s="417">
        <f t="shared" si="12"/>
        <v>9.5</v>
      </c>
      <c r="I117" s="731">
        <f t="shared" si="9"/>
        <v>9923.9590333333326</v>
      </c>
      <c r="J117" s="731">
        <f t="shared" si="10"/>
        <v>383005.12570000003</v>
      </c>
      <c r="K117" s="417"/>
      <c r="L117" s="417"/>
      <c r="M117" s="417"/>
      <c r="N117" s="417"/>
      <c r="O117" s="417"/>
      <c r="P117" s="417"/>
      <c r="Q117" s="417"/>
      <c r="R117" s="417"/>
      <c r="S117" s="417"/>
      <c r="T117" s="417"/>
      <c r="U117" s="417"/>
      <c r="V117" s="417"/>
      <c r="W117" s="417"/>
      <c r="X117" s="417"/>
      <c r="Y117" s="417"/>
      <c r="Z117" s="417"/>
      <c r="AA117" s="417"/>
      <c r="AB117" s="417"/>
      <c r="AC117" s="417"/>
    </row>
    <row r="118" spans="1:29">
      <c r="A118" s="471"/>
      <c r="B118" s="471"/>
      <c r="C118" s="471"/>
      <c r="D118" s="417" t="s">
        <v>482</v>
      </c>
      <c r="E118" s="417">
        <f t="shared" si="11"/>
        <v>2012</v>
      </c>
      <c r="F118" s="735">
        <f t="shared" si="11"/>
        <v>373081.16666666669</v>
      </c>
      <c r="G118" s="762">
        <f t="shared" si="11"/>
        <v>2.8E-3</v>
      </c>
      <c r="H118" s="417">
        <f t="shared" si="12"/>
        <v>8.5</v>
      </c>
      <c r="I118" s="731">
        <f t="shared" si="9"/>
        <v>8879.3317666666662</v>
      </c>
      <c r="J118" s="731">
        <f t="shared" si="10"/>
        <v>381960.49843333336</v>
      </c>
      <c r="K118" s="417"/>
      <c r="L118" s="417"/>
      <c r="M118" s="417"/>
      <c r="N118" s="417"/>
      <c r="O118" s="417"/>
      <c r="P118" s="417"/>
      <c r="Q118" s="417"/>
      <c r="R118" s="417"/>
      <c r="S118" s="417"/>
      <c r="T118" s="417"/>
      <c r="U118" s="417"/>
      <c r="V118" s="417"/>
      <c r="W118" s="417"/>
      <c r="X118" s="417"/>
      <c r="Y118" s="417"/>
      <c r="Z118" s="417"/>
      <c r="AA118" s="417"/>
      <c r="AB118" s="417"/>
      <c r="AC118" s="417"/>
    </row>
    <row r="119" spans="1:29">
      <c r="A119" s="471"/>
      <c r="B119" s="471"/>
      <c r="C119" s="471"/>
      <c r="D119" s="417" t="s">
        <v>483</v>
      </c>
      <c r="E119" s="417">
        <f t="shared" si="11"/>
        <v>2012</v>
      </c>
      <c r="F119" s="735">
        <f t="shared" si="11"/>
        <v>373081.16666666669</v>
      </c>
      <c r="G119" s="762">
        <f t="shared" si="11"/>
        <v>2.8E-3</v>
      </c>
      <c r="H119" s="417">
        <f t="shared" si="12"/>
        <v>7.5</v>
      </c>
      <c r="I119" s="731">
        <f t="shared" si="9"/>
        <v>7834.7045000000007</v>
      </c>
      <c r="J119" s="731">
        <f t="shared" si="10"/>
        <v>380915.87116666668</v>
      </c>
      <c r="K119" s="417"/>
      <c r="L119" s="417"/>
      <c r="M119" s="417"/>
      <c r="N119" s="417"/>
      <c r="O119" s="417"/>
      <c r="P119" s="417"/>
      <c r="Q119" s="417"/>
      <c r="R119" s="417"/>
      <c r="S119" s="417"/>
      <c r="T119" s="417"/>
      <c r="U119" s="417"/>
      <c r="V119" s="417"/>
      <c r="W119" s="417"/>
      <c r="X119" s="417"/>
      <c r="Y119" s="417"/>
      <c r="Z119" s="417"/>
      <c r="AA119" s="417"/>
      <c r="AB119" s="417"/>
      <c r="AC119" s="417"/>
    </row>
    <row r="120" spans="1:29">
      <c r="A120" s="471"/>
      <c r="B120" s="471"/>
      <c r="C120" s="471"/>
      <c r="D120" s="417" t="s">
        <v>484</v>
      </c>
      <c r="E120" s="417">
        <f t="shared" si="11"/>
        <v>2012</v>
      </c>
      <c r="F120" s="735">
        <f t="shared" si="11"/>
        <v>373081.16666666669</v>
      </c>
      <c r="G120" s="762">
        <f t="shared" si="11"/>
        <v>2.8E-3</v>
      </c>
      <c r="H120" s="417">
        <f t="shared" si="12"/>
        <v>6.5</v>
      </c>
      <c r="I120" s="731">
        <f t="shared" si="9"/>
        <v>6790.0772333333343</v>
      </c>
      <c r="J120" s="731">
        <f t="shared" si="10"/>
        <v>379871.2439</v>
      </c>
      <c r="K120" s="417"/>
      <c r="L120" s="417"/>
      <c r="M120" s="417"/>
      <c r="N120" s="417"/>
      <c r="O120" s="417"/>
      <c r="P120" s="417"/>
      <c r="Q120" s="417"/>
      <c r="R120" s="417"/>
      <c r="S120" s="417"/>
      <c r="T120" s="417"/>
      <c r="U120" s="417"/>
      <c r="V120" s="417"/>
      <c r="W120" s="417"/>
      <c r="X120" s="417"/>
      <c r="Y120" s="417"/>
      <c r="Z120" s="417"/>
      <c r="AA120" s="417"/>
      <c r="AB120" s="417"/>
      <c r="AC120" s="417"/>
    </row>
    <row r="121" spans="1:29">
      <c r="A121" s="471"/>
      <c r="B121" s="471"/>
      <c r="C121" s="471"/>
      <c r="D121" s="417" t="s">
        <v>485</v>
      </c>
      <c r="E121" s="417">
        <f t="shared" si="11"/>
        <v>2012</v>
      </c>
      <c r="F121" s="735">
        <f t="shared" si="11"/>
        <v>373081.16666666669</v>
      </c>
      <c r="G121" s="762">
        <f t="shared" si="11"/>
        <v>2.8E-3</v>
      </c>
      <c r="H121" s="417">
        <f t="shared" si="12"/>
        <v>5.5</v>
      </c>
      <c r="I121" s="731">
        <f t="shared" si="9"/>
        <v>5745.449966666667</v>
      </c>
      <c r="J121" s="731">
        <f t="shared" si="10"/>
        <v>378826.61663333338</v>
      </c>
      <c r="K121" s="417"/>
      <c r="L121" s="417"/>
      <c r="M121" s="417"/>
      <c r="N121" s="417"/>
      <c r="O121" s="417"/>
      <c r="P121" s="417"/>
      <c r="Q121" s="417"/>
      <c r="R121" s="417"/>
      <c r="S121" s="417"/>
      <c r="T121" s="417"/>
      <c r="U121" s="417"/>
      <c r="V121" s="417"/>
      <c r="W121" s="417"/>
      <c r="X121" s="417"/>
      <c r="Y121" s="417"/>
      <c r="Z121" s="417"/>
      <c r="AA121" s="417"/>
      <c r="AB121" s="417"/>
      <c r="AC121" s="417"/>
    </row>
    <row r="122" spans="1:29">
      <c r="A122" s="471"/>
      <c r="B122" s="471"/>
      <c r="C122" s="471"/>
      <c r="D122" s="417" t="s">
        <v>475</v>
      </c>
      <c r="E122" s="417">
        <f>+E121+1</f>
        <v>2013</v>
      </c>
      <c r="F122" s="735">
        <f t="shared" ref="F122:G126" si="13">+F121</f>
        <v>373081.16666666669</v>
      </c>
      <c r="G122" s="762">
        <f t="shared" si="13"/>
        <v>2.8E-3</v>
      </c>
      <c r="H122" s="417">
        <f t="shared" si="12"/>
        <v>4.5</v>
      </c>
      <c r="I122" s="731">
        <f t="shared" si="9"/>
        <v>4700.8227000000006</v>
      </c>
      <c r="J122" s="731">
        <f t="shared" si="10"/>
        <v>377781.9893666667</v>
      </c>
      <c r="K122" s="417"/>
      <c r="L122" s="417"/>
      <c r="M122" s="417"/>
      <c r="N122" s="417"/>
      <c r="O122" s="417"/>
      <c r="P122" s="417"/>
      <c r="Q122" s="417"/>
      <c r="R122" s="417"/>
      <c r="S122" s="417"/>
      <c r="T122" s="417"/>
      <c r="U122" s="417"/>
      <c r="V122" s="417"/>
      <c r="W122" s="417"/>
      <c r="X122" s="417"/>
      <c r="Y122" s="417"/>
      <c r="Z122" s="417"/>
      <c r="AA122" s="417"/>
      <c r="AB122" s="417"/>
      <c r="AC122" s="417"/>
    </row>
    <row r="123" spans="1:29">
      <c r="A123" s="471"/>
      <c r="B123" s="471"/>
      <c r="C123" s="471"/>
      <c r="D123" s="417" t="s">
        <v>476</v>
      </c>
      <c r="E123" s="417">
        <f>+E122</f>
        <v>2013</v>
      </c>
      <c r="F123" s="735">
        <f t="shared" si="13"/>
        <v>373081.16666666669</v>
      </c>
      <c r="G123" s="762">
        <f t="shared" si="13"/>
        <v>2.8E-3</v>
      </c>
      <c r="H123" s="417">
        <f t="shared" si="12"/>
        <v>3.5</v>
      </c>
      <c r="I123" s="731">
        <f t="shared" si="9"/>
        <v>3656.1954333333333</v>
      </c>
      <c r="J123" s="731">
        <f t="shared" si="10"/>
        <v>376737.36210000003</v>
      </c>
      <c r="K123" s="417"/>
      <c r="L123" s="417"/>
      <c r="M123" s="417"/>
      <c r="N123" s="417"/>
      <c r="O123" s="417"/>
      <c r="P123" s="417"/>
      <c r="Q123" s="417"/>
      <c r="R123" s="417"/>
      <c r="S123" s="417"/>
      <c r="T123" s="417"/>
      <c r="U123" s="417"/>
      <c r="V123" s="417"/>
      <c r="W123" s="417"/>
      <c r="X123" s="417"/>
      <c r="Y123" s="417"/>
      <c r="Z123" s="417"/>
      <c r="AA123" s="417"/>
      <c r="AB123" s="417"/>
      <c r="AC123" s="417"/>
    </row>
    <row r="124" spans="1:29">
      <c r="A124" s="471"/>
      <c r="B124" s="471"/>
      <c r="C124" s="471"/>
      <c r="D124" s="417" t="s">
        <v>477</v>
      </c>
      <c r="E124" s="417">
        <f>+E123</f>
        <v>2013</v>
      </c>
      <c r="F124" s="735">
        <f t="shared" si="13"/>
        <v>373081.16666666669</v>
      </c>
      <c r="G124" s="762">
        <f t="shared" si="13"/>
        <v>2.8E-3</v>
      </c>
      <c r="H124" s="417">
        <f t="shared" si="12"/>
        <v>2.5</v>
      </c>
      <c r="I124" s="731">
        <f t="shared" si="9"/>
        <v>2611.5681666666669</v>
      </c>
      <c r="J124" s="731">
        <f t="shared" si="10"/>
        <v>375692.73483333335</v>
      </c>
      <c r="K124" s="417"/>
      <c r="L124" s="417"/>
      <c r="M124" s="417"/>
      <c r="N124" s="417"/>
      <c r="O124" s="417"/>
      <c r="P124" s="417"/>
      <c r="Q124" s="417"/>
      <c r="R124" s="417"/>
      <c r="S124" s="417"/>
      <c r="T124" s="417"/>
      <c r="U124" s="417"/>
      <c r="V124" s="417"/>
      <c r="W124" s="417"/>
      <c r="X124" s="417"/>
      <c r="Y124" s="417"/>
      <c r="Z124" s="417"/>
      <c r="AA124" s="417"/>
      <c r="AB124" s="417"/>
      <c r="AC124" s="417"/>
    </row>
    <row r="125" spans="1:29">
      <c r="A125" s="471"/>
      <c r="B125" s="471"/>
      <c r="C125" s="471"/>
      <c r="D125" s="417" t="s">
        <v>478</v>
      </c>
      <c r="E125" s="417">
        <f>+E124</f>
        <v>2013</v>
      </c>
      <c r="F125" s="735">
        <f t="shared" si="13"/>
        <v>373081.16666666669</v>
      </c>
      <c r="G125" s="762">
        <f t="shared" si="13"/>
        <v>2.8E-3</v>
      </c>
      <c r="H125" s="417">
        <f t="shared" si="12"/>
        <v>1.5</v>
      </c>
      <c r="I125" s="731">
        <f t="shared" si="9"/>
        <v>1566.9409000000001</v>
      </c>
      <c r="J125" s="731">
        <f t="shared" si="10"/>
        <v>374648.10756666667</v>
      </c>
      <c r="K125" s="417"/>
      <c r="L125" s="417"/>
      <c r="M125" s="417"/>
      <c r="N125" s="417"/>
      <c r="O125" s="417"/>
      <c r="P125" s="417"/>
      <c r="Q125" s="417"/>
      <c r="R125" s="417"/>
      <c r="S125" s="417"/>
      <c r="T125" s="417"/>
      <c r="U125" s="417"/>
      <c r="V125" s="417"/>
      <c r="W125" s="417"/>
      <c r="X125" s="417"/>
      <c r="Y125" s="417"/>
      <c r="Z125" s="417"/>
      <c r="AA125" s="417"/>
      <c r="AB125" s="417"/>
      <c r="AC125" s="417"/>
    </row>
    <row r="126" spans="1:29">
      <c r="A126" s="471"/>
      <c r="B126" s="471"/>
      <c r="C126" s="471"/>
      <c r="D126" s="417" t="s">
        <v>471</v>
      </c>
      <c r="E126" s="417">
        <f>+E125</f>
        <v>2013</v>
      </c>
      <c r="F126" s="735">
        <f t="shared" si="13"/>
        <v>373081.16666666669</v>
      </c>
      <c r="G126" s="762">
        <f t="shared" si="13"/>
        <v>2.8E-3</v>
      </c>
      <c r="H126" s="417">
        <f t="shared" si="12"/>
        <v>0.5</v>
      </c>
      <c r="I126" s="731">
        <f t="shared" si="9"/>
        <v>522.31363333333331</v>
      </c>
      <c r="J126" s="731">
        <f t="shared" si="10"/>
        <v>373603.4803</v>
      </c>
      <c r="K126" s="417"/>
      <c r="L126" s="417"/>
      <c r="M126" s="417"/>
      <c r="N126" s="417"/>
      <c r="O126" s="417"/>
      <c r="P126" s="417"/>
      <c r="Q126" s="417"/>
      <c r="R126" s="417"/>
      <c r="S126" s="417"/>
      <c r="T126" s="417"/>
      <c r="U126" s="417"/>
      <c r="V126" s="417"/>
      <c r="W126" s="417"/>
      <c r="X126" s="417"/>
      <c r="Y126" s="417"/>
      <c r="Z126" s="417"/>
      <c r="AA126" s="417"/>
      <c r="AB126" s="417"/>
      <c r="AC126" s="417"/>
    </row>
    <row r="127" spans="1:29">
      <c r="A127" s="471"/>
      <c r="B127" s="471"/>
      <c r="C127" s="471"/>
      <c r="D127" s="417" t="s">
        <v>222</v>
      </c>
      <c r="E127" s="417"/>
      <c r="F127" s="735">
        <f>SUM(F115:F126)</f>
        <v>4476973.9999999991</v>
      </c>
      <c r="G127" s="417"/>
      <c r="H127" s="417"/>
      <c r="I127" s="417"/>
      <c r="J127" s="731">
        <f>SUM(J115:J126)</f>
        <v>4552187.1632000003</v>
      </c>
      <c r="K127" s="417"/>
      <c r="L127" s="417"/>
      <c r="M127" s="417"/>
      <c r="N127" s="417"/>
      <c r="O127" s="417"/>
      <c r="P127" s="417"/>
      <c r="Q127" s="417"/>
      <c r="R127" s="417"/>
      <c r="S127" s="417"/>
      <c r="T127" s="417"/>
      <c r="U127" s="417"/>
      <c r="V127" s="417"/>
      <c r="W127" s="417"/>
      <c r="X127" s="417"/>
      <c r="Y127" s="417"/>
      <c r="Z127" s="417"/>
      <c r="AA127" s="417"/>
      <c r="AB127" s="417"/>
      <c r="AC127" s="417"/>
    </row>
    <row r="128" spans="1:29">
      <c r="A128" s="471"/>
      <c r="B128" s="471"/>
      <c r="C128" s="471"/>
      <c r="D128" s="417"/>
      <c r="E128" s="417"/>
      <c r="F128" s="735"/>
      <c r="G128" s="417"/>
      <c r="H128" s="417"/>
      <c r="I128" s="417"/>
      <c r="J128" s="731"/>
      <c r="K128" s="735"/>
      <c r="L128" s="417"/>
      <c r="M128" s="417"/>
      <c r="N128" s="417"/>
      <c r="O128" s="417"/>
      <c r="P128" s="417"/>
      <c r="Q128" s="417"/>
      <c r="R128" s="417"/>
      <c r="S128" s="417"/>
      <c r="T128" s="417"/>
      <c r="U128" s="417"/>
      <c r="V128" s="417"/>
      <c r="W128" s="417"/>
      <c r="X128" s="417"/>
      <c r="Y128" s="417"/>
      <c r="Z128" s="417"/>
      <c r="AA128" s="417"/>
      <c r="AB128" s="417"/>
      <c r="AC128" s="417"/>
    </row>
    <row r="129" spans="1:29">
      <c r="A129" s="471"/>
      <c r="B129" s="471"/>
      <c r="C129" s="471"/>
      <c r="D129" s="417"/>
      <c r="E129" s="417"/>
      <c r="F129" s="760" t="s">
        <v>495</v>
      </c>
      <c r="G129" s="471" t="s">
        <v>491</v>
      </c>
      <c r="H129" s="471" t="s">
        <v>496</v>
      </c>
      <c r="I129" s="471" t="s">
        <v>495</v>
      </c>
      <c r="J129" s="417"/>
      <c r="K129" s="735"/>
      <c r="L129" s="417"/>
      <c r="M129" s="417"/>
      <c r="N129" s="417"/>
      <c r="O129" s="417"/>
      <c r="P129" s="417"/>
      <c r="Q129" s="417"/>
      <c r="R129" s="417"/>
      <c r="S129" s="417"/>
      <c r="T129" s="417"/>
      <c r="U129" s="417"/>
      <c r="V129" s="417"/>
      <c r="W129" s="417"/>
      <c r="X129" s="417"/>
      <c r="Y129" s="417"/>
      <c r="Z129" s="417"/>
      <c r="AA129" s="417"/>
      <c r="AB129" s="417"/>
      <c r="AC129" s="417"/>
    </row>
    <row r="130" spans="1:29">
      <c r="A130" s="471"/>
      <c r="B130" s="471"/>
      <c r="C130" s="471"/>
      <c r="D130" s="417" t="str">
        <f t="shared" ref="D130:D141" si="14">+D115</f>
        <v>Jun</v>
      </c>
      <c r="E130" s="417">
        <f>+E126</f>
        <v>2013</v>
      </c>
      <c r="F130" s="735">
        <f>+J127</f>
        <v>4552187.1632000003</v>
      </c>
      <c r="G130" s="762">
        <f>+G126</f>
        <v>2.8E-3</v>
      </c>
      <c r="H130" s="731">
        <f>-PMT(G130,12,J127)</f>
        <v>386288.4719095102</v>
      </c>
      <c r="I130" s="731">
        <f t="shared" ref="I130:I141" si="15">+F130+F130*G130-H130</f>
        <v>4178644.8153474508</v>
      </c>
      <c r="J130" s="417"/>
      <c r="K130" s="735"/>
      <c r="L130" s="417"/>
      <c r="M130" s="417"/>
      <c r="N130" s="417"/>
      <c r="O130" s="417"/>
      <c r="P130" s="417"/>
      <c r="Q130" s="417"/>
      <c r="R130" s="417"/>
      <c r="S130" s="417"/>
      <c r="T130" s="417"/>
      <c r="U130" s="417"/>
      <c r="V130" s="417"/>
      <c r="W130" s="417"/>
      <c r="X130" s="417"/>
      <c r="Y130" s="417"/>
      <c r="Z130" s="417"/>
      <c r="AA130" s="417"/>
      <c r="AB130" s="417"/>
      <c r="AC130" s="417"/>
    </row>
    <row r="131" spans="1:29">
      <c r="A131" s="471"/>
      <c r="B131" s="471"/>
      <c r="C131" s="471"/>
      <c r="D131" s="417" t="str">
        <f t="shared" si="14"/>
        <v>Jul</v>
      </c>
      <c r="E131" s="417">
        <f t="shared" ref="E131:E136" si="16">+E130</f>
        <v>2013</v>
      </c>
      <c r="F131" s="735">
        <f t="shared" ref="F131:F141" si="17">+I130</f>
        <v>4178644.8153474508</v>
      </c>
      <c r="G131" s="762">
        <f t="shared" ref="G131:G141" si="18">+G130</f>
        <v>2.8E-3</v>
      </c>
      <c r="H131" s="735">
        <f t="shared" ref="H131:H141" si="19">+H130</f>
        <v>386288.4719095102</v>
      </c>
      <c r="I131" s="731">
        <f t="shared" si="15"/>
        <v>3804056.5489209136</v>
      </c>
      <c r="J131" s="417"/>
      <c r="K131" s="417"/>
      <c r="L131" s="417"/>
      <c r="M131" s="417"/>
      <c r="N131" s="417"/>
      <c r="O131" s="417"/>
      <c r="P131" s="417"/>
      <c r="Q131" s="417"/>
      <c r="R131" s="417"/>
      <c r="S131" s="417"/>
      <c r="T131" s="417"/>
      <c r="U131" s="417"/>
      <c r="V131" s="417"/>
      <c r="W131" s="417"/>
      <c r="X131" s="417"/>
      <c r="Y131" s="417"/>
      <c r="Z131" s="417"/>
      <c r="AA131" s="417"/>
      <c r="AB131" s="417"/>
      <c r="AC131" s="417"/>
    </row>
    <row r="132" spans="1:29">
      <c r="A132" s="471"/>
      <c r="B132" s="471"/>
      <c r="C132" s="471"/>
      <c r="D132" s="417" t="str">
        <f t="shared" si="14"/>
        <v>Aug</v>
      </c>
      <c r="E132" s="417">
        <f t="shared" si="16"/>
        <v>2013</v>
      </c>
      <c r="F132" s="735">
        <f t="shared" si="17"/>
        <v>3804056.5489209136</v>
      </c>
      <c r="G132" s="762">
        <f t="shared" si="18"/>
        <v>2.8E-3</v>
      </c>
      <c r="H132" s="735">
        <f t="shared" si="19"/>
        <v>386288.4719095102</v>
      </c>
      <c r="I132" s="731">
        <f t="shared" si="15"/>
        <v>3428419.4353483822</v>
      </c>
      <c r="J132" s="417"/>
      <c r="K132" s="417"/>
      <c r="L132" s="417"/>
      <c r="M132" s="417"/>
      <c r="N132" s="417"/>
      <c r="O132" s="417"/>
      <c r="P132" s="417"/>
      <c r="Q132" s="417"/>
      <c r="R132" s="417"/>
      <c r="S132" s="417"/>
      <c r="T132" s="417"/>
      <c r="U132" s="417"/>
      <c r="V132" s="417"/>
      <c r="W132" s="417"/>
      <c r="X132" s="417"/>
      <c r="Y132" s="417"/>
      <c r="Z132" s="417"/>
      <c r="AA132" s="417"/>
      <c r="AB132" s="417"/>
      <c r="AC132" s="417"/>
    </row>
    <row r="133" spans="1:29">
      <c r="A133" s="471"/>
      <c r="B133" s="471"/>
      <c r="C133" s="471"/>
      <c r="D133" s="417" t="str">
        <f t="shared" si="14"/>
        <v>Sep</v>
      </c>
      <c r="E133" s="417">
        <f t="shared" si="16"/>
        <v>2013</v>
      </c>
      <c r="F133" s="735">
        <f t="shared" si="17"/>
        <v>3428419.4353483822</v>
      </c>
      <c r="G133" s="762">
        <f t="shared" si="18"/>
        <v>2.8E-3</v>
      </c>
      <c r="H133" s="735">
        <f t="shared" si="19"/>
        <v>386288.4719095102</v>
      </c>
      <c r="I133" s="731">
        <f t="shared" si="15"/>
        <v>3051730.5378578473</v>
      </c>
      <c r="J133" s="417"/>
      <c r="K133" s="763"/>
      <c r="L133" s="417"/>
      <c r="M133" s="417"/>
      <c r="N133" s="417"/>
      <c r="O133" s="417"/>
      <c r="P133" s="417"/>
      <c r="Q133" s="417"/>
      <c r="R133" s="417"/>
      <c r="S133" s="417"/>
      <c r="T133" s="417"/>
      <c r="U133" s="417"/>
      <c r="V133" s="417"/>
      <c r="W133" s="417"/>
      <c r="X133" s="417"/>
      <c r="Y133" s="417"/>
      <c r="Z133" s="417"/>
      <c r="AA133" s="417"/>
      <c r="AB133" s="417"/>
      <c r="AC133" s="417"/>
    </row>
    <row r="134" spans="1:29">
      <c r="A134" s="471"/>
      <c r="B134" s="471"/>
      <c r="C134" s="471"/>
      <c r="D134" s="417" t="str">
        <f t="shared" si="14"/>
        <v>Oct</v>
      </c>
      <c r="E134" s="417">
        <f t="shared" si="16"/>
        <v>2013</v>
      </c>
      <c r="F134" s="735">
        <f t="shared" si="17"/>
        <v>3051730.5378578473</v>
      </c>
      <c r="G134" s="762">
        <f t="shared" si="18"/>
        <v>2.8E-3</v>
      </c>
      <c r="H134" s="735">
        <f t="shared" si="19"/>
        <v>386288.4719095102</v>
      </c>
      <c r="I134" s="731">
        <f t="shared" si="15"/>
        <v>2673986.9114543395</v>
      </c>
      <c r="J134" s="417"/>
      <c r="K134" s="762"/>
      <c r="L134" s="417"/>
      <c r="M134" s="417"/>
      <c r="N134" s="417"/>
      <c r="O134" s="417"/>
      <c r="P134" s="417"/>
      <c r="Q134" s="417"/>
      <c r="R134" s="417"/>
      <c r="S134" s="417"/>
      <c r="T134" s="417"/>
      <c r="U134" s="417"/>
      <c r="V134" s="417"/>
      <c r="W134" s="417"/>
      <c r="X134" s="417"/>
      <c r="Y134" s="417"/>
      <c r="Z134" s="417"/>
      <c r="AA134" s="417"/>
      <c r="AB134" s="417"/>
      <c r="AC134" s="417"/>
    </row>
    <row r="135" spans="1:29">
      <c r="A135" s="471"/>
      <c r="B135" s="471"/>
      <c r="C135" s="471"/>
      <c r="D135" s="417" t="str">
        <f t="shared" si="14"/>
        <v>Nov</v>
      </c>
      <c r="E135" s="417">
        <f t="shared" si="16"/>
        <v>2013</v>
      </c>
      <c r="F135" s="735">
        <f t="shared" si="17"/>
        <v>2673986.9114543395</v>
      </c>
      <c r="G135" s="762">
        <f t="shared" si="18"/>
        <v>2.8E-3</v>
      </c>
      <c r="H135" s="735">
        <f t="shared" si="19"/>
        <v>386288.4719095102</v>
      </c>
      <c r="I135" s="731">
        <f t="shared" si="15"/>
        <v>2295185.6028969018</v>
      </c>
      <c r="J135" s="417"/>
      <c r="K135" s="417"/>
      <c r="L135" s="417"/>
      <c r="M135" s="417"/>
      <c r="N135" s="417"/>
      <c r="O135" s="417"/>
      <c r="P135" s="417"/>
      <c r="Q135" s="417"/>
      <c r="R135" s="417"/>
      <c r="S135" s="417"/>
      <c r="T135" s="417"/>
      <c r="U135" s="417"/>
      <c r="V135" s="417"/>
      <c r="W135" s="417"/>
      <c r="X135" s="417"/>
      <c r="Y135" s="417"/>
      <c r="Z135" s="417"/>
      <c r="AA135" s="417"/>
      <c r="AB135" s="417"/>
      <c r="AC135" s="417"/>
    </row>
    <row r="136" spans="1:29">
      <c r="A136" s="471"/>
      <c r="B136" s="471"/>
      <c r="C136" s="471"/>
      <c r="D136" s="417" t="str">
        <f t="shared" si="14"/>
        <v>Dec</v>
      </c>
      <c r="E136" s="417">
        <f t="shared" si="16"/>
        <v>2013</v>
      </c>
      <c r="F136" s="735">
        <f t="shared" si="17"/>
        <v>2295185.6028969018</v>
      </c>
      <c r="G136" s="762">
        <f t="shared" si="18"/>
        <v>2.8E-3</v>
      </c>
      <c r="H136" s="735">
        <f t="shared" si="19"/>
        <v>386288.4719095102</v>
      </c>
      <c r="I136" s="731">
        <f t="shared" si="15"/>
        <v>1915323.6506755028</v>
      </c>
      <c r="J136" s="417"/>
      <c r="K136" s="417"/>
      <c r="L136" s="417"/>
      <c r="M136" s="417"/>
      <c r="N136" s="417"/>
      <c r="O136" s="417"/>
      <c r="P136" s="417"/>
      <c r="Q136" s="417"/>
      <c r="R136" s="417"/>
      <c r="S136" s="417"/>
      <c r="T136" s="417"/>
      <c r="U136" s="417"/>
      <c r="V136" s="417"/>
      <c r="W136" s="417"/>
      <c r="X136" s="417"/>
      <c r="Y136" s="417"/>
      <c r="Z136" s="417"/>
      <c r="AA136" s="417"/>
      <c r="AB136" s="417"/>
      <c r="AC136" s="417"/>
    </row>
    <row r="137" spans="1:29">
      <c r="A137" s="471"/>
      <c r="B137" s="471"/>
      <c r="C137" s="471"/>
      <c r="D137" s="417" t="str">
        <f t="shared" si="14"/>
        <v>Jan</v>
      </c>
      <c r="E137" s="417">
        <f>+E136+1</f>
        <v>2014</v>
      </c>
      <c r="F137" s="735">
        <f t="shared" si="17"/>
        <v>1915323.6506755028</v>
      </c>
      <c r="G137" s="762">
        <f t="shared" si="18"/>
        <v>2.8E-3</v>
      </c>
      <c r="H137" s="735">
        <f t="shared" si="19"/>
        <v>386288.4719095102</v>
      </c>
      <c r="I137" s="731">
        <f t="shared" si="15"/>
        <v>1534398.0849878842</v>
      </c>
      <c r="J137" s="417"/>
      <c r="K137" s="417"/>
      <c r="L137" s="417"/>
      <c r="M137" s="417"/>
      <c r="N137" s="417"/>
      <c r="O137" s="417"/>
      <c r="P137" s="417"/>
      <c r="Q137" s="417"/>
      <c r="R137" s="417"/>
      <c r="S137" s="417"/>
      <c r="T137" s="417"/>
      <c r="U137" s="417"/>
      <c r="V137" s="417"/>
      <c r="W137" s="417"/>
      <c r="X137" s="417"/>
      <c r="Y137" s="417"/>
      <c r="Z137" s="417"/>
      <c r="AA137" s="417"/>
      <c r="AB137" s="417"/>
      <c r="AC137" s="417"/>
    </row>
    <row r="138" spans="1:29">
      <c r="A138" s="471"/>
      <c r="B138" s="471"/>
      <c r="C138" s="471"/>
      <c r="D138" s="417" t="str">
        <f t="shared" si="14"/>
        <v>Feb</v>
      </c>
      <c r="E138" s="417">
        <f>+E137</f>
        <v>2014</v>
      </c>
      <c r="F138" s="735">
        <f t="shared" si="17"/>
        <v>1534398.0849878842</v>
      </c>
      <c r="G138" s="762">
        <f t="shared" si="18"/>
        <v>2.8E-3</v>
      </c>
      <c r="H138" s="735">
        <f t="shared" si="19"/>
        <v>386288.4719095102</v>
      </c>
      <c r="I138" s="731">
        <f t="shared" si="15"/>
        <v>1152405.9277163399</v>
      </c>
      <c r="J138" s="417"/>
      <c r="K138" s="417"/>
      <c r="L138" s="417"/>
      <c r="M138" s="417"/>
      <c r="N138" s="417"/>
      <c r="O138" s="417"/>
      <c r="P138" s="417"/>
      <c r="Q138" s="417"/>
      <c r="R138" s="417"/>
      <c r="S138" s="417"/>
      <c r="T138" s="417"/>
      <c r="U138" s="417"/>
      <c r="V138" s="417"/>
      <c r="W138" s="417"/>
      <c r="X138" s="417"/>
      <c r="Y138" s="417"/>
      <c r="Z138" s="417"/>
      <c r="AA138" s="417"/>
      <c r="AB138" s="417"/>
      <c r="AC138" s="417"/>
    </row>
    <row r="139" spans="1:29">
      <c r="A139" s="471"/>
      <c r="B139" s="471"/>
      <c r="C139" s="471"/>
      <c r="D139" s="417" t="str">
        <f t="shared" si="14"/>
        <v>Mar</v>
      </c>
      <c r="E139" s="417">
        <f>+E138</f>
        <v>2014</v>
      </c>
      <c r="F139" s="735">
        <f t="shared" si="17"/>
        <v>1152405.9277163399</v>
      </c>
      <c r="G139" s="762">
        <f t="shared" si="18"/>
        <v>2.8E-3</v>
      </c>
      <c r="H139" s="735">
        <f t="shared" si="19"/>
        <v>386288.4719095102</v>
      </c>
      <c r="I139" s="731">
        <f t="shared" si="15"/>
        <v>769344.19240443548</v>
      </c>
      <c r="J139" s="417"/>
      <c r="K139" s="417"/>
      <c r="L139" s="417"/>
      <c r="M139" s="417"/>
      <c r="N139" s="417"/>
      <c r="O139" s="417"/>
      <c r="P139" s="417"/>
      <c r="Q139" s="417"/>
      <c r="R139" s="417"/>
      <c r="S139" s="417"/>
      <c r="T139" s="417"/>
      <c r="U139" s="417"/>
      <c r="V139" s="417"/>
      <c r="W139" s="417"/>
      <c r="X139" s="417"/>
      <c r="Y139" s="417"/>
      <c r="Z139" s="417"/>
      <c r="AA139" s="417"/>
      <c r="AB139" s="417"/>
      <c r="AC139" s="417"/>
    </row>
    <row r="140" spans="1:29">
      <c r="A140" s="471"/>
      <c r="B140" s="471"/>
      <c r="C140" s="471"/>
      <c r="D140" s="417" t="str">
        <f t="shared" si="14"/>
        <v>Apr</v>
      </c>
      <c r="E140" s="417">
        <f>+E139</f>
        <v>2014</v>
      </c>
      <c r="F140" s="735">
        <f t="shared" si="17"/>
        <v>769344.19240443548</v>
      </c>
      <c r="G140" s="762">
        <f t="shared" si="18"/>
        <v>2.8E-3</v>
      </c>
      <c r="H140" s="735">
        <f t="shared" si="19"/>
        <v>386288.4719095102</v>
      </c>
      <c r="I140" s="731">
        <f t="shared" si="15"/>
        <v>385209.88423365774</v>
      </c>
      <c r="J140" s="417"/>
      <c r="K140" s="417"/>
      <c r="L140" s="417"/>
      <c r="M140" s="417"/>
      <c r="N140" s="417"/>
      <c r="O140" s="417"/>
      <c r="P140" s="417"/>
      <c r="Q140" s="417"/>
      <c r="R140" s="417"/>
      <c r="S140" s="417"/>
      <c r="T140" s="417"/>
      <c r="U140" s="417"/>
      <c r="V140" s="417"/>
      <c r="W140" s="417"/>
      <c r="X140" s="417"/>
      <c r="Y140" s="417"/>
      <c r="Z140" s="417"/>
      <c r="AA140" s="417"/>
      <c r="AB140" s="417"/>
      <c r="AC140" s="417"/>
    </row>
    <row r="141" spans="1:29">
      <c r="A141" s="471"/>
      <c r="B141" s="471"/>
      <c r="C141" s="471"/>
      <c r="D141" s="417" t="str">
        <f t="shared" si="14"/>
        <v>May</v>
      </c>
      <c r="E141" s="417">
        <f>+E140</f>
        <v>2014</v>
      </c>
      <c r="F141" s="735">
        <f t="shared" si="17"/>
        <v>385209.88423365774</v>
      </c>
      <c r="G141" s="762">
        <f t="shared" si="18"/>
        <v>2.8E-3</v>
      </c>
      <c r="H141" s="735">
        <f t="shared" si="19"/>
        <v>386288.4719095102</v>
      </c>
      <c r="I141" s="731">
        <f t="shared" si="15"/>
        <v>1.7462298274040222E-9</v>
      </c>
      <c r="J141" s="417"/>
      <c r="K141" s="417"/>
      <c r="L141" s="417"/>
      <c r="M141" s="417"/>
      <c r="N141" s="417"/>
      <c r="O141" s="417"/>
      <c r="P141" s="417"/>
      <c r="Q141" s="417"/>
      <c r="R141" s="417"/>
      <c r="S141" s="417"/>
      <c r="T141" s="417"/>
      <c r="U141" s="417"/>
      <c r="V141" s="417"/>
      <c r="W141" s="417"/>
      <c r="X141" s="417"/>
      <c r="Y141" s="417"/>
      <c r="Z141" s="417"/>
      <c r="AA141" s="417"/>
      <c r="AB141" s="417"/>
      <c r="AC141" s="417"/>
    </row>
    <row r="142" spans="1:29">
      <c r="A142" s="471"/>
      <c r="B142" s="471"/>
      <c r="C142" s="471"/>
      <c r="D142" s="417" t="s">
        <v>551</v>
      </c>
      <c r="E142" s="417"/>
      <c r="F142" s="417"/>
      <c r="G142" s="417"/>
      <c r="H142" s="735">
        <f>SUM(H130:H141)</f>
        <v>4635461.6629141215</v>
      </c>
      <c r="I142" s="417"/>
      <c r="J142" s="417"/>
      <c r="K142" s="417"/>
      <c r="L142" s="417"/>
      <c r="M142" s="417"/>
      <c r="N142" s="417"/>
      <c r="O142" s="417"/>
      <c r="P142" s="417"/>
      <c r="Q142" s="417"/>
      <c r="R142" s="417"/>
      <c r="S142" s="417"/>
      <c r="T142" s="417"/>
      <c r="U142" s="417"/>
      <c r="V142" s="417"/>
      <c r="W142" s="417"/>
      <c r="X142" s="417"/>
      <c r="Y142" s="417"/>
      <c r="Z142" s="417"/>
      <c r="AA142" s="417"/>
      <c r="AB142" s="417"/>
      <c r="AC142" s="417"/>
    </row>
    <row r="143" spans="1:29">
      <c r="A143" s="471"/>
      <c r="B143" s="471"/>
      <c r="C143" s="471"/>
      <c r="D143" s="417"/>
      <c r="E143" s="417"/>
      <c r="F143" s="417"/>
      <c r="G143" s="417"/>
      <c r="H143" s="417"/>
      <c r="I143" s="417"/>
      <c r="J143" s="417"/>
      <c r="K143" s="417"/>
      <c r="L143" s="417"/>
      <c r="M143" s="417"/>
      <c r="N143" s="417"/>
      <c r="O143" s="417"/>
      <c r="P143" s="417"/>
      <c r="Q143" s="417"/>
      <c r="R143" s="417"/>
      <c r="S143" s="417"/>
      <c r="T143" s="417"/>
      <c r="U143" s="417"/>
      <c r="V143" s="417"/>
      <c r="W143" s="417"/>
      <c r="X143" s="417"/>
      <c r="Y143" s="417"/>
      <c r="Z143" s="417"/>
      <c r="AA143" s="417"/>
      <c r="AB143" s="417"/>
      <c r="AC143" s="417"/>
    </row>
    <row r="144" spans="1:29">
      <c r="B144" s="471"/>
      <c r="C144" s="471"/>
      <c r="D144" s="758" t="s">
        <v>570</v>
      </c>
      <c r="E144" s="471"/>
      <c r="G144" s="471"/>
      <c r="H144" s="735">
        <f>+H142</f>
        <v>4635461.6629141215</v>
      </c>
      <c r="I144" s="471"/>
      <c r="J144" s="735"/>
      <c r="K144" s="417"/>
      <c r="L144" s="417"/>
      <c r="M144" s="417"/>
      <c r="N144" s="417"/>
      <c r="O144" s="417"/>
      <c r="P144" s="417"/>
      <c r="Q144" s="417"/>
      <c r="R144" s="417"/>
      <c r="S144" s="417"/>
      <c r="T144" s="417"/>
      <c r="U144" s="417"/>
      <c r="V144" s="417"/>
      <c r="W144" s="417"/>
      <c r="X144" s="417"/>
      <c r="Y144" s="417"/>
      <c r="Z144" s="417"/>
      <c r="AA144" s="417"/>
      <c r="AB144" s="417"/>
      <c r="AC144" s="417"/>
    </row>
    <row r="145" spans="1:29">
      <c r="B145" s="471"/>
      <c r="C145" s="471"/>
      <c r="D145" s="758" t="s">
        <v>157</v>
      </c>
      <c r="E145" s="471"/>
      <c r="G145" s="471"/>
      <c r="H145" s="764">
        <f>165389797+1198042+'5 - Cost Support'!H213</f>
        <v>166432756</v>
      </c>
      <c r="I145" s="733" t="s">
        <v>576</v>
      </c>
      <c r="J145" s="753"/>
      <c r="K145" s="417"/>
      <c r="L145" s="417"/>
      <c r="M145" s="417"/>
      <c r="N145" s="417"/>
      <c r="O145" s="417"/>
      <c r="P145" s="417"/>
      <c r="Q145" s="417"/>
      <c r="R145" s="417"/>
      <c r="S145" s="417"/>
      <c r="T145" s="417"/>
      <c r="U145" s="417"/>
      <c r="V145" s="417"/>
      <c r="W145" s="417"/>
      <c r="X145" s="417"/>
      <c r="Y145" s="417"/>
      <c r="Z145" s="417"/>
      <c r="AA145" s="417"/>
      <c r="AB145" s="417"/>
      <c r="AC145" s="417"/>
    </row>
    <row r="146" spans="1:29">
      <c r="B146" s="471"/>
      <c r="C146" s="471"/>
      <c r="D146" s="758" t="s">
        <v>156</v>
      </c>
      <c r="E146" s="471"/>
      <c r="G146" s="471"/>
      <c r="H146" s="735">
        <f>+H144+H145</f>
        <v>171068217.66291413</v>
      </c>
      <c r="I146" s="765"/>
      <c r="J146" s="753"/>
      <c r="K146" s="417"/>
      <c r="L146" s="417"/>
      <c r="M146" s="417"/>
      <c r="N146" s="417"/>
      <c r="O146" s="417"/>
      <c r="P146" s="417"/>
      <c r="Q146" s="417"/>
      <c r="R146" s="417"/>
      <c r="S146" s="417"/>
      <c r="T146" s="417"/>
      <c r="U146" s="417"/>
      <c r="V146" s="417"/>
      <c r="W146" s="417"/>
      <c r="X146" s="417"/>
      <c r="Y146" s="417"/>
      <c r="Z146" s="417"/>
      <c r="AA146" s="417"/>
      <c r="AB146" s="417"/>
      <c r="AC146" s="417"/>
    </row>
    <row r="147" spans="1:29">
      <c r="B147" s="471"/>
      <c r="C147" s="471"/>
      <c r="D147" s="738"/>
      <c r="E147" s="471"/>
      <c r="G147" s="471"/>
      <c r="H147" s="735"/>
      <c r="I147" s="765"/>
      <c r="J147" s="753"/>
      <c r="K147" s="417"/>
      <c r="L147" s="417"/>
      <c r="M147" s="417"/>
      <c r="N147" s="417"/>
      <c r="O147" s="417"/>
      <c r="P147" s="417"/>
      <c r="Q147" s="417"/>
      <c r="R147" s="417"/>
      <c r="S147" s="417"/>
      <c r="T147" s="417"/>
      <c r="U147" s="417"/>
      <c r="V147" s="417"/>
      <c r="W147" s="417"/>
      <c r="X147" s="417"/>
      <c r="Y147" s="417"/>
      <c r="Z147" s="417"/>
      <c r="AA147" s="417"/>
      <c r="AB147" s="417"/>
      <c r="AC147" s="417"/>
    </row>
    <row r="148" spans="1:29">
      <c r="A148" s="471"/>
      <c r="B148" s="471"/>
      <c r="C148" s="471"/>
      <c r="D148" s="738"/>
      <c r="E148" s="471"/>
      <c r="F148" s="735"/>
      <c r="G148" s="471"/>
      <c r="H148" s="735"/>
      <c r="I148" s="765"/>
      <c r="J148" s="753"/>
      <c r="K148" s="417"/>
      <c r="L148" s="417"/>
      <c r="M148" s="417"/>
      <c r="N148" s="417"/>
      <c r="O148" s="417"/>
      <c r="P148" s="417"/>
      <c r="Q148" s="417"/>
      <c r="R148" s="417"/>
      <c r="S148" s="417"/>
      <c r="T148" s="417"/>
      <c r="U148" s="417"/>
      <c r="V148" s="417"/>
      <c r="W148" s="417"/>
      <c r="X148" s="417"/>
      <c r="Y148" s="417"/>
      <c r="Z148" s="417"/>
      <c r="AA148" s="417"/>
      <c r="AB148" s="417"/>
      <c r="AC148" s="417"/>
    </row>
    <row r="149" spans="1:29">
      <c r="A149" s="471">
        <f>A20</f>
        <v>10</v>
      </c>
      <c r="B149" s="471" t="str">
        <f>B20</f>
        <v>May</v>
      </c>
      <c r="C149" s="471" t="str">
        <f>C20</f>
        <v>Year 3</v>
      </c>
      <c r="D149" s="741" t="str">
        <f>D20</f>
        <v>Post results of Step 9 on PJM web site</v>
      </c>
      <c r="E149" s="417"/>
      <c r="F149" s="417"/>
      <c r="G149" s="417"/>
      <c r="H149" s="731"/>
      <c r="I149" s="1030"/>
      <c r="J149" s="754"/>
      <c r="K149" s="1030"/>
      <c r="L149" s="417"/>
      <c r="M149" s="417"/>
      <c r="N149" s="417"/>
      <c r="O149" s="417"/>
      <c r="P149" s="417"/>
      <c r="Q149" s="417"/>
      <c r="R149" s="417"/>
      <c r="S149" s="417"/>
      <c r="T149" s="417"/>
      <c r="U149" s="417"/>
      <c r="V149" s="417"/>
      <c r="W149" s="417"/>
      <c r="X149" s="417"/>
      <c r="Y149" s="417"/>
      <c r="Z149" s="417"/>
      <c r="AA149" s="417"/>
      <c r="AB149" s="417"/>
      <c r="AC149" s="417"/>
    </row>
    <row r="150" spans="1:29">
      <c r="A150" s="471"/>
      <c r="B150" s="471"/>
      <c r="C150" s="471"/>
      <c r="D150" s="740">
        <f>+H146</f>
        <v>171068217.66291413</v>
      </c>
      <c r="E150" s="417" t="str">
        <f>+D48</f>
        <v>Post On PJM Web Site Rev Req and Formula with Exhibits</v>
      </c>
      <c r="F150" s="417"/>
      <c r="G150" s="417"/>
      <c r="H150" s="417"/>
      <c r="I150" s="737"/>
      <c r="J150" s="754"/>
      <c r="K150" s="1030"/>
      <c r="L150" s="417"/>
      <c r="M150" s="417"/>
      <c r="N150" s="417"/>
      <c r="O150" s="417"/>
      <c r="P150" s="417"/>
      <c r="Q150" s="417"/>
      <c r="R150" s="417"/>
      <c r="S150" s="417"/>
      <c r="T150" s="417"/>
      <c r="U150" s="417"/>
      <c r="V150" s="417"/>
      <c r="W150" s="417"/>
      <c r="X150" s="417"/>
      <c r="Y150" s="417"/>
      <c r="Z150" s="417"/>
      <c r="AA150" s="417"/>
      <c r="AB150" s="417"/>
      <c r="AC150" s="417"/>
    </row>
    <row r="151" spans="1:29">
      <c r="A151" s="471"/>
      <c r="B151" s="471"/>
      <c r="C151" s="471"/>
      <c r="D151" s="746"/>
      <c r="E151" s="738"/>
      <c r="F151" s="417"/>
      <c r="G151" s="417"/>
      <c r="H151" s="417"/>
      <c r="I151" s="737"/>
      <c r="J151" s="754"/>
      <c r="K151" s="1030"/>
      <c r="L151" s="417"/>
      <c r="M151" s="417"/>
      <c r="N151" s="417"/>
      <c r="O151" s="417"/>
      <c r="P151" s="417"/>
      <c r="Q151" s="417"/>
      <c r="R151" s="417"/>
      <c r="S151" s="417"/>
      <c r="T151" s="417"/>
      <c r="U151" s="417"/>
      <c r="V151" s="417"/>
      <c r="W151" s="417"/>
      <c r="X151" s="417"/>
      <c r="Y151" s="417"/>
      <c r="Z151" s="417"/>
      <c r="AA151" s="417"/>
      <c r="AB151" s="417"/>
      <c r="AC151" s="417"/>
    </row>
    <row r="152" spans="1:29">
      <c r="A152" s="471"/>
      <c r="B152" s="471"/>
      <c r="C152" s="471"/>
      <c r="D152" s="740"/>
      <c r="E152" s="417"/>
      <c r="F152" s="417"/>
      <c r="G152" s="417"/>
      <c r="H152" s="417"/>
      <c r="I152" s="754"/>
      <c r="J152" s="754"/>
      <c r="K152" s="1030"/>
      <c r="L152" s="417"/>
      <c r="M152" s="417"/>
      <c r="N152" s="417"/>
      <c r="O152" s="417"/>
      <c r="P152" s="417"/>
      <c r="Q152" s="417"/>
      <c r="R152" s="417"/>
      <c r="S152" s="417"/>
      <c r="T152" s="417"/>
      <c r="U152" s="417"/>
      <c r="V152" s="417"/>
      <c r="W152" s="417"/>
      <c r="X152" s="417"/>
      <c r="Y152" s="417"/>
      <c r="Z152" s="417"/>
      <c r="AA152" s="417"/>
      <c r="AB152" s="417"/>
      <c r="AC152" s="417"/>
    </row>
    <row r="153" spans="1:29">
      <c r="A153" s="471">
        <f>A21</f>
        <v>11</v>
      </c>
      <c r="B153" s="471" t="str">
        <f>B21</f>
        <v>June</v>
      </c>
      <c r="C153" s="471" t="str">
        <f>C21</f>
        <v>Year 3</v>
      </c>
      <c r="D153" s="741" t="str">
        <f>D21</f>
        <v>Results of Step 9 go into effect for Rate Year 2 (e.g., June 1, 2006 - May 31, 2007)</v>
      </c>
      <c r="E153" s="417"/>
      <c r="F153" s="417"/>
      <c r="G153" s="417"/>
      <c r="H153" s="417"/>
      <c r="I153" s="417"/>
      <c r="J153" s="731"/>
      <c r="K153" s="1030"/>
      <c r="L153" s="417"/>
      <c r="M153" s="417"/>
      <c r="N153" s="417"/>
      <c r="O153" s="417"/>
      <c r="P153" s="417"/>
      <c r="Q153" s="417"/>
      <c r="R153" s="417"/>
      <c r="S153" s="417"/>
      <c r="T153" s="417"/>
      <c r="U153" s="417"/>
      <c r="V153" s="417"/>
      <c r="W153" s="417"/>
      <c r="X153" s="417"/>
      <c r="Y153" s="417"/>
      <c r="Z153" s="417"/>
      <c r="AA153" s="417"/>
      <c r="AB153" s="417"/>
      <c r="AC153" s="417"/>
    </row>
    <row r="154" spans="1:29">
      <c r="A154" s="471"/>
      <c r="B154" s="471"/>
      <c r="C154" s="471"/>
      <c r="D154" s="766">
        <f>+D150</f>
        <v>171068217.66291413</v>
      </c>
      <c r="E154" s="417"/>
      <c r="F154" s="417"/>
      <c r="G154" s="417"/>
      <c r="H154" s="417"/>
      <c r="I154" s="417"/>
      <c r="J154" s="731"/>
      <c r="K154" s="1030"/>
      <c r="L154" s="417"/>
      <c r="M154" s="417"/>
      <c r="N154" s="417"/>
      <c r="O154" s="417"/>
      <c r="P154" s="417"/>
      <c r="Q154" s="417"/>
      <c r="R154" s="417"/>
      <c r="S154" s="417"/>
      <c r="T154" s="417"/>
      <c r="U154" s="417"/>
      <c r="V154" s="417"/>
      <c r="W154" s="417"/>
      <c r="X154" s="417"/>
      <c r="Y154" s="417"/>
      <c r="Z154" s="417"/>
      <c r="AA154" s="417"/>
      <c r="AB154" s="417"/>
      <c r="AC154" s="417"/>
    </row>
    <row r="155" spans="1:29">
      <c r="A155" s="471"/>
      <c r="B155" s="471"/>
      <c r="C155" s="471"/>
      <c r="D155" s="417"/>
      <c r="E155" s="417"/>
      <c r="F155" s="417"/>
      <c r="G155" s="417"/>
      <c r="H155" s="417"/>
      <c r="I155" s="417"/>
      <c r="J155" s="731"/>
      <c r="K155" s="417"/>
      <c r="L155" s="417"/>
      <c r="M155" s="417"/>
      <c r="N155" s="417"/>
      <c r="O155" s="417"/>
      <c r="P155" s="417"/>
      <c r="Q155" s="417"/>
      <c r="R155" s="417"/>
      <c r="S155" s="417"/>
      <c r="T155" s="417"/>
      <c r="U155" s="417"/>
      <c r="V155" s="417"/>
      <c r="W155" s="417"/>
      <c r="X155" s="417"/>
      <c r="Y155" s="417"/>
      <c r="Z155" s="417"/>
      <c r="AA155" s="417"/>
      <c r="AB155" s="417"/>
      <c r="AC155" s="417"/>
    </row>
    <row r="156" spans="1:29">
      <c r="A156" s="471"/>
      <c r="B156" s="417"/>
      <c r="C156" s="471"/>
      <c r="D156" s="417"/>
      <c r="E156" s="417"/>
      <c r="F156" s="417"/>
      <c r="G156" s="417"/>
      <c r="H156" s="417"/>
      <c r="I156" s="417"/>
      <c r="J156" s="731"/>
      <c r="K156" s="417"/>
      <c r="L156" s="417"/>
      <c r="M156" s="417"/>
      <c r="N156" s="417"/>
      <c r="O156" s="417"/>
      <c r="P156" s="417"/>
      <c r="Q156" s="417"/>
      <c r="R156" s="417"/>
      <c r="S156" s="417"/>
      <c r="T156" s="417"/>
      <c r="U156" s="417"/>
      <c r="V156" s="417"/>
      <c r="W156" s="417"/>
      <c r="X156" s="417"/>
      <c r="Y156" s="417"/>
      <c r="Z156" s="417"/>
      <c r="AA156" s="417"/>
      <c r="AB156" s="417"/>
      <c r="AC156" s="417"/>
    </row>
    <row r="157" spans="1:29">
      <c r="A157" s="471"/>
      <c r="B157" s="471"/>
      <c r="C157" s="471"/>
      <c r="D157" s="417"/>
      <c r="E157" s="417"/>
      <c r="F157" s="417"/>
      <c r="G157" s="417"/>
      <c r="H157" s="417"/>
      <c r="I157" s="417"/>
      <c r="J157" s="731"/>
      <c r="K157" s="417"/>
      <c r="L157" s="417"/>
      <c r="M157" s="417"/>
      <c r="N157" s="417"/>
      <c r="O157" s="417"/>
      <c r="P157" s="417"/>
      <c r="Q157" s="417"/>
      <c r="R157" s="417"/>
      <c r="S157" s="417"/>
      <c r="T157" s="417"/>
      <c r="U157" s="417"/>
      <c r="V157" s="417"/>
      <c r="W157" s="417"/>
      <c r="X157" s="417"/>
      <c r="Y157" s="417"/>
      <c r="Z157" s="417"/>
      <c r="AA157" s="417"/>
      <c r="AB157" s="417"/>
      <c r="AC157" s="417"/>
    </row>
    <row r="158" spans="1:29">
      <c r="A158" s="471"/>
      <c r="B158" s="471"/>
      <c r="C158" s="471"/>
      <c r="D158" s="417"/>
      <c r="E158" s="417"/>
      <c r="F158" s="417"/>
      <c r="G158" s="417"/>
      <c r="H158" s="417"/>
      <c r="I158" s="417"/>
      <c r="J158" s="417"/>
      <c r="K158" s="417"/>
      <c r="L158" s="417"/>
      <c r="M158" s="417"/>
      <c r="N158" s="417"/>
      <c r="O158" s="417"/>
      <c r="P158" s="417"/>
      <c r="Q158" s="417"/>
      <c r="R158" s="417"/>
      <c r="S158" s="417"/>
      <c r="T158" s="417"/>
      <c r="U158" s="417"/>
      <c r="V158" s="417"/>
      <c r="W158" s="417"/>
      <c r="X158" s="417"/>
      <c r="Y158" s="417"/>
      <c r="Z158" s="417"/>
      <c r="AA158" s="417"/>
      <c r="AB158" s="417"/>
      <c r="AC158" s="417"/>
    </row>
    <row r="159" spans="1:29">
      <c r="A159" s="471"/>
      <c r="B159" s="471"/>
      <c r="C159" s="471"/>
      <c r="D159" s="417"/>
      <c r="E159" s="417"/>
      <c r="F159" s="417"/>
      <c r="G159" s="417"/>
      <c r="H159" s="417"/>
      <c r="I159" s="417"/>
      <c r="J159" s="417"/>
      <c r="K159" s="417"/>
      <c r="L159" s="417"/>
      <c r="M159" s="417"/>
      <c r="N159" s="417"/>
      <c r="O159" s="417"/>
      <c r="P159" s="417"/>
      <c r="Q159" s="417"/>
      <c r="R159" s="417"/>
      <c r="S159" s="417"/>
      <c r="T159" s="417"/>
      <c r="U159" s="417"/>
      <c r="V159" s="417"/>
      <c r="W159" s="417"/>
      <c r="X159" s="417"/>
      <c r="Y159" s="417"/>
      <c r="Z159" s="417"/>
      <c r="AA159" s="417"/>
      <c r="AB159" s="417"/>
      <c r="AC159" s="417"/>
    </row>
    <row r="160" spans="1:29">
      <c r="A160" s="471"/>
      <c r="B160" s="471"/>
      <c r="C160" s="471"/>
      <c r="D160" s="417"/>
      <c r="E160" s="417"/>
      <c r="F160" s="417"/>
      <c r="G160" s="417"/>
      <c r="H160" s="417"/>
      <c r="I160" s="417"/>
      <c r="J160" s="417"/>
      <c r="K160" s="417"/>
      <c r="L160" s="417"/>
      <c r="M160" s="417"/>
      <c r="N160" s="417"/>
      <c r="O160" s="417"/>
      <c r="P160" s="417"/>
      <c r="Q160" s="417"/>
      <c r="R160" s="417"/>
      <c r="S160" s="417"/>
      <c r="T160" s="417"/>
      <c r="U160" s="417"/>
      <c r="V160" s="417"/>
      <c r="W160" s="417"/>
      <c r="X160" s="417"/>
      <c r="Y160" s="417"/>
      <c r="Z160" s="417"/>
      <c r="AA160" s="417"/>
      <c r="AB160" s="417"/>
      <c r="AC160" s="417"/>
    </row>
    <row r="161" spans="1:29">
      <c r="A161" s="471"/>
      <c r="B161" s="471"/>
      <c r="C161" s="471"/>
      <c r="D161" s="417"/>
      <c r="E161" s="417"/>
      <c r="F161" s="417"/>
      <c r="G161" s="417"/>
      <c r="H161" s="417"/>
      <c r="I161" s="417"/>
      <c r="J161" s="417"/>
      <c r="K161" s="417"/>
      <c r="L161" s="417"/>
      <c r="M161" s="417"/>
      <c r="N161" s="417"/>
      <c r="O161" s="417"/>
      <c r="P161" s="417"/>
      <c r="Q161" s="417"/>
      <c r="R161" s="417"/>
      <c r="S161" s="417"/>
      <c r="T161" s="417"/>
      <c r="U161" s="417"/>
      <c r="V161" s="417"/>
      <c r="W161" s="417"/>
      <c r="X161" s="417"/>
      <c r="Y161" s="417"/>
      <c r="Z161" s="417"/>
      <c r="AA161" s="417"/>
      <c r="AB161" s="417"/>
      <c r="AC161" s="417"/>
    </row>
    <row r="162" spans="1:29">
      <c r="A162" s="471"/>
      <c r="B162" s="471"/>
      <c r="C162" s="471"/>
      <c r="D162" s="417"/>
      <c r="E162" s="417"/>
      <c r="F162" s="417"/>
      <c r="G162" s="417"/>
      <c r="H162" s="417"/>
      <c r="I162" s="417"/>
      <c r="J162" s="417"/>
      <c r="K162" s="417"/>
      <c r="L162" s="417"/>
      <c r="M162" s="417"/>
      <c r="N162" s="417"/>
      <c r="O162" s="417"/>
      <c r="P162" s="417"/>
      <c r="Q162" s="417"/>
      <c r="R162" s="417"/>
      <c r="S162" s="417"/>
      <c r="T162" s="417"/>
      <c r="U162" s="417"/>
      <c r="V162" s="417"/>
      <c r="W162" s="417"/>
      <c r="X162" s="417"/>
      <c r="Y162" s="417"/>
      <c r="Z162" s="417"/>
      <c r="AA162" s="417"/>
      <c r="AB162" s="417"/>
      <c r="AC162" s="417"/>
    </row>
    <row r="163" spans="1:29">
      <c r="A163" s="471"/>
      <c r="B163" s="471"/>
      <c r="C163" s="471"/>
      <c r="D163" s="417"/>
      <c r="E163" s="417"/>
      <c r="F163" s="417"/>
      <c r="G163" s="417"/>
      <c r="H163" s="417"/>
      <c r="I163" s="417"/>
      <c r="J163" s="417"/>
      <c r="K163" s="417"/>
      <c r="L163" s="417"/>
      <c r="M163" s="417"/>
      <c r="N163" s="417"/>
      <c r="O163" s="417"/>
      <c r="P163" s="417"/>
      <c r="Q163" s="417"/>
      <c r="R163" s="417"/>
      <c r="S163" s="417"/>
      <c r="T163" s="417"/>
      <c r="U163" s="417"/>
      <c r="V163" s="417"/>
      <c r="W163" s="417"/>
      <c r="X163" s="417"/>
      <c r="Y163" s="417"/>
      <c r="Z163" s="417"/>
      <c r="AA163" s="417"/>
      <c r="AB163" s="417"/>
      <c r="AC163" s="417"/>
    </row>
    <row r="164" spans="1:29">
      <c r="A164" s="471"/>
      <c r="B164" s="471"/>
      <c r="C164" s="471"/>
      <c r="D164" s="417"/>
      <c r="E164" s="417"/>
      <c r="F164" s="417"/>
      <c r="G164" s="417"/>
      <c r="H164" s="417"/>
      <c r="I164" s="417"/>
      <c r="J164" s="417"/>
      <c r="K164" s="417"/>
      <c r="L164" s="417"/>
      <c r="M164" s="417"/>
      <c r="N164" s="417"/>
      <c r="O164" s="417"/>
      <c r="P164" s="417"/>
      <c r="Q164" s="417"/>
      <c r="R164" s="417"/>
      <c r="S164" s="417"/>
      <c r="T164" s="417"/>
      <c r="U164" s="417"/>
      <c r="V164" s="417"/>
      <c r="W164" s="417"/>
      <c r="X164" s="417"/>
      <c r="Y164" s="417"/>
      <c r="Z164" s="417"/>
      <c r="AA164" s="417"/>
      <c r="AB164" s="417"/>
      <c r="AC164" s="417"/>
    </row>
    <row r="165" spans="1:29">
      <c r="A165" s="471"/>
      <c r="B165" s="471"/>
      <c r="C165" s="471"/>
      <c r="D165" s="417"/>
      <c r="E165" s="417"/>
      <c r="F165" s="417"/>
      <c r="G165" s="417"/>
      <c r="H165" s="417"/>
      <c r="I165" s="417"/>
      <c r="J165" s="417"/>
      <c r="K165" s="417"/>
      <c r="L165" s="417"/>
      <c r="M165" s="417"/>
      <c r="N165" s="417"/>
      <c r="O165" s="417"/>
      <c r="P165" s="417"/>
      <c r="Q165" s="417"/>
      <c r="R165" s="417"/>
      <c r="S165" s="417"/>
      <c r="T165" s="417"/>
      <c r="U165" s="417"/>
      <c r="V165" s="417"/>
      <c r="W165" s="417"/>
      <c r="X165" s="417"/>
      <c r="Y165" s="417"/>
      <c r="Z165" s="417"/>
      <c r="AA165" s="417"/>
      <c r="AB165" s="417"/>
      <c r="AC165" s="417"/>
    </row>
    <row r="166" spans="1:29">
      <c r="A166" s="471"/>
      <c r="B166" s="471"/>
      <c r="C166" s="471"/>
      <c r="D166" s="417"/>
      <c r="E166" s="417"/>
      <c r="F166" s="417"/>
      <c r="G166" s="417"/>
      <c r="H166" s="417"/>
      <c r="I166" s="417"/>
      <c r="J166" s="417"/>
      <c r="K166" s="417"/>
      <c r="L166" s="417"/>
      <c r="M166" s="417"/>
      <c r="N166" s="417"/>
      <c r="O166" s="417"/>
      <c r="P166" s="417"/>
      <c r="Q166" s="417"/>
      <c r="R166" s="417"/>
      <c r="S166" s="417"/>
      <c r="T166" s="417"/>
      <c r="U166" s="417"/>
      <c r="V166" s="417"/>
      <c r="W166" s="417"/>
      <c r="X166" s="417"/>
      <c r="Y166" s="417"/>
      <c r="Z166" s="417"/>
      <c r="AA166" s="417"/>
      <c r="AB166" s="417"/>
      <c r="AC166" s="417"/>
    </row>
    <row r="167" spans="1:29">
      <c r="A167" s="471"/>
      <c r="B167" s="471"/>
      <c r="C167" s="471"/>
      <c r="D167" s="417"/>
      <c r="E167" s="417"/>
      <c r="F167" s="417"/>
      <c r="G167" s="417"/>
      <c r="H167" s="417"/>
      <c r="I167" s="417"/>
      <c r="J167" s="417"/>
      <c r="K167" s="417"/>
      <c r="L167" s="417"/>
      <c r="M167" s="417"/>
      <c r="N167" s="417"/>
      <c r="O167" s="417"/>
      <c r="P167" s="417"/>
      <c r="Q167" s="417"/>
      <c r="R167" s="417"/>
      <c r="S167" s="417"/>
      <c r="T167" s="417"/>
      <c r="U167" s="417"/>
      <c r="V167" s="417"/>
      <c r="W167" s="417"/>
      <c r="X167" s="417"/>
      <c r="Y167" s="417"/>
      <c r="Z167" s="417"/>
      <c r="AA167" s="417"/>
      <c r="AB167" s="417"/>
      <c r="AC167" s="417"/>
    </row>
    <row r="168" spans="1:29">
      <c r="A168" s="471"/>
      <c r="B168" s="471"/>
      <c r="C168" s="471"/>
      <c r="D168" s="417"/>
      <c r="E168" s="417"/>
      <c r="F168" s="417"/>
      <c r="G168" s="417"/>
      <c r="H168" s="417"/>
      <c r="I168" s="417"/>
      <c r="J168" s="417"/>
      <c r="K168" s="417"/>
      <c r="L168" s="417"/>
      <c r="M168" s="417"/>
      <c r="N168" s="417"/>
      <c r="O168" s="417"/>
      <c r="P168" s="417"/>
      <c r="Q168" s="417"/>
      <c r="R168" s="417"/>
      <c r="S168" s="417"/>
      <c r="T168" s="417"/>
      <c r="U168" s="417"/>
      <c r="V168" s="417"/>
      <c r="W168" s="417"/>
      <c r="X168" s="417"/>
      <c r="Y168" s="417"/>
      <c r="Z168" s="417"/>
      <c r="AA168" s="417"/>
      <c r="AB168" s="417"/>
      <c r="AC168" s="417"/>
    </row>
    <row r="169" spans="1:29">
      <c r="A169" s="471"/>
      <c r="B169" s="471"/>
      <c r="C169" s="471"/>
      <c r="D169" s="417"/>
      <c r="E169" s="417"/>
      <c r="F169" s="417"/>
      <c r="G169" s="417"/>
      <c r="H169" s="417"/>
      <c r="I169" s="417"/>
      <c r="J169" s="417"/>
      <c r="K169" s="417"/>
      <c r="L169" s="417"/>
      <c r="M169" s="417"/>
      <c r="N169" s="417"/>
      <c r="O169" s="417"/>
      <c r="P169" s="417"/>
      <c r="Q169" s="417"/>
      <c r="R169" s="417"/>
      <c r="S169" s="417"/>
      <c r="T169" s="417"/>
      <c r="U169" s="417"/>
      <c r="V169" s="417"/>
      <c r="W169" s="417"/>
      <c r="X169" s="417"/>
      <c r="Y169" s="417"/>
      <c r="Z169" s="417"/>
      <c r="AA169" s="417"/>
      <c r="AB169" s="417"/>
      <c r="AC169" s="417"/>
    </row>
    <row r="170" spans="1:29">
      <c r="A170" s="471"/>
      <c r="B170" s="471"/>
      <c r="C170" s="471"/>
      <c r="D170" s="417"/>
      <c r="E170" s="417"/>
      <c r="F170" s="417"/>
      <c r="G170" s="417"/>
      <c r="H170" s="417"/>
      <c r="I170" s="417"/>
      <c r="J170" s="417"/>
      <c r="K170" s="417"/>
      <c r="L170" s="417"/>
      <c r="M170" s="417"/>
      <c r="N170" s="417"/>
      <c r="O170" s="417"/>
      <c r="P170" s="417"/>
      <c r="Q170" s="417"/>
      <c r="R170" s="417"/>
      <c r="S170" s="417"/>
      <c r="T170" s="417"/>
      <c r="U170" s="417"/>
      <c r="V170" s="417"/>
      <c r="W170" s="417"/>
      <c r="X170" s="417"/>
      <c r="Y170" s="417"/>
      <c r="Z170" s="417"/>
      <c r="AA170" s="417"/>
      <c r="AB170" s="417"/>
      <c r="AC170" s="417"/>
    </row>
    <row r="171" spans="1:29">
      <c r="A171" s="471"/>
      <c r="B171" s="471"/>
      <c r="C171" s="471"/>
      <c r="D171" s="417"/>
      <c r="E171" s="417"/>
      <c r="F171" s="417"/>
      <c r="G171" s="417"/>
      <c r="H171" s="417"/>
      <c r="I171" s="417"/>
      <c r="J171" s="417"/>
      <c r="K171" s="417"/>
      <c r="L171" s="417"/>
      <c r="M171" s="417"/>
      <c r="N171" s="417"/>
      <c r="O171" s="417"/>
      <c r="P171" s="417"/>
      <c r="Q171" s="417"/>
      <c r="R171" s="417"/>
      <c r="S171" s="417"/>
      <c r="T171" s="417"/>
      <c r="U171" s="417"/>
      <c r="V171" s="417"/>
      <c r="W171" s="417"/>
      <c r="X171" s="417"/>
      <c r="Y171" s="417"/>
      <c r="Z171" s="417"/>
      <c r="AA171" s="417"/>
      <c r="AB171" s="417"/>
      <c r="AC171" s="417"/>
    </row>
    <row r="172" spans="1:29" ht="15">
      <c r="A172" s="52"/>
      <c r="B172" s="471"/>
      <c r="C172" s="471"/>
      <c r="D172" s="417"/>
      <c r="E172" s="417"/>
      <c r="F172" s="417"/>
      <c r="G172" s="417"/>
      <c r="H172" s="417"/>
      <c r="I172" s="417"/>
      <c r="J172" s="417"/>
      <c r="K172" s="417"/>
      <c r="L172" s="417"/>
      <c r="M172" s="417"/>
      <c r="N172" s="417"/>
      <c r="O172" s="417"/>
      <c r="P172" s="417"/>
      <c r="Q172" s="417"/>
      <c r="R172" s="417"/>
      <c r="S172" s="417"/>
      <c r="T172" s="417"/>
      <c r="U172" s="417"/>
      <c r="V172" s="417"/>
      <c r="W172" s="417"/>
      <c r="X172" s="417"/>
      <c r="Y172" s="417"/>
      <c r="Z172" s="417"/>
      <c r="AA172" s="417"/>
      <c r="AB172" s="417"/>
      <c r="AC172" s="417"/>
    </row>
    <row r="173" spans="1:29" ht="15">
      <c r="A173" s="52"/>
      <c r="B173" s="471"/>
      <c r="C173" s="471"/>
      <c r="D173" s="417"/>
      <c r="E173" s="417"/>
      <c r="F173" s="417"/>
      <c r="G173" s="417"/>
      <c r="H173" s="417"/>
      <c r="I173" s="417"/>
      <c r="J173" s="417"/>
      <c r="K173" s="417"/>
      <c r="L173" s="417"/>
      <c r="M173" s="417"/>
      <c r="N173" s="417"/>
      <c r="O173" s="417"/>
      <c r="P173" s="417"/>
      <c r="Q173" s="417"/>
      <c r="R173" s="417"/>
      <c r="S173" s="417"/>
      <c r="T173" s="417"/>
      <c r="U173" s="417"/>
      <c r="V173" s="417"/>
      <c r="W173" s="417"/>
      <c r="X173" s="417"/>
      <c r="Y173" s="417"/>
      <c r="Z173" s="417"/>
      <c r="AA173" s="417"/>
      <c r="AB173" s="417"/>
      <c r="AC173" s="417"/>
    </row>
    <row r="174" spans="1:29" ht="15">
      <c r="A174" s="52"/>
      <c r="B174" s="52"/>
      <c r="C174" s="52"/>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row>
    <row r="175" spans="1:29" ht="15">
      <c r="A175" s="52"/>
      <c r="B175" s="52"/>
      <c r="C175" s="52"/>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row>
    <row r="176" spans="1:29" ht="15">
      <c r="A176" s="52"/>
      <c r="B176" s="52"/>
      <c r="C176" s="52"/>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row>
    <row r="177" spans="1:28" ht="15">
      <c r="A177" s="52"/>
      <c r="B177" s="52"/>
      <c r="C177" s="52"/>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row>
    <row r="178" spans="1:28" ht="15">
      <c r="A178" s="52"/>
      <c r="B178" s="52"/>
      <c r="C178" s="52"/>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row>
    <row r="179" spans="1:28" ht="15">
      <c r="A179" s="52"/>
      <c r="B179" s="52"/>
      <c r="C179" s="52"/>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row>
    <row r="180" spans="1:28" ht="15">
      <c r="A180" s="52"/>
      <c r="B180" s="52"/>
      <c r="C180" s="52"/>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row>
    <row r="181" spans="1:28" ht="15">
      <c r="A181" s="52"/>
      <c r="B181" s="52"/>
      <c r="C181" s="52"/>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row>
    <row r="182" spans="1:28" ht="15">
      <c r="A182" s="52"/>
      <c r="B182" s="52"/>
      <c r="C182" s="52"/>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row>
    <row r="183" spans="1:28" ht="15">
      <c r="A183" s="52"/>
      <c r="B183" s="52"/>
      <c r="C183" s="52"/>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row>
    <row r="184" spans="1:28" ht="15">
      <c r="A184" s="52"/>
      <c r="B184" s="52"/>
      <c r="C184" s="52"/>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row>
    <row r="185" spans="1:28" ht="15">
      <c r="A185" s="52"/>
      <c r="B185" s="52"/>
      <c r="C185" s="52"/>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row>
    <row r="186" spans="1:28" ht="15">
      <c r="A186" s="52"/>
      <c r="B186" s="52"/>
      <c r="C186" s="52"/>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row>
    <row r="187" spans="1:28" ht="15">
      <c r="A187" s="52"/>
      <c r="B187" s="52"/>
      <c r="C187" s="52"/>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row>
    <row r="188" spans="1:28" ht="15">
      <c r="A188" s="52"/>
      <c r="B188" s="52"/>
      <c r="C188" s="52"/>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row>
    <row r="189" spans="1:28" ht="15">
      <c r="A189" s="52"/>
      <c r="B189" s="52"/>
      <c r="C189" s="52"/>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row>
    <row r="190" spans="1:28" ht="15">
      <c r="A190" s="52"/>
      <c r="B190" s="52"/>
      <c r="C190" s="52"/>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row>
    <row r="191" spans="1:28" ht="15">
      <c r="A191" s="52"/>
      <c r="B191" s="52"/>
      <c r="C191" s="52"/>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row>
    <row r="192" spans="1:28" ht="15">
      <c r="A192" s="52"/>
      <c r="B192" s="52"/>
      <c r="C192" s="52"/>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row>
    <row r="193" spans="1:28" ht="15">
      <c r="A193" s="52"/>
      <c r="B193" s="52"/>
      <c r="C193" s="52"/>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row>
    <row r="194" spans="1:28" ht="15">
      <c r="A194" s="52"/>
      <c r="B194" s="52"/>
      <c r="C194" s="52"/>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row>
    <row r="195" spans="1:28" ht="15">
      <c r="A195" s="52"/>
      <c r="B195" s="52"/>
      <c r="C195" s="52"/>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row>
    <row r="196" spans="1:28" ht="15">
      <c r="A196" s="52"/>
      <c r="B196" s="52"/>
      <c r="C196" s="52"/>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row>
    <row r="197" spans="1:28" ht="15">
      <c r="A197" s="52"/>
      <c r="B197" s="52"/>
      <c r="C197" s="52"/>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row>
    <row r="198" spans="1:28" ht="15">
      <c r="A198" s="52"/>
      <c r="B198" s="52"/>
      <c r="C198" s="52"/>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row>
    <row r="199" spans="1:28" ht="15">
      <c r="A199" s="52"/>
      <c r="B199" s="52"/>
      <c r="C199" s="52"/>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row>
    <row r="200" spans="1:28" ht="15">
      <c r="A200" s="52"/>
      <c r="B200" s="52"/>
      <c r="C200" s="52"/>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row>
    <row r="201" spans="1:28" ht="15">
      <c r="A201" s="52"/>
      <c r="B201" s="52"/>
      <c r="C201" s="52"/>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row>
    <row r="202" spans="1:28" ht="15">
      <c r="A202" s="52"/>
      <c r="B202" s="52"/>
      <c r="C202" s="52"/>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row>
    <row r="203" spans="1:28" ht="15">
      <c r="A203" s="52"/>
      <c r="B203" s="52"/>
      <c r="C203" s="52"/>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row>
    <row r="204" spans="1:28" ht="15">
      <c r="A204" s="52"/>
      <c r="B204" s="52"/>
      <c r="C204" s="52"/>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row>
    <row r="205" spans="1:28" ht="15">
      <c r="A205" s="52"/>
      <c r="B205" s="52"/>
      <c r="C205" s="52"/>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row>
    <row r="206" spans="1:28" ht="15">
      <c r="A206" s="52"/>
      <c r="B206" s="52"/>
      <c r="C206" s="52"/>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row>
    <row r="207" spans="1:28" ht="15">
      <c r="A207" s="52"/>
      <c r="B207" s="52"/>
      <c r="C207" s="52"/>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row>
    <row r="208" spans="1:28" ht="15">
      <c r="A208" s="52"/>
      <c r="B208" s="52"/>
      <c r="C208" s="52"/>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row>
    <row r="209" spans="1:28" ht="15">
      <c r="A209" s="52"/>
      <c r="B209" s="52"/>
      <c r="C209" s="52"/>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row>
    <row r="210" spans="1:28" ht="15">
      <c r="A210" s="52"/>
      <c r="B210" s="52"/>
      <c r="C210" s="52"/>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row>
    <row r="211" spans="1:28" ht="15">
      <c r="A211" s="52"/>
      <c r="B211" s="52"/>
      <c r="C211" s="52"/>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row>
    <row r="212" spans="1:28" ht="15">
      <c r="A212" s="52"/>
      <c r="B212" s="52"/>
      <c r="C212" s="52"/>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row>
    <row r="213" spans="1:28" ht="15">
      <c r="A213" s="52"/>
      <c r="B213" s="52"/>
      <c r="C213" s="52"/>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row>
    <row r="214" spans="1:28" ht="15">
      <c r="A214" s="52"/>
      <c r="B214" s="52"/>
      <c r="C214" s="52"/>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row>
    <row r="215" spans="1:28" ht="15">
      <c r="A215" s="52"/>
      <c r="B215" s="52"/>
      <c r="C215" s="52"/>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row>
    <row r="216" spans="1:28" ht="15">
      <c r="A216" s="52"/>
      <c r="B216" s="52"/>
      <c r="C216" s="52"/>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row>
    <row r="217" spans="1:28" ht="15">
      <c r="A217" s="52"/>
      <c r="B217" s="52"/>
      <c r="C217" s="52"/>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row>
    <row r="218" spans="1:28" ht="15">
      <c r="A218" s="52"/>
      <c r="B218" s="52"/>
      <c r="C218" s="52"/>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row>
    <row r="219" spans="1:28" ht="15">
      <c r="A219" s="52"/>
      <c r="B219" s="52"/>
      <c r="C219" s="52"/>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row>
    <row r="220" spans="1:28" ht="15">
      <c r="A220" s="52"/>
      <c r="B220" s="52"/>
      <c r="C220" s="52"/>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row>
    <row r="221" spans="1:28" ht="15">
      <c r="A221" s="52"/>
      <c r="B221" s="52"/>
      <c r="C221" s="52"/>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row>
    <row r="222" spans="1:28" ht="15">
      <c r="A222" s="52"/>
      <c r="B222" s="52"/>
      <c r="C222" s="52"/>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row>
    <row r="223" spans="1:28" ht="15">
      <c r="A223" s="52"/>
      <c r="B223" s="52"/>
      <c r="C223" s="52"/>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row>
    <row r="224" spans="1:28" ht="15">
      <c r="A224" s="52"/>
      <c r="B224" s="52"/>
      <c r="C224" s="52"/>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row>
    <row r="225" spans="1:28" ht="15">
      <c r="A225" s="52"/>
      <c r="B225" s="52"/>
      <c r="C225" s="52"/>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row>
    <row r="226" spans="1:28" ht="15">
      <c r="A226" s="52"/>
      <c r="B226" s="52"/>
      <c r="C226" s="52"/>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row>
    <row r="227" spans="1:28" ht="15">
      <c r="A227" s="52"/>
      <c r="B227" s="52"/>
      <c r="C227" s="52"/>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row>
    <row r="228" spans="1:28" ht="15">
      <c r="A228" s="52"/>
      <c r="B228" s="52"/>
      <c r="C228" s="52"/>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row>
    <row r="229" spans="1:28" ht="15">
      <c r="A229" s="52"/>
      <c r="B229" s="52"/>
      <c r="C229" s="52"/>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row>
    <row r="230" spans="1:28" ht="15">
      <c r="A230" s="52"/>
      <c r="B230" s="52"/>
      <c r="C230" s="52"/>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row>
    <row r="231" spans="1:28" ht="15">
      <c r="A231" s="52"/>
      <c r="B231" s="52"/>
      <c r="C231" s="52"/>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row>
    <row r="232" spans="1:28" ht="15">
      <c r="A232" s="52"/>
      <c r="B232" s="52"/>
      <c r="C232" s="52"/>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row>
    <row r="233" spans="1:28" ht="15">
      <c r="A233" s="52"/>
      <c r="B233" s="52"/>
      <c r="C233" s="52"/>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row>
    <row r="234" spans="1:28" ht="15">
      <c r="A234" s="52"/>
      <c r="B234" s="52"/>
      <c r="C234" s="52"/>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row>
    <row r="235" spans="1:28" ht="15">
      <c r="A235" s="52"/>
      <c r="B235" s="52"/>
      <c r="C235" s="52"/>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row>
    <row r="236" spans="1:28" ht="15">
      <c r="A236" s="52"/>
      <c r="B236" s="52"/>
      <c r="C236" s="52"/>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row>
    <row r="237" spans="1:28" ht="15">
      <c r="A237" s="52"/>
      <c r="B237" s="52"/>
      <c r="C237" s="52"/>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row>
    <row r="238" spans="1:28" ht="15">
      <c r="A238" s="52"/>
      <c r="B238" s="52"/>
      <c r="C238" s="52"/>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row>
    <row r="239" spans="1:28" ht="15">
      <c r="A239" s="52"/>
      <c r="B239" s="52"/>
      <c r="C239" s="52"/>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row>
    <row r="240" spans="1:28" ht="15">
      <c r="A240" s="52"/>
      <c r="B240" s="52"/>
      <c r="C240" s="52"/>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row>
    <row r="241" spans="1:28" ht="15">
      <c r="A241" s="52"/>
      <c r="B241" s="52"/>
      <c r="C241" s="52"/>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row>
    <row r="242" spans="1:28" ht="15">
      <c r="A242" s="52"/>
      <c r="B242" s="52"/>
      <c r="C242" s="52"/>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row>
    <row r="243" spans="1:28" ht="15">
      <c r="A243" s="52"/>
      <c r="B243" s="52"/>
      <c r="C243" s="52"/>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row>
    <row r="244" spans="1:28" ht="15">
      <c r="A244" s="52"/>
      <c r="B244" s="52"/>
      <c r="C244" s="52"/>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row>
    <row r="245" spans="1:28" ht="15">
      <c r="A245" s="52"/>
      <c r="B245" s="52"/>
      <c r="C245" s="52"/>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row>
    <row r="246" spans="1:28" ht="15">
      <c r="A246" s="52"/>
      <c r="B246" s="52"/>
      <c r="C246" s="52"/>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row>
    <row r="247" spans="1:28" ht="15">
      <c r="A247" s="52"/>
      <c r="B247" s="52"/>
      <c r="C247" s="52"/>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row>
    <row r="248" spans="1:28" ht="15">
      <c r="A248" s="52"/>
      <c r="B248" s="52"/>
      <c r="C248" s="52"/>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row>
    <row r="249" spans="1:28" ht="15">
      <c r="A249" s="52"/>
      <c r="B249" s="52"/>
      <c r="C249" s="52"/>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row>
    <row r="250" spans="1:28" ht="15">
      <c r="A250" s="52"/>
      <c r="B250" s="52"/>
      <c r="C250" s="52"/>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row>
    <row r="251" spans="1:28" ht="15">
      <c r="A251" s="52"/>
      <c r="B251" s="52"/>
      <c r="C251" s="52"/>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row>
    <row r="252" spans="1:28" ht="15">
      <c r="A252" s="52"/>
      <c r="B252" s="52"/>
      <c r="C252" s="52"/>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row>
    <row r="253" spans="1:28" ht="15">
      <c r="A253" s="52"/>
      <c r="B253" s="52"/>
      <c r="C253" s="52"/>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row>
    <row r="254" spans="1:28" ht="15">
      <c r="A254" s="52"/>
      <c r="B254" s="52"/>
      <c r="C254" s="52"/>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row>
    <row r="255" spans="1:28" ht="15">
      <c r="A255" s="52"/>
      <c r="B255" s="52"/>
      <c r="C255" s="52"/>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row>
    <row r="256" spans="1:28" ht="15">
      <c r="A256" s="52"/>
      <c r="B256" s="52"/>
      <c r="C256" s="52"/>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row>
    <row r="257" spans="1:28" ht="15">
      <c r="A257" s="52"/>
      <c r="B257" s="52"/>
      <c r="C257" s="52"/>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row>
    <row r="258" spans="1:28" ht="15">
      <c r="A258" s="52"/>
      <c r="B258" s="52"/>
      <c r="C258" s="52"/>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row>
    <row r="259" spans="1:28" ht="15">
      <c r="A259" s="52"/>
      <c r="B259" s="52"/>
      <c r="C259" s="52"/>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row>
    <row r="260" spans="1:28" ht="15">
      <c r="A260" s="52"/>
      <c r="B260" s="52"/>
      <c r="C260" s="52"/>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row>
    <row r="261" spans="1:28" ht="15">
      <c r="A261" s="52"/>
      <c r="B261" s="52"/>
      <c r="C261" s="52"/>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row>
    <row r="262" spans="1:28" ht="15">
      <c r="A262" s="52"/>
      <c r="B262" s="52"/>
      <c r="C262" s="52"/>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row>
    <row r="263" spans="1:28" ht="15">
      <c r="A263" s="52"/>
      <c r="B263" s="52"/>
      <c r="C263" s="52"/>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row>
    <row r="264" spans="1:28" ht="15">
      <c r="A264" s="52"/>
      <c r="B264" s="52"/>
      <c r="C264" s="52"/>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row>
    <row r="265" spans="1:28" ht="15">
      <c r="A265" s="52"/>
      <c r="B265" s="52"/>
      <c r="C265" s="52"/>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row>
    <row r="266" spans="1:28" ht="15">
      <c r="A266" s="52"/>
      <c r="B266" s="52"/>
      <c r="C266" s="52"/>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row>
    <row r="267" spans="1:28" ht="15">
      <c r="A267" s="52"/>
      <c r="B267" s="52"/>
      <c r="C267" s="52"/>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row>
    <row r="268" spans="1:28" ht="15">
      <c r="A268" s="52"/>
      <c r="B268" s="52"/>
      <c r="C268" s="52"/>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row>
    <row r="269" spans="1:28" ht="15">
      <c r="A269" s="52"/>
      <c r="B269" s="52"/>
      <c r="C269" s="52"/>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row>
    <row r="270" spans="1:28" ht="15">
      <c r="A270" s="52"/>
      <c r="B270" s="52"/>
      <c r="C270" s="52"/>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row>
    <row r="271" spans="1:28" ht="15">
      <c r="A271" s="52"/>
      <c r="B271" s="52"/>
      <c r="C271" s="52"/>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row>
    <row r="272" spans="1:28" ht="15">
      <c r="A272" s="52"/>
      <c r="B272" s="52"/>
      <c r="C272" s="52"/>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row>
    <row r="273" spans="1:28" ht="15">
      <c r="A273" s="52"/>
      <c r="B273" s="52"/>
      <c r="C273" s="52"/>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row>
    <row r="274" spans="1:28" ht="15">
      <c r="A274" s="52"/>
      <c r="B274" s="52"/>
      <c r="C274" s="52"/>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row>
    <row r="275" spans="1:28" ht="15">
      <c r="A275" s="52"/>
      <c r="B275" s="52"/>
      <c r="C275" s="52"/>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row>
    <row r="276" spans="1:28" ht="15">
      <c r="A276" s="52"/>
      <c r="B276" s="52"/>
      <c r="C276" s="52"/>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row>
    <row r="277" spans="1:28" ht="15">
      <c r="A277" s="52"/>
      <c r="B277" s="52"/>
      <c r="C277" s="52"/>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row>
    <row r="278" spans="1:28" ht="15">
      <c r="A278" s="52"/>
      <c r="B278" s="52"/>
      <c r="C278" s="52"/>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row>
    <row r="279" spans="1:28" ht="15">
      <c r="A279" s="52"/>
      <c r="B279" s="52"/>
      <c r="C279" s="52"/>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row>
    <row r="280" spans="1:28" ht="15">
      <c r="A280" s="52"/>
      <c r="B280" s="52"/>
      <c r="C280" s="52"/>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row>
    <row r="281" spans="1:28" ht="15">
      <c r="A281" s="52"/>
      <c r="B281" s="52"/>
      <c r="C281" s="52"/>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row>
    <row r="282" spans="1:28" ht="15">
      <c r="A282" s="52"/>
      <c r="B282" s="52"/>
      <c r="C282" s="52"/>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row>
    <row r="283" spans="1:28" ht="15">
      <c r="A283" s="52"/>
      <c r="B283" s="52"/>
      <c r="C283" s="52"/>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row>
    <row r="284" spans="1:28" ht="15">
      <c r="A284" s="52"/>
      <c r="B284" s="52"/>
      <c r="C284" s="52"/>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row>
    <row r="285" spans="1:28" ht="15">
      <c r="A285" s="52"/>
      <c r="B285" s="52"/>
      <c r="C285" s="52"/>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row>
    <row r="286" spans="1:28" ht="15">
      <c r="A286" s="52"/>
      <c r="B286" s="52"/>
      <c r="C286" s="52"/>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row>
    <row r="287" spans="1:28" ht="15">
      <c r="A287" s="52"/>
      <c r="B287" s="52"/>
      <c r="C287" s="52"/>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row>
    <row r="288" spans="1:28" ht="15">
      <c r="A288" s="52"/>
      <c r="B288" s="52"/>
      <c r="C288" s="52"/>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row>
    <row r="289" spans="1:28" ht="15">
      <c r="A289" s="52"/>
      <c r="B289" s="52"/>
      <c r="C289" s="52"/>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row>
    <row r="290" spans="1:28" ht="15">
      <c r="A290" s="52"/>
      <c r="B290" s="52"/>
      <c r="C290" s="52"/>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row>
    <row r="291" spans="1:28" ht="15">
      <c r="A291" s="52"/>
      <c r="B291" s="52"/>
      <c r="C291" s="52"/>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row>
    <row r="292" spans="1:28" ht="15">
      <c r="A292" s="52"/>
      <c r="B292" s="52"/>
      <c r="C292" s="52"/>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row>
    <row r="293" spans="1:28" ht="15">
      <c r="A293" s="52"/>
      <c r="B293" s="52"/>
      <c r="C293" s="52"/>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row>
    <row r="294" spans="1:28" ht="15">
      <c r="A294" s="52"/>
      <c r="B294" s="52"/>
      <c r="C294" s="52"/>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row>
    <row r="295" spans="1:28" ht="15">
      <c r="A295" s="52"/>
      <c r="B295" s="52"/>
      <c r="C295" s="52"/>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row>
    <row r="296" spans="1:28" ht="15">
      <c r="A296" s="52"/>
      <c r="B296" s="52"/>
      <c r="C296" s="52"/>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row>
    <row r="297" spans="1:28" ht="15">
      <c r="A297" s="52"/>
      <c r="B297" s="52"/>
      <c r="C297" s="52"/>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row>
    <row r="298" spans="1:28" ht="15">
      <c r="A298" s="52"/>
      <c r="B298" s="52"/>
      <c r="C298" s="52"/>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row>
    <row r="299" spans="1:28" ht="15">
      <c r="A299" s="52"/>
      <c r="B299" s="52"/>
      <c r="C299" s="52"/>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row>
    <row r="300" spans="1:28" ht="15">
      <c r="A300" s="52"/>
      <c r="B300" s="52"/>
      <c r="C300" s="52"/>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row>
    <row r="301" spans="1:28" ht="15">
      <c r="A301" s="52"/>
      <c r="B301" s="52"/>
      <c r="C301" s="52"/>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row>
    <row r="302" spans="1:28" ht="15">
      <c r="A302" s="52"/>
      <c r="B302" s="52"/>
      <c r="C302" s="52"/>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row>
    <row r="303" spans="1:28" ht="15">
      <c r="A303" s="52"/>
      <c r="B303" s="52"/>
      <c r="C303" s="52"/>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row>
    <row r="304" spans="1:28" ht="15">
      <c r="A304" s="52"/>
      <c r="B304" s="52"/>
      <c r="C304" s="52"/>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row>
    <row r="305" spans="1:28" ht="15">
      <c r="A305" s="52"/>
      <c r="B305" s="52"/>
      <c r="C305" s="52"/>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row>
    <row r="306" spans="1:28" ht="15">
      <c r="A306" s="52"/>
      <c r="B306" s="52"/>
      <c r="C306" s="52"/>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row>
    <row r="307" spans="1:28" ht="15">
      <c r="A307" s="52"/>
      <c r="B307" s="52"/>
      <c r="C307" s="52"/>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row>
    <row r="308" spans="1:28" ht="15">
      <c r="A308" s="52"/>
      <c r="B308" s="52"/>
      <c r="C308" s="52"/>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row>
    <row r="309" spans="1:28" ht="15">
      <c r="A309" s="52"/>
      <c r="B309" s="52"/>
      <c r="C309" s="52"/>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row>
    <row r="310" spans="1:28" ht="15">
      <c r="A310" s="52"/>
      <c r="B310" s="52"/>
      <c r="C310" s="52"/>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row>
    <row r="311" spans="1:28" ht="15">
      <c r="A311" s="52"/>
      <c r="B311" s="52"/>
      <c r="C311" s="52"/>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row>
    <row r="312" spans="1:28" ht="15">
      <c r="B312" s="52"/>
      <c r="C312" s="52"/>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row>
    <row r="313" spans="1:28" ht="15">
      <c r="B313" s="52"/>
      <c r="C313" s="52"/>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row>
    <row r="333" spans="1:6">
      <c r="A333" s="518"/>
    </row>
    <row r="334" spans="1:6">
      <c r="A334" s="518"/>
    </row>
    <row r="335" spans="1:6">
      <c r="A335" s="518"/>
      <c r="B335" s="518"/>
      <c r="C335" s="518"/>
      <c r="D335" s="527"/>
      <c r="E335" s="527"/>
      <c r="F335" s="527"/>
    </row>
    <row r="336" spans="1:6">
      <c r="A336" s="518"/>
      <c r="B336" s="518"/>
      <c r="C336" s="518"/>
      <c r="D336" s="527"/>
      <c r="E336" s="527"/>
      <c r="F336" s="527"/>
    </row>
    <row r="337" spans="1:6">
      <c r="A337" s="518"/>
      <c r="B337" s="518"/>
      <c r="C337" s="518"/>
      <c r="D337" s="527"/>
      <c r="E337" s="527"/>
      <c r="F337" s="527"/>
    </row>
    <row r="338" spans="1:6">
      <c r="A338" s="518"/>
      <c r="B338" s="518"/>
      <c r="C338" s="518"/>
      <c r="D338" s="527"/>
      <c r="E338" s="527"/>
      <c r="F338" s="527"/>
    </row>
    <row r="339" spans="1:6">
      <c r="A339" s="518"/>
      <c r="B339" s="518"/>
      <c r="C339" s="518"/>
      <c r="D339" s="527"/>
      <c r="E339" s="527"/>
      <c r="F339" s="527"/>
    </row>
    <row r="340" spans="1:6">
      <c r="A340" s="518"/>
      <c r="B340" s="518"/>
      <c r="C340" s="518"/>
      <c r="D340" s="527"/>
      <c r="E340" s="527"/>
      <c r="F340" s="527"/>
    </row>
    <row r="341" spans="1:6">
      <c r="A341" s="518"/>
      <c r="B341" s="518"/>
      <c r="C341" s="518"/>
      <c r="D341" s="527"/>
      <c r="E341" s="527"/>
      <c r="F341" s="527"/>
    </row>
    <row r="342" spans="1:6">
      <c r="B342" s="518"/>
      <c r="C342" s="518"/>
      <c r="D342" s="527"/>
      <c r="E342" s="527"/>
      <c r="F342" s="527"/>
    </row>
    <row r="343" spans="1:6">
      <c r="B343" s="518"/>
      <c r="C343" s="518"/>
      <c r="D343" s="527"/>
      <c r="E343" s="527"/>
      <c r="F343" s="527"/>
    </row>
  </sheetData>
  <mergeCells count="4">
    <mergeCell ref="A1:J1"/>
    <mergeCell ref="A3:J3"/>
    <mergeCell ref="D78:H78"/>
    <mergeCell ref="D106:H106"/>
  </mergeCells>
  <phoneticPr fontId="0" type="noConversion"/>
  <printOptions horizontalCentered="1"/>
  <pageMargins left="0.75" right="0.5" top="1" bottom="0.5" header="0.5" footer="0.5"/>
  <pageSetup scale="50" fitToHeight="2" orientation="landscape" r:id="rId1"/>
  <headerFooter alignWithMargins="0">
    <oddHeader xml:space="preserve">&amp;L&amp;"Arial,Bold"&amp;11
&amp;R&amp;"Arial,Bold"&amp;11Page &amp;P of &amp;N
</oddHeader>
  </headerFooter>
  <rowBreaks count="2" manualBreakCount="2">
    <brk id="53" max="16383" man="1"/>
    <brk id="10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388"/>
  <sheetViews>
    <sheetView zoomScale="85" zoomScaleNormal="85" zoomScaleSheetLayoutView="50" workbookViewId="0">
      <selection activeCell="AN72" sqref="AN72"/>
    </sheetView>
  </sheetViews>
  <sheetFormatPr defaultRowHeight="12.75"/>
  <cols>
    <col min="1" max="1" width="22.28515625" style="465" customWidth="1"/>
    <col min="2" max="2" width="13" style="477" customWidth="1"/>
    <col min="3" max="5" width="15" style="465" customWidth="1"/>
    <col min="6" max="6" width="15" style="464" customWidth="1"/>
    <col min="7" max="9" width="15" style="465" customWidth="1"/>
    <col min="10" max="14" width="15" style="464" customWidth="1"/>
    <col min="15" max="18" width="15" style="465" customWidth="1"/>
    <col min="19" max="33" width="15" style="463" customWidth="1"/>
    <col min="34" max="46" width="15.28515625" style="463" customWidth="1"/>
    <col min="47" max="47" width="12" style="465" hidden="1" customWidth="1"/>
    <col min="48" max="48" width="12.5703125" style="465" hidden="1" customWidth="1"/>
    <col min="49" max="49" width="11.28515625" style="465" hidden="1" customWidth="1"/>
    <col min="50" max="50" width="10.28515625" style="465" hidden="1" customWidth="1"/>
    <col min="51" max="51" width="12" style="465" hidden="1" customWidth="1"/>
    <col min="52" max="52" width="12.5703125" style="465" hidden="1" customWidth="1"/>
    <col min="53" max="53" width="11.28515625" style="465" hidden="1" customWidth="1"/>
    <col min="54" max="54" width="10.28515625" style="465" hidden="1" customWidth="1"/>
    <col min="55" max="55" width="12" style="465" hidden="1" customWidth="1"/>
    <col min="56" max="56" width="12.5703125" style="465" hidden="1" customWidth="1"/>
    <col min="57" max="57" width="11.28515625" style="465" hidden="1" customWidth="1"/>
    <col min="58" max="58" width="10.28515625" style="465" hidden="1" customWidth="1"/>
    <col min="59" max="59" width="12" style="465" hidden="1" customWidth="1"/>
    <col min="60" max="60" width="12.5703125" style="465" hidden="1" customWidth="1"/>
    <col min="61" max="61" width="11.28515625" style="465" hidden="1" customWidth="1"/>
    <col min="62" max="62" width="10.28515625" style="465" hidden="1" customWidth="1"/>
    <col min="63" max="63" width="12" style="465" hidden="1" customWidth="1"/>
    <col min="64" max="64" width="12.5703125" style="465" hidden="1" customWidth="1"/>
    <col min="65" max="65" width="11.28515625" style="465" hidden="1" customWidth="1"/>
    <col min="66" max="66" width="10.28515625" style="465" hidden="1" customWidth="1"/>
    <col min="67" max="67" width="12" style="465" hidden="1" customWidth="1"/>
    <col min="68" max="68" width="12.5703125" style="465" hidden="1" customWidth="1"/>
    <col min="69" max="69" width="11.28515625" style="465" hidden="1" customWidth="1"/>
    <col min="70" max="70" width="10.28515625" style="465" hidden="1" customWidth="1"/>
    <col min="71" max="71" width="14.42578125" style="465" customWidth="1"/>
    <col min="72" max="72" width="16.28515625" style="465" customWidth="1"/>
    <col min="73" max="73" width="15.28515625" style="465" customWidth="1"/>
    <col min="74" max="90" width="14.85546875" style="465" customWidth="1"/>
    <col min="91" max="91" width="15.5703125" style="465" customWidth="1"/>
    <col min="92" max="92" width="25.140625" style="465" bestFit="1" customWidth="1"/>
    <col min="93" max="93" width="21.7109375" style="465" bestFit="1" customWidth="1"/>
    <col min="94" max="94" width="21.7109375" style="465" customWidth="1"/>
    <col min="95" max="95" width="9.140625" style="465"/>
    <col min="96" max="96" width="13.7109375" style="465" customWidth="1"/>
    <col min="97" max="97" width="13.140625" style="465" customWidth="1"/>
    <col min="98" max="98" width="14.28515625" style="465" customWidth="1"/>
    <col min="99" max="99" width="13" style="465" customWidth="1"/>
    <col min="100" max="16384" width="9.140625" style="465"/>
  </cols>
  <sheetData>
    <row r="1" spans="1:93" ht="18" customHeight="1">
      <c r="A1" s="1048" t="str">
        <f>+'ATT H-2A'!A4</f>
        <v>Baltimore Gas and Electric Company</v>
      </c>
      <c r="B1" s="1129"/>
      <c r="C1" s="1129"/>
      <c r="D1" s="1129"/>
      <c r="E1" s="1129"/>
      <c r="F1" s="1129"/>
      <c r="G1" s="1129"/>
      <c r="H1" s="1129"/>
      <c r="I1" s="1129"/>
      <c r="J1" s="1129"/>
      <c r="K1" s="1129"/>
      <c r="L1" s="1129"/>
      <c r="M1" s="1129"/>
      <c r="N1" s="1129"/>
      <c r="O1" s="1052"/>
      <c r="P1" s="1052"/>
      <c r="Q1" s="1052"/>
      <c r="R1" s="1052"/>
      <c r="S1" s="1052"/>
      <c r="T1" s="1052"/>
      <c r="U1" s="1052"/>
      <c r="V1" s="1052"/>
      <c r="W1" s="1052"/>
      <c r="X1" s="1052"/>
      <c r="Y1" s="1052"/>
      <c r="Z1" s="1052"/>
      <c r="AA1" s="1052"/>
      <c r="AB1" s="1052"/>
      <c r="AC1" s="1052"/>
      <c r="AD1" s="1052"/>
      <c r="AE1" s="1052"/>
      <c r="AF1" s="1052"/>
      <c r="AG1" s="1052"/>
      <c r="AH1" s="1052"/>
      <c r="AI1" s="1052"/>
      <c r="AJ1" s="1052"/>
      <c r="AK1" s="1052"/>
      <c r="AL1" s="1052"/>
      <c r="AM1" s="1052"/>
      <c r="AN1" s="1052"/>
      <c r="AO1" s="1052"/>
      <c r="AP1" s="1052"/>
      <c r="AQ1" s="1052"/>
      <c r="AR1" s="1052"/>
      <c r="AS1" s="1052"/>
      <c r="AT1" s="1052"/>
      <c r="AU1" s="1052"/>
      <c r="AV1" s="1052"/>
      <c r="AW1" s="1052"/>
      <c r="AX1" s="1052"/>
      <c r="AY1" s="1052"/>
      <c r="AZ1" s="1052"/>
      <c r="BA1" s="1052"/>
      <c r="BB1" s="1052"/>
      <c r="BC1" s="1052"/>
      <c r="BD1" s="1052"/>
      <c r="BE1" s="1052"/>
      <c r="BF1" s="1052"/>
      <c r="BG1" s="1052"/>
      <c r="BH1" s="1052"/>
      <c r="BI1" s="1052"/>
      <c r="BJ1" s="1052"/>
      <c r="BK1" s="1052"/>
      <c r="BL1" s="1052"/>
      <c r="BM1" s="1052"/>
      <c r="BN1" s="1052"/>
      <c r="BO1" s="1052"/>
      <c r="BP1" s="1052"/>
      <c r="BQ1" s="1052"/>
      <c r="BR1" s="1052"/>
      <c r="BS1" s="1052"/>
      <c r="BT1" s="1052"/>
      <c r="BU1" s="1052"/>
      <c r="BV1" s="1052"/>
      <c r="BW1" s="1052"/>
      <c r="BX1" s="1052"/>
      <c r="BY1" s="1052"/>
      <c r="BZ1" s="1052"/>
      <c r="CA1" s="1052"/>
      <c r="CB1" s="1052"/>
      <c r="CC1" s="1052"/>
      <c r="CD1" s="1052"/>
      <c r="CE1" s="1052"/>
      <c r="CF1" s="1052"/>
      <c r="CG1" s="1052"/>
      <c r="CH1" s="1052"/>
      <c r="CI1" s="1052"/>
      <c r="CJ1" s="1052"/>
      <c r="CK1" s="1052"/>
      <c r="CL1" s="1052"/>
      <c r="CM1" s="1052"/>
      <c r="CN1" s="1052"/>
      <c r="CO1" s="1052"/>
    </row>
    <row r="3" spans="1:93" ht="15.75">
      <c r="A3" s="1128" t="s">
        <v>640</v>
      </c>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c r="AC3" s="1128"/>
      <c r="AD3" s="1128"/>
      <c r="AE3" s="1128"/>
      <c r="AF3" s="1128"/>
      <c r="AG3" s="1128"/>
      <c r="AH3" s="1128"/>
      <c r="AI3" s="1128"/>
      <c r="AJ3" s="1128"/>
      <c r="AK3" s="1128"/>
      <c r="AL3" s="1128"/>
      <c r="AM3" s="1128"/>
      <c r="AN3" s="1128"/>
      <c r="AO3" s="1128"/>
      <c r="AP3" s="1128"/>
      <c r="AQ3" s="1128"/>
      <c r="AR3" s="1128"/>
      <c r="AS3" s="1128"/>
      <c r="AT3" s="1128"/>
      <c r="AU3" s="1128"/>
      <c r="AV3" s="1128"/>
      <c r="AW3" s="1128"/>
      <c r="AX3" s="1128"/>
      <c r="AY3" s="1128"/>
      <c r="AZ3" s="1128"/>
      <c r="BA3" s="1128"/>
      <c r="BB3" s="1128"/>
      <c r="BC3" s="1128"/>
      <c r="BD3" s="1128"/>
      <c r="BE3" s="1128"/>
      <c r="BF3" s="1128"/>
      <c r="BG3" s="1128"/>
      <c r="BH3" s="1128"/>
      <c r="BI3" s="1128"/>
      <c r="BJ3" s="1128"/>
      <c r="BK3" s="1128"/>
      <c r="BL3" s="1128"/>
      <c r="BM3" s="1128"/>
      <c r="BN3" s="1128"/>
      <c r="BO3" s="1128"/>
      <c r="BP3" s="1128"/>
      <c r="BQ3" s="1128"/>
      <c r="BR3" s="1128"/>
      <c r="BS3" s="1128"/>
      <c r="BT3" s="1128"/>
      <c r="BU3" s="1128"/>
      <c r="BV3" s="1128"/>
      <c r="BW3" s="1128"/>
      <c r="BX3" s="1128"/>
      <c r="BY3" s="1128"/>
      <c r="BZ3" s="1128"/>
      <c r="CA3" s="1128"/>
      <c r="CB3" s="1128"/>
      <c r="CC3" s="1128"/>
      <c r="CD3" s="1128"/>
      <c r="CE3" s="1128"/>
      <c r="CF3" s="1128"/>
      <c r="CG3" s="1128"/>
      <c r="CH3" s="1128"/>
      <c r="CI3" s="1128"/>
      <c r="CJ3" s="1128"/>
      <c r="CK3" s="1128"/>
      <c r="CL3" s="1128"/>
      <c r="CM3" s="1128"/>
      <c r="CN3" s="1128"/>
      <c r="CO3" s="1128"/>
    </row>
    <row r="7" spans="1:93">
      <c r="A7" s="465" t="s">
        <v>388</v>
      </c>
    </row>
    <row r="9" spans="1:93">
      <c r="A9" s="179" t="s">
        <v>352</v>
      </c>
    </row>
    <row r="10" spans="1:93">
      <c r="A10" s="179"/>
      <c r="B10" s="477" t="s">
        <v>386</v>
      </c>
    </row>
    <row r="11" spans="1:93">
      <c r="A11" s="477" t="s">
        <v>47</v>
      </c>
      <c r="B11" s="477">
        <f>+'ATT H-2A'!A265</f>
        <v>159</v>
      </c>
      <c r="C11" s="510" t="str">
        <f>+'ATT H-2A'!C265</f>
        <v>Net Plant Carrying Charge without Depreciation</v>
      </c>
      <c r="F11" s="666"/>
      <c r="I11" s="667">
        <f>+'ATT H-2A'!H265</f>
        <v>0.2180028862405102</v>
      </c>
    </row>
    <row r="12" spans="1:93">
      <c r="A12" s="477" t="s">
        <v>223</v>
      </c>
      <c r="B12" s="477">
        <f>+'ATT H-2A'!A275</f>
        <v>166</v>
      </c>
      <c r="C12" s="510" t="str">
        <f>+'ATT H-2A'!C275</f>
        <v>Net Plant Carrying Charge per 100 basis point increase in ROE without Depreciation</v>
      </c>
      <c r="F12" s="666"/>
      <c r="I12" s="667">
        <f>+'ATT H-2A'!H275</f>
        <v>0.22593936872726239</v>
      </c>
    </row>
    <row r="13" spans="1:93">
      <c r="A13" s="477" t="s">
        <v>19</v>
      </c>
      <c r="C13" s="465" t="s">
        <v>354</v>
      </c>
      <c r="F13" s="666"/>
      <c r="I13" s="667">
        <f>+I12-I11</f>
        <v>7.9364824867521888E-3</v>
      </c>
    </row>
    <row r="14" spans="1:93">
      <c r="F14" s="666"/>
      <c r="I14" s="667"/>
    </row>
    <row r="15" spans="1:93">
      <c r="A15" s="179" t="s">
        <v>351</v>
      </c>
      <c r="F15" s="666"/>
      <c r="I15" s="667"/>
    </row>
    <row r="16" spans="1:93">
      <c r="A16" s="179"/>
      <c r="F16" s="666"/>
      <c r="I16" s="667"/>
    </row>
    <row r="17" spans="1:99">
      <c r="A17" s="477" t="s">
        <v>48</v>
      </c>
      <c r="B17" s="477">
        <f>+'ATT H-2A'!A266</f>
        <v>160</v>
      </c>
      <c r="C17" s="510" t="str">
        <f>+'ATT H-2A'!C266</f>
        <v>Net Plant Carrying Charge without Depreciation, Return, nor Income Taxes</v>
      </c>
      <c r="F17" s="666"/>
      <c r="I17" s="667">
        <f>+'ATT H-2A'!H266</f>
        <v>0.10245930487409564</v>
      </c>
    </row>
    <row r="19" spans="1:99">
      <c r="A19" s="155" t="s">
        <v>654</v>
      </c>
    </row>
    <row r="20" spans="1:99">
      <c r="A20" s="155" t="s">
        <v>525</v>
      </c>
      <c r="BX20" s="465">
        <v>3178</v>
      </c>
    </row>
    <row r="21" spans="1:99" ht="15.75" customHeight="1">
      <c r="A21" s="1144" t="s">
        <v>767</v>
      </c>
      <c r="B21" s="1145"/>
      <c r="C21" s="1145"/>
      <c r="D21" s="1145"/>
      <c r="E21" s="1145"/>
      <c r="F21" s="1145"/>
      <c r="G21" s="1145"/>
      <c r="H21" s="1145"/>
      <c r="I21" s="1145"/>
      <c r="J21" s="1145"/>
      <c r="K21" s="1145"/>
      <c r="L21" s="1145"/>
      <c r="M21" s="1145"/>
      <c r="N21" s="1145"/>
      <c r="O21" s="1145"/>
      <c r="P21" s="1145"/>
      <c r="Q21" s="1145"/>
      <c r="R21" s="1145"/>
      <c r="S21" s="1145"/>
      <c r="T21" s="1145"/>
      <c r="U21" s="1145"/>
      <c r="V21" s="1145"/>
      <c r="W21" s="1145"/>
      <c r="X21" s="1145"/>
      <c r="Y21" s="1145"/>
      <c r="Z21" s="1145"/>
      <c r="AA21" s="1145"/>
      <c r="AB21" s="1145"/>
      <c r="AC21" s="1145"/>
      <c r="AD21" s="1145"/>
      <c r="AE21" s="1145"/>
      <c r="AF21" s="1145"/>
      <c r="AG21" s="1145"/>
      <c r="AH21" s="1145"/>
      <c r="AI21" s="1145"/>
      <c r="AJ21" s="1145"/>
      <c r="AK21" s="1145"/>
      <c r="AL21" s="994"/>
      <c r="AM21" s="994"/>
      <c r="AN21" s="994"/>
      <c r="AO21" s="994"/>
      <c r="AP21" s="994"/>
      <c r="AQ21" s="994"/>
      <c r="AR21" s="994"/>
      <c r="AS21" s="994"/>
      <c r="AT21" s="994"/>
      <c r="AU21" s="994"/>
      <c r="AV21" s="994"/>
      <c r="AW21" s="994"/>
      <c r="AX21" s="994"/>
      <c r="AY21" s="994"/>
      <c r="AZ21" s="994"/>
      <c r="BA21" s="994"/>
      <c r="BB21" s="994"/>
      <c r="BC21" s="994"/>
      <c r="BD21" s="994"/>
      <c r="BE21" s="994"/>
      <c r="BF21" s="994"/>
      <c r="BG21" s="994"/>
      <c r="BH21" s="994"/>
      <c r="BI21" s="994"/>
      <c r="BJ21" s="994"/>
      <c r="BK21" s="994"/>
      <c r="BL21" s="994"/>
      <c r="BM21" s="994"/>
      <c r="BN21" s="994"/>
      <c r="BO21" s="994"/>
      <c r="BP21" s="994"/>
      <c r="BQ21" s="994"/>
      <c r="BR21" s="994"/>
      <c r="BS21" s="994"/>
      <c r="BT21" s="994"/>
      <c r="BU21" s="994"/>
      <c r="BV21" s="994"/>
      <c r="BW21" s="994"/>
      <c r="BX21" s="994"/>
      <c r="BY21" s="994"/>
      <c r="BZ21" s="994"/>
      <c r="CA21" s="994"/>
      <c r="CB21" s="994"/>
      <c r="CC21" s="994"/>
      <c r="CD21" s="994"/>
      <c r="CE21" s="994"/>
      <c r="CF21" s="994"/>
      <c r="CG21" s="994"/>
      <c r="CH21" s="994"/>
      <c r="CI21" s="994"/>
      <c r="CJ21" s="994"/>
      <c r="CK21" s="994"/>
      <c r="CL21" s="994"/>
      <c r="CM21" s="994"/>
      <c r="CN21" s="994"/>
      <c r="CO21" s="994"/>
    </row>
    <row r="22" spans="1:99" ht="16.5" customHeight="1" thickBot="1">
      <c r="A22" s="1144" t="s">
        <v>768</v>
      </c>
      <c r="B22" s="1145"/>
      <c r="C22" s="1145"/>
      <c r="D22" s="1145"/>
      <c r="E22" s="1145"/>
      <c r="F22" s="1145"/>
      <c r="G22" s="1145"/>
      <c r="H22" s="1145"/>
      <c r="I22" s="1145"/>
      <c r="J22" s="1145"/>
      <c r="K22" s="1145"/>
      <c r="L22" s="1145"/>
      <c r="M22" s="1145"/>
      <c r="N22" s="1145"/>
      <c r="O22" s="1145"/>
      <c r="P22" s="1145"/>
      <c r="Q22" s="1145"/>
      <c r="R22" s="1145"/>
      <c r="S22" s="1145"/>
      <c r="T22" s="1145"/>
      <c r="U22" s="1145"/>
      <c r="V22" s="1145"/>
      <c r="W22" s="1145"/>
      <c r="X22" s="1145"/>
      <c r="Y22" s="1145"/>
      <c r="Z22" s="1145"/>
      <c r="AA22" s="1145"/>
      <c r="AB22" s="1145"/>
      <c r="AC22" s="1145"/>
      <c r="AD22" s="1145"/>
      <c r="AE22" s="1145"/>
      <c r="AF22" s="1145"/>
      <c r="AG22" s="1145"/>
      <c r="AH22" s="1145"/>
      <c r="AI22" s="1145"/>
      <c r="AJ22" s="1145"/>
      <c r="AK22" s="1145"/>
      <c r="AL22" s="994"/>
      <c r="AM22" s="994"/>
      <c r="AN22" s="994"/>
      <c r="AO22" s="994"/>
      <c r="AP22" s="994"/>
      <c r="AQ22" s="994"/>
      <c r="AR22" s="994"/>
      <c r="AS22" s="994"/>
      <c r="AT22" s="994"/>
      <c r="AU22" s="994"/>
      <c r="AV22" s="994"/>
      <c r="AW22" s="994"/>
      <c r="AX22" s="994"/>
      <c r="AY22" s="994"/>
      <c r="AZ22" s="994"/>
      <c r="BA22" s="994"/>
      <c r="BB22" s="994"/>
      <c r="BC22" s="994"/>
      <c r="BD22" s="994"/>
      <c r="BE22" s="994"/>
      <c r="BF22" s="994"/>
      <c r="BG22" s="994"/>
      <c r="BH22" s="994"/>
      <c r="BI22" s="994"/>
      <c r="BJ22" s="994"/>
      <c r="BK22" s="994"/>
      <c r="BL22" s="994"/>
      <c r="BM22" s="994"/>
      <c r="BN22" s="994"/>
      <c r="BO22" s="994"/>
      <c r="BP22" s="994"/>
      <c r="BQ22" s="994"/>
      <c r="BR22" s="994"/>
      <c r="BS22" s="994"/>
      <c r="BT22" s="994"/>
      <c r="BU22" s="994"/>
      <c r="BV22" s="994"/>
      <c r="BW22" s="994"/>
      <c r="BX22" s="994"/>
      <c r="BY22" s="994"/>
      <c r="BZ22" s="994"/>
      <c r="CA22" s="994"/>
      <c r="CB22" s="994"/>
      <c r="CC22" s="994"/>
      <c r="CD22" s="994"/>
      <c r="CE22" s="994"/>
      <c r="CF22" s="994"/>
      <c r="CG22" s="994"/>
      <c r="CH22" s="994"/>
      <c r="CI22" s="994"/>
      <c r="CJ22" s="994"/>
      <c r="CK22" s="994"/>
      <c r="CL22" s="994"/>
      <c r="CM22" s="994"/>
      <c r="CN22" s="994"/>
      <c r="CO22" s="994"/>
    </row>
    <row r="23" spans="1:99" ht="25.5" customHeight="1">
      <c r="A23" s="668" t="s">
        <v>345</v>
      </c>
      <c r="B23" s="511"/>
      <c r="C23" s="1133" t="s">
        <v>560</v>
      </c>
      <c r="D23" s="1119"/>
      <c r="E23" s="1119"/>
      <c r="F23" s="1134"/>
      <c r="G23" s="1135" t="s">
        <v>664</v>
      </c>
      <c r="H23" s="1094"/>
      <c r="I23" s="1094"/>
      <c r="J23" s="1095"/>
      <c r="K23" s="1135" t="s">
        <v>35</v>
      </c>
      <c r="L23" s="1094"/>
      <c r="M23" s="1094"/>
      <c r="N23" s="1095"/>
      <c r="O23" s="1135" t="s">
        <v>585</v>
      </c>
      <c r="P23" s="1094" t="str">
        <f>+O23</f>
        <v>Northwest to Finksburg 2009</v>
      </c>
      <c r="Q23" s="1094" t="str">
        <f>+P23</f>
        <v>Northwest to Finksburg 2009</v>
      </c>
      <c r="R23" s="1095" t="str">
        <f>+Q23</f>
        <v>Northwest to Finksburg 2009</v>
      </c>
      <c r="S23" s="1136" t="s">
        <v>704</v>
      </c>
      <c r="T23" s="1137"/>
      <c r="U23" s="1137"/>
      <c r="V23" s="1138"/>
      <c r="W23" s="1136" t="s">
        <v>748</v>
      </c>
      <c r="X23" s="1137"/>
      <c r="Y23" s="1137"/>
      <c r="Z23" s="1138"/>
      <c r="AA23" s="1139" t="s">
        <v>749</v>
      </c>
      <c r="AB23" s="1140"/>
      <c r="AC23" s="1140"/>
      <c r="AD23" s="1141"/>
      <c r="AE23" s="1136" t="s">
        <v>75</v>
      </c>
      <c r="AF23" s="1137"/>
      <c r="AG23" s="1137"/>
      <c r="AH23" s="1138"/>
      <c r="AI23" s="1136" t="s">
        <v>745</v>
      </c>
      <c r="AJ23" s="1137"/>
      <c r="AK23" s="1137"/>
      <c r="AL23" s="1138"/>
      <c r="AM23" s="1139" t="s">
        <v>746</v>
      </c>
      <c r="AN23" s="1140"/>
      <c r="AO23" s="1140"/>
      <c r="AP23" s="1141"/>
      <c r="AQ23" s="1136" t="s">
        <v>747</v>
      </c>
      <c r="AR23" s="1137"/>
      <c r="AS23" s="1137"/>
      <c r="AT23" s="1138"/>
      <c r="AU23" s="669" t="s">
        <v>376</v>
      </c>
      <c r="AV23" s="522" t="str">
        <f>+AU23</f>
        <v>Project D</v>
      </c>
      <c r="AW23" s="522" t="str">
        <f>+AV23</f>
        <v>Project D</v>
      </c>
      <c r="AX23" s="670" t="str">
        <f>+AW23</f>
        <v>Project D</v>
      </c>
      <c r="AY23" s="669" t="s">
        <v>377</v>
      </c>
      <c r="AZ23" s="522" t="str">
        <f>+AY23</f>
        <v>Project E</v>
      </c>
      <c r="BA23" s="522" t="str">
        <f>+AZ23</f>
        <v>Project E</v>
      </c>
      <c r="BB23" s="670" t="str">
        <f>+BA23</f>
        <v>Project E</v>
      </c>
      <c r="BC23" s="669" t="s">
        <v>378</v>
      </c>
      <c r="BD23" s="522" t="str">
        <f>+BC23</f>
        <v>Project F</v>
      </c>
      <c r="BE23" s="522" t="str">
        <f>+BD23</f>
        <v>Project F</v>
      </c>
      <c r="BF23" s="670" t="str">
        <f>+BE23</f>
        <v>Project F</v>
      </c>
      <c r="BG23" s="669" t="s">
        <v>379</v>
      </c>
      <c r="BH23" s="522" t="str">
        <f>+BG23</f>
        <v>Project G</v>
      </c>
      <c r="BI23" s="522" t="str">
        <f>+BH23</f>
        <v>Project G</v>
      </c>
      <c r="BJ23" s="670" t="str">
        <f>+BI23</f>
        <v>Project G</v>
      </c>
      <c r="BK23" s="669" t="s">
        <v>380</v>
      </c>
      <c r="BL23" s="522" t="str">
        <f>+BK23</f>
        <v>Project H</v>
      </c>
      <c r="BM23" s="522" t="str">
        <f>+BL23</f>
        <v>Project H</v>
      </c>
      <c r="BN23" s="670" t="str">
        <f>+BM23</f>
        <v>Project H</v>
      </c>
      <c r="BO23" s="669" t="s">
        <v>381</v>
      </c>
      <c r="BP23" s="522" t="str">
        <f>+BO23</f>
        <v>Project I</v>
      </c>
      <c r="BQ23" s="522" t="str">
        <f>+BP23</f>
        <v>Project I</v>
      </c>
      <c r="BR23" s="670" t="str">
        <f>+BQ23</f>
        <v>Project I</v>
      </c>
      <c r="BS23" s="1135" t="s">
        <v>750</v>
      </c>
      <c r="BT23" s="1094" t="str">
        <f>+BS23</f>
        <v>Northwest to Finksburg 2010</v>
      </c>
      <c r="BU23" s="1094" t="str">
        <f>+BT23</f>
        <v>Northwest to Finksburg 2010</v>
      </c>
      <c r="BV23" s="1095" t="str">
        <f>+BU23</f>
        <v>Northwest to Finksburg 2010</v>
      </c>
      <c r="BW23" s="1135" t="s">
        <v>754</v>
      </c>
      <c r="BX23" s="1094" t="str">
        <f>+BW23</f>
        <v>Waugh Chapel 500/230 kV Transformer 2011</v>
      </c>
      <c r="BY23" s="1094" t="str">
        <f>+BX23</f>
        <v>Waugh Chapel 500/230 kV Transformer 2011</v>
      </c>
      <c r="BZ23" s="1095" t="str">
        <f>+BY23</f>
        <v>Waugh Chapel 500/230 kV Transformer 2011</v>
      </c>
      <c r="CA23" s="1136" t="s">
        <v>760</v>
      </c>
      <c r="CB23" s="1137"/>
      <c r="CC23" s="1137"/>
      <c r="CD23" s="1138"/>
      <c r="CE23" s="1135" t="s">
        <v>757</v>
      </c>
      <c r="CF23" s="1094" t="str">
        <f>+CE23</f>
        <v>Northwest to Finksburg 2011</v>
      </c>
      <c r="CG23" s="1094" t="str">
        <f>+CF23</f>
        <v>Northwest to Finksburg 2011</v>
      </c>
      <c r="CH23" s="1095" t="str">
        <f>+CG23</f>
        <v>Northwest to Finksburg 2011</v>
      </c>
      <c r="CI23" s="1135" t="s">
        <v>772</v>
      </c>
      <c r="CJ23" s="1094" t="str">
        <f>+CI23</f>
        <v>Waugh Chapel 500/230 kV Transformer 2012</v>
      </c>
      <c r="CK23" s="1094" t="str">
        <f>+CJ23</f>
        <v>Waugh Chapel 500/230 kV Transformer 2012</v>
      </c>
      <c r="CL23" s="1095" t="str">
        <f>+CK23</f>
        <v>Waugh Chapel 500/230 kV Transformer 2012</v>
      </c>
      <c r="CM23" s="671"/>
      <c r="CR23" s="1136" t="s">
        <v>780</v>
      </c>
      <c r="CS23" s="1142"/>
      <c r="CT23" s="1142"/>
      <c r="CU23" s="1143"/>
    </row>
    <row r="24" spans="1:99">
      <c r="A24" s="672" t="s">
        <v>129</v>
      </c>
      <c r="B24" s="512" t="s">
        <v>581</v>
      </c>
      <c r="C24" s="513"/>
      <c r="D24" s="512"/>
      <c r="E24" s="512"/>
      <c r="F24" s="673"/>
      <c r="G24" s="513"/>
      <c r="H24" s="512"/>
      <c r="I24" s="512"/>
      <c r="J24" s="673"/>
      <c r="K24" s="513"/>
      <c r="L24" s="512"/>
      <c r="M24" s="512"/>
      <c r="N24" s="673"/>
      <c r="O24" s="513"/>
      <c r="P24" s="512"/>
      <c r="Q24" s="512"/>
      <c r="R24" s="673"/>
      <c r="S24" s="674"/>
      <c r="T24" s="518"/>
      <c r="U24" s="518"/>
      <c r="V24" s="675"/>
      <c r="W24" s="674"/>
      <c r="X24" s="518"/>
      <c r="Y24" s="518"/>
      <c r="Z24" s="675"/>
      <c r="AA24" s="674"/>
      <c r="AB24" s="518"/>
      <c r="AC24" s="518"/>
      <c r="AD24" s="675"/>
      <c r="AE24" s="674"/>
      <c r="AF24" s="518"/>
      <c r="AG24" s="518"/>
      <c r="AH24" s="675"/>
      <c r="AI24" s="674"/>
      <c r="AJ24" s="965"/>
      <c r="AK24" s="965"/>
      <c r="AL24" s="675"/>
      <c r="AM24" s="674"/>
      <c r="AN24" s="965"/>
      <c r="AO24" s="965"/>
      <c r="AP24" s="675"/>
      <c r="AQ24" s="674"/>
      <c r="AR24" s="965"/>
      <c r="AS24" s="965"/>
      <c r="AT24" s="675"/>
      <c r="AU24" s="676"/>
      <c r="AV24" s="677"/>
      <c r="AW24" s="677"/>
      <c r="AX24" s="678"/>
      <c r="AY24" s="676"/>
      <c r="AZ24" s="677"/>
      <c r="BA24" s="677"/>
      <c r="BB24" s="678"/>
      <c r="BC24" s="676"/>
      <c r="BD24" s="677"/>
      <c r="BE24" s="677"/>
      <c r="BF24" s="678"/>
      <c r="BG24" s="676"/>
      <c r="BH24" s="677"/>
      <c r="BI24" s="677"/>
      <c r="BJ24" s="678"/>
      <c r="BK24" s="676"/>
      <c r="BL24" s="677"/>
      <c r="BM24" s="677"/>
      <c r="BN24" s="678"/>
      <c r="BO24" s="676"/>
      <c r="BP24" s="677"/>
      <c r="BQ24" s="677"/>
      <c r="BR24" s="678"/>
      <c r="BS24" s="674"/>
      <c r="BT24" s="969"/>
      <c r="BU24" s="969"/>
      <c r="BV24" s="675"/>
      <c r="BW24" s="674"/>
      <c r="BX24" s="982"/>
      <c r="BY24" s="982"/>
      <c r="BZ24" s="675"/>
      <c r="CA24" s="674"/>
      <c r="CB24" s="984"/>
      <c r="CC24" s="984"/>
      <c r="CD24" s="675"/>
      <c r="CE24" s="674"/>
      <c r="CF24" s="976"/>
      <c r="CG24" s="976"/>
      <c r="CH24" s="675"/>
      <c r="CI24" s="674"/>
      <c r="CJ24" s="1004"/>
      <c r="CK24" s="1004"/>
      <c r="CL24" s="675"/>
      <c r="CM24" s="679"/>
      <c r="CR24" s="674"/>
      <c r="CS24" s="992"/>
      <c r="CT24" s="992"/>
      <c r="CU24" s="675"/>
    </row>
    <row r="25" spans="1:99">
      <c r="A25" s="514" t="s">
        <v>343</v>
      </c>
      <c r="B25" s="512"/>
      <c r="C25" s="513">
        <v>44</v>
      </c>
      <c r="D25" s="512"/>
      <c r="E25" s="512"/>
      <c r="F25" s="680"/>
      <c r="G25" s="513">
        <v>44</v>
      </c>
      <c r="H25" s="512"/>
      <c r="I25" s="512"/>
      <c r="J25" s="680"/>
      <c r="K25" s="513">
        <v>44</v>
      </c>
      <c r="L25" s="512"/>
      <c r="M25" s="512"/>
      <c r="N25" s="680"/>
      <c r="O25" s="513">
        <v>44</v>
      </c>
      <c r="P25" s="512"/>
      <c r="Q25" s="512"/>
      <c r="R25" s="680"/>
      <c r="S25" s="674">
        <v>44</v>
      </c>
      <c r="T25" s="518"/>
      <c r="U25" s="518"/>
      <c r="V25" s="681"/>
      <c r="W25" s="674">
        <v>44</v>
      </c>
      <c r="X25" s="518"/>
      <c r="Y25" s="518"/>
      <c r="Z25" s="681"/>
      <c r="AA25" s="674">
        <v>44</v>
      </c>
      <c r="AB25" s="518"/>
      <c r="AC25" s="518"/>
      <c r="AD25" s="681"/>
      <c r="AE25" s="674">
        <v>44</v>
      </c>
      <c r="AF25" s="518"/>
      <c r="AG25" s="518"/>
      <c r="AH25" s="681"/>
      <c r="AI25" s="674">
        <v>44</v>
      </c>
      <c r="AJ25" s="965"/>
      <c r="AK25" s="965"/>
      <c r="AL25" s="681"/>
      <c r="AM25" s="674">
        <v>44</v>
      </c>
      <c r="AN25" s="965"/>
      <c r="AO25" s="965"/>
      <c r="AP25" s="681"/>
      <c r="AQ25" s="674">
        <v>44</v>
      </c>
      <c r="AR25" s="965"/>
      <c r="AS25" s="965"/>
      <c r="AT25" s="681"/>
      <c r="AU25" s="682">
        <v>40</v>
      </c>
      <c r="AV25" s="512"/>
      <c r="AW25" s="512"/>
      <c r="AX25" s="673"/>
      <c r="AY25" s="682">
        <v>40</v>
      </c>
      <c r="AZ25" s="512"/>
      <c r="BA25" s="512"/>
      <c r="BB25" s="673"/>
      <c r="BC25" s="682">
        <v>40</v>
      </c>
      <c r="BD25" s="512"/>
      <c r="BE25" s="512"/>
      <c r="BF25" s="673"/>
      <c r="BG25" s="682">
        <v>35</v>
      </c>
      <c r="BH25" s="512"/>
      <c r="BI25" s="512"/>
      <c r="BJ25" s="673"/>
      <c r="BK25" s="682">
        <v>25</v>
      </c>
      <c r="BL25" s="512"/>
      <c r="BM25" s="512"/>
      <c r="BN25" s="673"/>
      <c r="BO25" s="682">
        <v>30</v>
      </c>
      <c r="BP25" s="512"/>
      <c r="BQ25" s="512"/>
      <c r="BR25" s="673"/>
      <c r="BS25" s="674">
        <v>44</v>
      </c>
      <c r="BT25" s="969"/>
      <c r="BU25" s="969"/>
      <c r="BV25" s="681"/>
      <c r="BW25" s="674">
        <v>44</v>
      </c>
      <c r="BX25" s="982"/>
      <c r="BY25" s="982"/>
      <c r="BZ25" s="681"/>
      <c r="CA25" s="674">
        <v>44</v>
      </c>
      <c r="CB25" s="984"/>
      <c r="CC25" s="984"/>
      <c r="CD25" s="681"/>
      <c r="CE25" s="674">
        <v>44</v>
      </c>
      <c r="CF25" s="976"/>
      <c r="CG25" s="976"/>
      <c r="CH25" s="681"/>
      <c r="CI25" s="674">
        <v>44</v>
      </c>
      <c r="CJ25" s="1004"/>
      <c r="CK25" s="1004"/>
      <c r="CL25" s="681"/>
      <c r="CM25" s="679"/>
      <c r="CR25" s="674">
        <v>10</v>
      </c>
      <c r="CS25" s="992"/>
      <c r="CT25" s="992"/>
      <c r="CU25" s="681"/>
    </row>
    <row r="26" spans="1:99">
      <c r="A26" s="514" t="s">
        <v>344</v>
      </c>
      <c r="B26" s="512" t="s">
        <v>581</v>
      </c>
      <c r="C26" s="513" t="s">
        <v>348</v>
      </c>
      <c r="D26" s="512"/>
      <c r="E26" s="512"/>
      <c r="F26" s="680"/>
      <c r="G26" s="513" t="s">
        <v>348</v>
      </c>
      <c r="H26" s="512"/>
      <c r="I26" s="512"/>
      <c r="J26" s="680"/>
      <c r="K26" s="513" t="s">
        <v>348</v>
      </c>
      <c r="L26" s="512"/>
      <c r="M26" s="512"/>
      <c r="N26" s="680"/>
      <c r="O26" s="513" t="s">
        <v>348</v>
      </c>
      <c r="P26" s="512"/>
      <c r="Q26" s="512"/>
      <c r="R26" s="680"/>
      <c r="S26" s="674" t="s">
        <v>348</v>
      </c>
      <c r="T26" s="518"/>
      <c r="U26" s="518"/>
      <c r="V26" s="681"/>
      <c r="W26" s="674" t="s">
        <v>348</v>
      </c>
      <c r="X26" s="518"/>
      <c r="Y26" s="518"/>
      <c r="Z26" s="681"/>
      <c r="AA26" s="674" t="s">
        <v>348</v>
      </c>
      <c r="AB26" s="518"/>
      <c r="AC26" s="518"/>
      <c r="AD26" s="681"/>
      <c r="AE26" s="674" t="s">
        <v>348</v>
      </c>
      <c r="AF26" s="518"/>
      <c r="AG26" s="518"/>
      <c r="AH26" s="681"/>
      <c r="AI26" s="674" t="s">
        <v>348</v>
      </c>
      <c r="AJ26" s="965"/>
      <c r="AK26" s="965"/>
      <c r="AL26" s="681"/>
      <c r="AM26" s="674" t="s">
        <v>348</v>
      </c>
      <c r="AN26" s="965"/>
      <c r="AO26" s="965"/>
      <c r="AP26" s="681"/>
      <c r="AQ26" s="674" t="s">
        <v>348</v>
      </c>
      <c r="AR26" s="965"/>
      <c r="AS26" s="965"/>
      <c r="AT26" s="681"/>
      <c r="AU26" s="682" t="s">
        <v>348</v>
      </c>
      <c r="AV26" s="512"/>
      <c r="AW26" s="512"/>
      <c r="AX26" s="673"/>
      <c r="AY26" s="682" t="s">
        <v>348</v>
      </c>
      <c r="AZ26" s="512"/>
      <c r="BA26" s="512"/>
      <c r="BB26" s="673"/>
      <c r="BC26" s="682" t="s">
        <v>348</v>
      </c>
      <c r="BD26" s="512"/>
      <c r="BE26" s="512"/>
      <c r="BF26" s="673"/>
      <c r="BG26" s="682" t="s">
        <v>349</v>
      </c>
      <c r="BH26" s="512"/>
      <c r="BI26" s="512"/>
      <c r="BJ26" s="673"/>
      <c r="BK26" s="682" t="s">
        <v>349</v>
      </c>
      <c r="BL26" s="512"/>
      <c r="BM26" s="512"/>
      <c r="BN26" s="673"/>
      <c r="BO26" s="682" t="s">
        <v>348</v>
      </c>
      <c r="BP26" s="512"/>
      <c r="BQ26" s="512"/>
      <c r="BR26" s="673"/>
      <c r="BS26" s="674" t="s">
        <v>348</v>
      </c>
      <c r="BT26" s="969"/>
      <c r="BU26" s="969"/>
      <c r="BV26" s="681"/>
      <c r="BW26" s="674" t="s">
        <v>348</v>
      </c>
      <c r="BX26" s="982"/>
      <c r="BY26" s="982"/>
      <c r="BZ26" s="681"/>
      <c r="CA26" s="674" t="s">
        <v>348</v>
      </c>
      <c r="CB26" s="984"/>
      <c r="CC26" s="984"/>
      <c r="CD26" s="681"/>
      <c r="CE26" s="674" t="s">
        <v>348</v>
      </c>
      <c r="CF26" s="976"/>
      <c r="CG26" s="976"/>
      <c r="CH26" s="681"/>
      <c r="CI26" s="674" t="s">
        <v>348</v>
      </c>
      <c r="CJ26" s="1004"/>
      <c r="CK26" s="1004"/>
      <c r="CL26" s="681"/>
      <c r="CM26" s="679"/>
      <c r="CR26" s="674" t="s">
        <v>348</v>
      </c>
      <c r="CS26" s="992"/>
      <c r="CT26" s="992"/>
      <c r="CU26" s="681"/>
    </row>
    <row r="27" spans="1:99">
      <c r="A27" s="514" t="s">
        <v>659</v>
      </c>
      <c r="B27" s="512"/>
      <c r="C27" s="513">
        <v>100</v>
      </c>
      <c r="D27" s="512"/>
      <c r="E27" s="512"/>
      <c r="F27" s="680"/>
      <c r="G27" s="513">
        <v>100</v>
      </c>
      <c r="H27" s="512"/>
      <c r="I27" s="512"/>
      <c r="J27" s="680"/>
      <c r="K27" s="513">
        <v>100</v>
      </c>
      <c r="L27" s="512"/>
      <c r="M27" s="512"/>
      <c r="N27" s="680"/>
      <c r="O27" s="513">
        <v>100</v>
      </c>
      <c r="P27" s="512"/>
      <c r="Q27" s="512"/>
      <c r="R27" s="680"/>
      <c r="S27" s="674">
        <v>100</v>
      </c>
      <c r="T27" s="518"/>
      <c r="U27" s="518"/>
      <c r="V27" s="681"/>
      <c r="W27" s="674">
        <v>100</v>
      </c>
      <c r="X27" s="518"/>
      <c r="Y27" s="518"/>
      <c r="Z27" s="681"/>
      <c r="AA27" s="674">
        <v>100</v>
      </c>
      <c r="AB27" s="518"/>
      <c r="AC27" s="518"/>
      <c r="AD27" s="681"/>
      <c r="AE27" s="674">
        <v>100</v>
      </c>
      <c r="AF27" s="518"/>
      <c r="AG27" s="518"/>
      <c r="AH27" s="681"/>
      <c r="AI27" s="674">
        <v>100</v>
      </c>
      <c r="AJ27" s="965"/>
      <c r="AK27" s="965"/>
      <c r="AL27" s="681"/>
      <c r="AM27" s="674">
        <v>100</v>
      </c>
      <c r="AN27" s="965"/>
      <c r="AO27" s="965"/>
      <c r="AP27" s="681"/>
      <c r="AQ27" s="674">
        <v>100</v>
      </c>
      <c r="AR27" s="965"/>
      <c r="AS27" s="965"/>
      <c r="AT27" s="681"/>
      <c r="AU27" s="682">
        <v>150</v>
      </c>
      <c r="AV27" s="512"/>
      <c r="AW27" s="512"/>
      <c r="AX27" s="673"/>
      <c r="AY27" s="682">
        <v>100</v>
      </c>
      <c r="AZ27" s="512"/>
      <c r="BA27" s="512"/>
      <c r="BB27" s="673"/>
      <c r="BC27" s="682">
        <v>50</v>
      </c>
      <c r="BD27" s="512"/>
      <c r="BE27" s="512"/>
      <c r="BF27" s="673"/>
      <c r="BG27" s="682">
        <v>100</v>
      </c>
      <c r="BH27" s="512"/>
      <c r="BI27" s="512"/>
      <c r="BJ27" s="673"/>
      <c r="BK27" s="682">
        <v>150</v>
      </c>
      <c r="BL27" s="512"/>
      <c r="BM27" s="512"/>
      <c r="BN27" s="673"/>
      <c r="BO27" s="682">
        <v>50</v>
      </c>
      <c r="BP27" s="512"/>
      <c r="BQ27" s="512"/>
      <c r="BR27" s="673"/>
      <c r="BS27" s="674">
        <v>100</v>
      </c>
      <c r="BT27" s="969"/>
      <c r="BU27" s="969"/>
      <c r="BV27" s="681"/>
      <c r="BW27" s="674">
        <v>0</v>
      </c>
      <c r="BX27" s="982"/>
      <c r="BY27" s="982"/>
      <c r="BZ27" s="681"/>
      <c r="CA27" s="674">
        <v>100</v>
      </c>
      <c r="CB27" s="984"/>
      <c r="CC27" s="984"/>
      <c r="CD27" s="681"/>
      <c r="CE27" s="674">
        <v>100</v>
      </c>
      <c r="CF27" s="976"/>
      <c r="CG27" s="976"/>
      <c r="CH27" s="681"/>
      <c r="CI27" s="674">
        <v>0</v>
      </c>
      <c r="CJ27" s="1004"/>
      <c r="CK27" s="1004"/>
      <c r="CL27" s="681"/>
      <c r="CM27" s="679"/>
      <c r="CR27" s="674"/>
      <c r="CS27" s="992"/>
      <c r="CT27" s="992"/>
      <c r="CU27" s="681"/>
    </row>
    <row r="28" spans="1:99">
      <c r="A28" s="514" t="s">
        <v>369</v>
      </c>
      <c r="B28" s="512"/>
      <c r="C28" s="514">
        <f>+$I11</f>
        <v>0.2180028862405102</v>
      </c>
      <c r="D28" s="543"/>
      <c r="E28" s="543"/>
      <c r="F28" s="683"/>
      <c r="G28" s="514">
        <f>+$I11</f>
        <v>0.2180028862405102</v>
      </c>
      <c r="H28" s="543"/>
      <c r="I28" s="543"/>
      <c r="J28" s="683"/>
      <c r="K28" s="682">
        <f>+$I11</f>
        <v>0.2180028862405102</v>
      </c>
      <c r="L28" s="543"/>
      <c r="M28" s="543"/>
      <c r="N28" s="683"/>
      <c r="O28" s="514">
        <f>+$I11</f>
        <v>0.2180028862405102</v>
      </c>
      <c r="P28" s="543"/>
      <c r="Q28" s="543"/>
      <c r="R28" s="683"/>
      <c r="S28" s="672">
        <f>+$I11</f>
        <v>0.2180028862405102</v>
      </c>
      <c r="T28" s="527"/>
      <c r="U28" s="527"/>
      <c r="V28" s="684"/>
      <c r="W28" s="672">
        <f>+$I11</f>
        <v>0.2180028862405102</v>
      </c>
      <c r="X28" s="527"/>
      <c r="Y28" s="527"/>
      <c r="Z28" s="684"/>
      <c r="AA28" s="672">
        <f>+$I11</f>
        <v>0.2180028862405102</v>
      </c>
      <c r="AB28" s="527"/>
      <c r="AC28" s="527"/>
      <c r="AD28" s="684"/>
      <c r="AE28" s="672">
        <f>+$I11</f>
        <v>0.2180028862405102</v>
      </c>
      <c r="AF28" s="527"/>
      <c r="AG28" s="527"/>
      <c r="AH28" s="684"/>
      <c r="AI28" s="672">
        <f>+$I11</f>
        <v>0.2180028862405102</v>
      </c>
      <c r="AJ28" s="527"/>
      <c r="AK28" s="527"/>
      <c r="AL28" s="684"/>
      <c r="AM28" s="672">
        <f>+$I11</f>
        <v>0.2180028862405102</v>
      </c>
      <c r="AN28" s="527"/>
      <c r="AO28" s="527"/>
      <c r="AP28" s="684"/>
      <c r="AQ28" s="672">
        <f>+$I11</f>
        <v>0.2180028862405102</v>
      </c>
      <c r="AR28" s="527"/>
      <c r="AS28" s="527"/>
      <c r="AT28" s="684"/>
      <c r="AU28" s="514">
        <f>+$I11</f>
        <v>0.2180028862405102</v>
      </c>
      <c r="AV28" s="543"/>
      <c r="AW28" s="543"/>
      <c r="AX28" s="679"/>
      <c r="AY28" s="514">
        <f>+$I11</f>
        <v>0.2180028862405102</v>
      </c>
      <c r="AZ28" s="543"/>
      <c r="BA28" s="543"/>
      <c r="BB28" s="679"/>
      <c r="BC28" s="514">
        <f>+$I11</f>
        <v>0.2180028862405102</v>
      </c>
      <c r="BD28" s="543"/>
      <c r="BE28" s="543"/>
      <c r="BF28" s="679"/>
      <c r="BG28" s="682">
        <f>$I17</f>
        <v>0.10245930487409564</v>
      </c>
      <c r="BH28" s="512"/>
      <c r="BI28" s="512"/>
      <c r="BJ28" s="673"/>
      <c r="BK28" s="682">
        <f>$I17</f>
        <v>0.10245930487409564</v>
      </c>
      <c r="BL28" s="512"/>
      <c r="BM28" s="512"/>
      <c r="BN28" s="673"/>
      <c r="BO28" s="514">
        <f>+$I11</f>
        <v>0.2180028862405102</v>
      </c>
      <c r="BP28" s="543"/>
      <c r="BQ28" s="543"/>
      <c r="BR28" s="679"/>
      <c r="BS28" s="672">
        <f>+$I11</f>
        <v>0.2180028862405102</v>
      </c>
      <c r="BT28" s="527"/>
      <c r="BU28" s="527"/>
      <c r="BV28" s="684"/>
      <c r="BW28" s="979">
        <f>+$I11</f>
        <v>0.2180028862405102</v>
      </c>
      <c r="BX28" s="527"/>
      <c r="BY28" s="527"/>
      <c r="BZ28" s="684"/>
      <c r="CA28" s="979">
        <f>+$I11</f>
        <v>0.2180028862405102</v>
      </c>
      <c r="CB28" s="527"/>
      <c r="CC28" s="527"/>
      <c r="CD28" s="684"/>
      <c r="CE28" s="979">
        <f>+$I11</f>
        <v>0.2180028862405102</v>
      </c>
      <c r="CF28" s="527"/>
      <c r="CG28" s="527"/>
      <c r="CH28" s="684"/>
      <c r="CI28" s="979">
        <f>+$I11</f>
        <v>0.2180028862405102</v>
      </c>
      <c r="CJ28" s="527"/>
      <c r="CK28" s="527"/>
      <c r="CL28" s="684"/>
      <c r="CM28" s="679"/>
      <c r="CR28" s="979">
        <v>0.22289963686311773</v>
      </c>
      <c r="CS28" s="527"/>
      <c r="CT28" s="527"/>
      <c r="CU28" s="684"/>
    </row>
    <row r="29" spans="1:99">
      <c r="A29" s="514" t="s">
        <v>353</v>
      </c>
      <c r="B29" s="512"/>
      <c r="C29" s="515">
        <f>($I11+$I13/100*C27)</f>
        <v>0.22593936872726239</v>
      </c>
      <c r="D29" s="685"/>
      <c r="E29" s="543"/>
      <c r="F29" s="683"/>
      <c r="G29" s="514">
        <f>($I11+$I13/100*G27)</f>
        <v>0.22593936872726239</v>
      </c>
      <c r="H29" s="543"/>
      <c r="I29" s="543"/>
      <c r="J29" s="683"/>
      <c r="K29" s="682">
        <f>($I11+$I13/100*K27)</f>
        <v>0.22593936872726239</v>
      </c>
      <c r="L29" s="543"/>
      <c r="M29" s="543"/>
      <c r="N29" s="683"/>
      <c r="O29" s="514">
        <f>($I11+$I13/100*O27)</f>
        <v>0.22593936872726239</v>
      </c>
      <c r="P29" s="543"/>
      <c r="Q29" s="543"/>
      <c r="R29" s="683"/>
      <c r="S29" s="672">
        <f>($I11+$I13/100*S27)</f>
        <v>0.22593936872726239</v>
      </c>
      <c r="T29" s="527"/>
      <c r="U29" s="527"/>
      <c r="V29" s="684"/>
      <c r="W29" s="672">
        <f>($I11+$I13/100*W27)</f>
        <v>0.22593936872726239</v>
      </c>
      <c r="X29" s="527"/>
      <c r="Y29" s="527"/>
      <c r="Z29" s="684"/>
      <c r="AA29" s="672">
        <f>($I11+$I13/100*AA27)</f>
        <v>0.22593936872726239</v>
      </c>
      <c r="AB29" s="527"/>
      <c r="AC29" s="527"/>
      <c r="AD29" s="684"/>
      <c r="AE29" s="672">
        <f>($I11+$I13/100*AE27)</f>
        <v>0.22593936872726239</v>
      </c>
      <c r="AF29" s="527"/>
      <c r="AG29" s="527"/>
      <c r="AH29" s="684"/>
      <c r="AI29" s="672">
        <f>($I11+$I13/100*AI27)</f>
        <v>0.22593936872726239</v>
      </c>
      <c r="AJ29" s="527"/>
      <c r="AK29" s="527"/>
      <c r="AL29" s="684"/>
      <c r="AM29" s="672">
        <f>($I11+$I13/100*AM27)</f>
        <v>0.22593936872726239</v>
      </c>
      <c r="AN29" s="527"/>
      <c r="AO29" s="527"/>
      <c r="AP29" s="684"/>
      <c r="AQ29" s="672">
        <f>($I11+$I13/100*AQ27)</f>
        <v>0.22593936872726239</v>
      </c>
      <c r="AR29" s="527"/>
      <c r="AS29" s="527"/>
      <c r="AT29" s="684"/>
      <c r="AU29" s="514">
        <f>($I11+$I13/100*AU27)</f>
        <v>0.22990760997063847</v>
      </c>
      <c r="AV29" s="543"/>
      <c r="AW29" s="543"/>
      <c r="AX29" s="679"/>
      <c r="AY29" s="514">
        <f>($I11+$I13/100*AY27)</f>
        <v>0.22593936872726239</v>
      </c>
      <c r="AZ29" s="543"/>
      <c r="BA29" s="543"/>
      <c r="BB29" s="679"/>
      <c r="BC29" s="514">
        <f>($I11+$I13/100*BC27)</f>
        <v>0.22197112748388631</v>
      </c>
      <c r="BD29" s="543"/>
      <c r="BE29" s="543"/>
      <c r="BF29" s="679"/>
      <c r="BG29" s="514">
        <f>+I17</f>
        <v>0.10245930487409564</v>
      </c>
      <c r="BH29" s="543"/>
      <c r="BI29" s="543"/>
      <c r="BJ29" s="679"/>
      <c r="BK29" s="514">
        <f>+I17</f>
        <v>0.10245930487409564</v>
      </c>
      <c r="BL29" s="543"/>
      <c r="BM29" s="543"/>
      <c r="BN29" s="679"/>
      <c r="BO29" s="514">
        <f>($I11+$I13/100*BO27)</f>
        <v>0.22197112748388631</v>
      </c>
      <c r="BP29" s="543"/>
      <c r="BQ29" s="543"/>
      <c r="BR29" s="679"/>
      <c r="BS29" s="672">
        <f>($I11+$I13/100*BS27)</f>
        <v>0.22593936872726239</v>
      </c>
      <c r="BT29" s="527"/>
      <c r="BU29" s="527"/>
      <c r="BV29" s="684"/>
      <c r="BW29" s="979">
        <f>($I11+$I13/100*BW27)</f>
        <v>0.2180028862405102</v>
      </c>
      <c r="BX29" s="527"/>
      <c r="BY29" s="527"/>
      <c r="BZ29" s="684"/>
      <c r="CA29" s="979">
        <f>($I11+$I13/100*CA27)</f>
        <v>0.22593936872726239</v>
      </c>
      <c r="CB29" s="527"/>
      <c r="CC29" s="527"/>
      <c r="CD29" s="684"/>
      <c r="CE29" s="979">
        <f>($I11+$I13/100*CE27)</f>
        <v>0.22593936872726239</v>
      </c>
      <c r="CF29" s="527"/>
      <c r="CG29" s="527"/>
      <c r="CH29" s="684"/>
      <c r="CI29" s="979">
        <f>($I11+$I13/100*CI27)</f>
        <v>0.2180028862405102</v>
      </c>
      <c r="CJ29" s="527"/>
      <c r="CK29" s="527"/>
      <c r="CL29" s="684"/>
      <c r="CM29" s="679"/>
      <c r="CR29" s="979">
        <v>0.22289963686311773</v>
      </c>
      <c r="CS29" s="527"/>
      <c r="CT29" s="527"/>
      <c r="CU29" s="684"/>
    </row>
    <row r="30" spans="1:99">
      <c r="A30" s="514" t="s">
        <v>355</v>
      </c>
      <c r="B30" s="512"/>
      <c r="C30" s="516">
        <v>19614847.300000001</v>
      </c>
      <c r="D30" s="686" t="s">
        <v>136</v>
      </c>
      <c r="E30" s="686"/>
      <c r="F30" s="683"/>
      <c r="G30" s="516">
        <v>5096992.9800000004</v>
      </c>
      <c r="H30" s="686"/>
      <c r="I30" s="686"/>
      <c r="J30" s="683"/>
      <c r="K30" s="516">
        <f>15481830-206959.94-1836400.57</f>
        <v>13438469.49</v>
      </c>
      <c r="L30" s="686" t="s">
        <v>136</v>
      </c>
      <c r="M30" s="686"/>
      <c r="N30" s="683"/>
      <c r="O30" s="516">
        <f>5293756-43838</f>
        <v>5249918</v>
      </c>
      <c r="P30" s="686" t="s">
        <v>136</v>
      </c>
      <c r="Q30" s="686"/>
      <c r="R30" s="683"/>
      <c r="S30" s="687">
        <f>2337635.32+213225.61+15030.11</f>
        <v>2565891.0399999996</v>
      </c>
      <c r="T30" s="688" t="s">
        <v>136</v>
      </c>
      <c r="U30" s="688"/>
      <c r="V30" s="684"/>
      <c r="W30" s="687">
        <v>30504919</v>
      </c>
      <c r="X30" s="688" t="s">
        <v>136</v>
      </c>
      <c r="Y30" s="688"/>
      <c r="Z30" s="684"/>
      <c r="AA30" s="687">
        <v>19836665</v>
      </c>
      <c r="AB30" s="688" t="s">
        <v>136</v>
      </c>
      <c r="AC30" s="688"/>
      <c r="AD30" s="684"/>
      <c r="AE30" s="687">
        <f>197869+4438</f>
        <v>202307</v>
      </c>
      <c r="AF30" s="688" t="s">
        <v>136</v>
      </c>
      <c r="AG30" s="688"/>
      <c r="AH30" s="684"/>
      <c r="AI30" s="687">
        <v>13004087</v>
      </c>
      <c r="AJ30" s="688" t="s">
        <v>136</v>
      </c>
      <c r="AK30" s="688"/>
      <c r="AL30" s="684"/>
      <c r="AM30" s="687">
        <v>4878144.29</v>
      </c>
      <c r="AN30" s="688" t="s">
        <v>136</v>
      </c>
      <c r="AO30" s="688"/>
      <c r="AP30" s="684"/>
      <c r="AQ30" s="687">
        <f>17568587.89+1253986.64+61355.08+27016015.83-6082927</f>
        <v>39817018.439999998</v>
      </c>
      <c r="AR30" s="688" t="s">
        <v>136</v>
      </c>
      <c r="AS30" s="688"/>
      <c r="AT30" s="684"/>
      <c r="AU30" s="517">
        <v>30000000</v>
      </c>
      <c r="AV30" s="686"/>
      <c r="AW30" s="686"/>
      <c r="AX30" s="683"/>
      <c r="AY30" s="517">
        <v>20000000</v>
      </c>
      <c r="AZ30" s="686"/>
      <c r="BA30" s="686"/>
      <c r="BB30" s="683"/>
      <c r="BC30" s="517">
        <v>30000000</v>
      </c>
      <c r="BD30" s="686"/>
      <c r="BE30" s="686"/>
      <c r="BF30" s="683"/>
      <c r="BG30" s="517">
        <v>20000000</v>
      </c>
      <c r="BH30" s="686"/>
      <c r="BI30" s="686"/>
      <c r="BJ30" s="683"/>
      <c r="BK30" s="517">
        <v>30000000</v>
      </c>
      <c r="BL30" s="686"/>
      <c r="BM30" s="686"/>
      <c r="BN30" s="683"/>
      <c r="BO30" s="517">
        <v>20000000</v>
      </c>
      <c r="BP30" s="686"/>
      <c r="BQ30" s="686"/>
      <c r="BR30" s="683"/>
      <c r="BS30" s="687">
        <v>365679</v>
      </c>
      <c r="BT30" s="688" t="s">
        <v>136</v>
      </c>
      <c r="BU30" s="688"/>
      <c r="BV30" s="684"/>
      <c r="BW30" s="986">
        <v>25381014</v>
      </c>
      <c r="BX30" s="688" t="s">
        <v>136</v>
      </c>
      <c r="BY30" s="688"/>
      <c r="BZ30" s="684"/>
      <c r="CA30" s="986">
        <v>2395092.48</v>
      </c>
      <c r="CB30" s="688" t="s">
        <v>136</v>
      </c>
      <c r="CC30" s="688"/>
      <c r="CD30" s="684"/>
      <c r="CE30" s="987">
        <v>207901.28</v>
      </c>
      <c r="CF30" s="688" t="s">
        <v>136</v>
      </c>
      <c r="CG30" s="688"/>
      <c r="CH30" s="684"/>
      <c r="CI30" s="986">
        <v>543960</v>
      </c>
      <c r="CJ30" s="688" t="s">
        <v>136</v>
      </c>
      <c r="CK30" s="688"/>
      <c r="CL30" s="684"/>
      <c r="CM30" s="679"/>
      <c r="CR30" s="687">
        <v>12707126</v>
      </c>
      <c r="CS30" s="688" t="s">
        <v>136</v>
      </c>
      <c r="CT30" s="688"/>
      <c r="CU30" s="684"/>
    </row>
    <row r="31" spans="1:99">
      <c r="A31" s="514" t="s">
        <v>356</v>
      </c>
      <c r="B31" s="512"/>
      <c r="C31" s="517">
        <f>IF(C30=0,0,C30/C25)</f>
        <v>445791.98409090913</v>
      </c>
      <c r="D31" s="686"/>
      <c r="E31" s="686"/>
      <c r="F31" s="683"/>
      <c r="G31" s="517">
        <f>IF(G30=0,0,G30/G25)</f>
        <v>115840.74954545456</v>
      </c>
      <c r="H31" s="686"/>
      <c r="I31" s="686"/>
      <c r="J31" s="683"/>
      <c r="K31" s="517">
        <f>IF(K30=0,0,K30/K25)</f>
        <v>305419.76113636367</v>
      </c>
      <c r="L31" s="686"/>
      <c r="M31" s="686"/>
      <c r="N31" s="683"/>
      <c r="O31" s="517">
        <f>IF(O30=0,0,O30/O25)</f>
        <v>119316.31818181818</v>
      </c>
      <c r="P31" s="686"/>
      <c r="Q31" s="686"/>
      <c r="R31" s="683"/>
      <c r="S31" s="687">
        <f>IF(S30=0,0,S30/S25)</f>
        <v>58315.705454545445</v>
      </c>
      <c r="T31" s="688"/>
      <c r="U31" s="688"/>
      <c r="V31" s="684"/>
      <c r="W31" s="687">
        <f>IF(W30=0,0,W30/W25)</f>
        <v>693293.61363636365</v>
      </c>
      <c r="X31" s="688"/>
      <c r="Y31" s="688"/>
      <c r="Z31" s="684"/>
      <c r="AA31" s="687">
        <f>IF(AA30=0,0,AA30/AA25)</f>
        <v>450833.29545454547</v>
      </c>
      <c r="AB31" s="688"/>
      <c r="AC31" s="688"/>
      <c r="AD31" s="684"/>
      <c r="AE31" s="687">
        <f>IF(AE30=0,0,AE30/AE25)</f>
        <v>4597.886363636364</v>
      </c>
      <c r="AF31" s="688"/>
      <c r="AG31" s="688"/>
      <c r="AH31" s="684"/>
      <c r="AI31" s="687">
        <f>IF(AI30=0,0,AI30/AI25)</f>
        <v>295547.43181818182</v>
      </c>
      <c r="AJ31" s="688"/>
      <c r="AK31" s="688"/>
      <c r="AL31" s="684"/>
      <c r="AM31" s="687">
        <f>IF(AM30=0,0,AM30/AM25)</f>
        <v>110866.91568181818</v>
      </c>
      <c r="AN31" s="688"/>
      <c r="AO31" s="688"/>
      <c r="AP31" s="684"/>
      <c r="AQ31" s="687">
        <f>IF(AQ30=0,0,AQ30/AQ25)</f>
        <v>904932.23727272719</v>
      </c>
      <c r="AR31" s="688"/>
      <c r="AS31" s="688"/>
      <c r="AT31" s="684"/>
      <c r="AU31" s="517">
        <f>+AU30/AU25</f>
        <v>750000</v>
      </c>
      <c r="AV31" s="686"/>
      <c r="AW31" s="686"/>
      <c r="AX31" s="683"/>
      <c r="AY31" s="517">
        <f>+AY30/AY25</f>
        <v>500000</v>
      </c>
      <c r="AZ31" s="686"/>
      <c r="BA31" s="686"/>
      <c r="BB31" s="683"/>
      <c r="BC31" s="517">
        <f>+BC30/BC25</f>
        <v>750000</v>
      </c>
      <c r="BD31" s="686"/>
      <c r="BE31" s="686"/>
      <c r="BF31" s="683"/>
      <c r="BG31" s="517">
        <f>+BG30/BG25</f>
        <v>571428.57142857148</v>
      </c>
      <c r="BH31" s="686"/>
      <c r="BI31" s="686"/>
      <c r="BJ31" s="683"/>
      <c r="BK31" s="517">
        <f>+BK30/BK25</f>
        <v>1200000</v>
      </c>
      <c r="BL31" s="686"/>
      <c r="BM31" s="686"/>
      <c r="BN31" s="683"/>
      <c r="BO31" s="517">
        <f>+BO30/BO25</f>
        <v>666666.66666666663</v>
      </c>
      <c r="BP31" s="686"/>
      <c r="BQ31" s="686"/>
      <c r="BR31" s="683"/>
      <c r="BS31" s="687">
        <f>IF(BS30=0,0,BS30/BS25)</f>
        <v>8310.886363636364</v>
      </c>
      <c r="BT31" s="688"/>
      <c r="BU31" s="688"/>
      <c r="BV31" s="684"/>
      <c r="BW31" s="687">
        <f>IF(BW30=0,0,BW30/BW25)</f>
        <v>576841.22727272729</v>
      </c>
      <c r="BX31" s="688"/>
      <c r="BY31" s="688"/>
      <c r="BZ31" s="684"/>
      <c r="CA31" s="687">
        <f>IF(CA30=0,0,CA30/CA25)</f>
        <v>54433.919999999998</v>
      </c>
      <c r="CB31" s="688"/>
      <c r="CC31" s="688"/>
      <c r="CD31" s="684"/>
      <c r="CE31" s="687">
        <f>IF(CE30=0,0,CE30/CE25)</f>
        <v>4725.0290909090909</v>
      </c>
      <c r="CF31" s="688"/>
      <c r="CG31" s="688"/>
      <c r="CH31" s="684"/>
      <c r="CI31" s="687">
        <f>IF(CI30=0,0,CI30/CI25)</f>
        <v>12362.727272727272</v>
      </c>
      <c r="CJ31" s="688"/>
      <c r="CK31" s="688"/>
      <c r="CL31" s="684"/>
      <c r="CM31" s="679"/>
      <c r="CR31" s="687">
        <f>IF(CR30=0,0,CR30/CR25)</f>
        <v>1270712.6000000001</v>
      </c>
      <c r="CS31" s="688"/>
      <c r="CT31" s="688"/>
      <c r="CU31" s="684"/>
    </row>
    <row r="32" spans="1:99" s="463" customFormat="1">
      <c r="A32" s="672" t="s">
        <v>464</v>
      </c>
      <c r="B32" s="518"/>
      <c r="C32" s="516">
        <v>9</v>
      </c>
      <c r="D32" s="686" t="s">
        <v>136</v>
      </c>
      <c r="E32" s="688"/>
      <c r="F32" s="684"/>
      <c r="G32" s="516">
        <v>6</v>
      </c>
      <c r="H32" s="688"/>
      <c r="I32" s="688"/>
      <c r="J32" s="684"/>
      <c r="K32" s="516">
        <v>9</v>
      </c>
      <c r="L32" s="686" t="s">
        <v>136</v>
      </c>
      <c r="M32" s="688"/>
      <c r="N32" s="684"/>
      <c r="O32" s="516">
        <v>10</v>
      </c>
      <c r="P32" s="686" t="s">
        <v>136</v>
      </c>
      <c r="Q32" s="688"/>
      <c r="R32" s="684"/>
      <c r="S32" s="687">
        <v>2</v>
      </c>
      <c r="T32" s="688" t="s">
        <v>136</v>
      </c>
      <c r="U32" s="688"/>
      <c r="V32" s="684"/>
      <c r="W32" s="687">
        <v>10</v>
      </c>
      <c r="X32" s="688" t="s">
        <v>136</v>
      </c>
      <c r="Y32" s="688"/>
      <c r="Z32" s="684"/>
      <c r="AA32" s="687">
        <v>11</v>
      </c>
      <c r="AB32" s="688" t="s">
        <v>136</v>
      </c>
      <c r="AC32" s="688"/>
      <c r="AD32" s="684"/>
      <c r="AE32" s="687">
        <v>6</v>
      </c>
      <c r="AF32" s="688" t="s">
        <v>136</v>
      </c>
      <c r="AG32" s="688"/>
      <c r="AH32" s="684"/>
      <c r="AI32" s="687">
        <v>10</v>
      </c>
      <c r="AJ32" s="688" t="s">
        <v>136</v>
      </c>
      <c r="AK32" s="688"/>
      <c r="AL32" s="684"/>
      <c r="AM32" s="687">
        <v>6</v>
      </c>
      <c r="AN32" s="688" t="s">
        <v>136</v>
      </c>
      <c r="AO32" s="688"/>
      <c r="AP32" s="684"/>
      <c r="AQ32" s="687">
        <v>9</v>
      </c>
      <c r="AR32" s="688" t="s">
        <v>136</v>
      </c>
      <c r="AS32" s="688"/>
      <c r="AT32" s="684"/>
      <c r="AU32" s="687">
        <v>10</v>
      </c>
      <c r="AV32" s="688"/>
      <c r="AW32" s="688"/>
      <c r="AX32" s="684"/>
      <c r="AY32" s="687">
        <v>2</v>
      </c>
      <c r="AZ32" s="688"/>
      <c r="BA32" s="688"/>
      <c r="BB32" s="684"/>
      <c r="BC32" s="687">
        <v>4</v>
      </c>
      <c r="BD32" s="688"/>
      <c r="BE32" s="688"/>
      <c r="BF32" s="684"/>
      <c r="BG32" s="687">
        <v>11</v>
      </c>
      <c r="BH32" s="688"/>
      <c r="BI32" s="688"/>
      <c r="BJ32" s="684"/>
      <c r="BK32" s="687">
        <v>8</v>
      </c>
      <c r="BL32" s="688"/>
      <c r="BM32" s="688"/>
      <c r="BN32" s="684"/>
      <c r="BO32" s="687">
        <v>9</v>
      </c>
      <c r="BP32" s="688"/>
      <c r="BQ32" s="688"/>
      <c r="BR32" s="684"/>
      <c r="BS32" s="687">
        <v>12</v>
      </c>
      <c r="BT32" s="688" t="s">
        <v>136</v>
      </c>
      <c r="BU32" s="688"/>
      <c r="BV32" s="684"/>
      <c r="BW32" s="687">
        <v>6</v>
      </c>
      <c r="BX32" s="688" t="s">
        <v>136</v>
      </c>
      <c r="BY32" s="688"/>
      <c r="BZ32" s="684"/>
      <c r="CA32" s="687">
        <v>7</v>
      </c>
      <c r="CB32" s="688" t="s">
        <v>136</v>
      </c>
      <c r="CC32" s="688"/>
      <c r="CD32" s="684"/>
      <c r="CE32" s="687">
        <v>3</v>
      </c>
      <c r="CF32" s="688" t="s">
        <v>136</v>
      </c>
      <c r="CG32" s="688"/>
      <c r="CH32" s="684"/>
      <c r="CI32" s="687">
        <v>2</v>
      </c>
      <c r="CJ32" s="688" t="s">
        <v>136</v>
      </c>
      <c r="CK32" s="688"/>
      <c r="CL32" s="684"/>
      <c r="CM32" s="689"/>
      <c r="CR32" s="687">
        <v>2</v>
      </c>
      <c r="CS32" s="688" t="s">
        <v>136</v>
      </c>
      <c r="CT32" s="688"/>
      <c r="CU32" s="684"/>
    </row>
    <row r="33" spans="1:99" ht="13.5" thickBot="1">
      <c r="A33" s="690"/>
      <c r="B33" s="519"/>
      <c r="C33" s="520"/>
      <c r="D33" s="691"/>
      <c r="E33" s="691"/>
      <c r="F33" s="692"/>
      <c r="G33" s="520"/>
      <c r="H33" s="691"/>
      <c r="I33" s="691"/>
      <c r="J33" s="692"/>
      <c r="K33" s="520"/>
      <c r="L33" s="691"/>
      <c r="M33" s="691"/>
      <c r="N33" s="692"/>
      <c r="O33" s="520"/>
      <c r="P33" s="691"/>
      <c r="Q33" s="691"/>
      <c r="R33" s="692"/>
      <c r="S33" s="693"/>
      <c r="T33" s="694"/>
      <c r="U33" s="694"/>
      <c r="V33" s="695"/>
      <c r="W33" s="693"/>
      <c r="X33" s="694"/>
      <c r="Y33" s="694"/>
      <c r="Z33" s="695"/>
      <c r="AA33" s="693"/>
      <c r="AB33" s="694"/>
      <c r="AC33" s="694"/>
      <c r="AD33" s="695"/>
      <c r="AE33" s="693"/>
      <c r="AF33" s="694"/>
      <c r="AG33" s="694"/>
      <c r="AH33" s="695"/>
      <c r="AI33" s="693"/>
      <c r="AJ33" s="694"/>
      <c r="AK33" s="694"/>
      <c r="AL33" s="695"/>
      <c r="AM33" s="693"/>
      <c r="AN33" s="694"/>
      <c r="AO33" s="694"/>
      <c r="AP33" s="695"/>
      <c r="AQ33" s="693"/>
      <c r="AR33" s="694"/>
      <c r="AS33" s="694"/>
      <c r="AT33" s="695"/>
      <c r="AU33" s="520"/>
      <c r="AV33" s="691"/>
      <c r="AW33" s="691"/>
      <c r="AX33" s="692"/>
      <c r="AY33" s="520"/>
      <c r="AZ33" s="691"/>
      <c r="BA33" s="691"/>
      <c r="BB33" s="692"/>
      <c r="BC33" s="520"/>
      <c r="BD33" s="691"/>
      <c r="BE33" s="691"/>
      <c r="BF33" s="692"/>
      <c r="BG33" s="520"/>
      <c r="BH33" s="691"/>
      <c r="BI33" s="691"/>
      <c r="BJ33" s="692"/>
      <c r="BK33" s="520"/>
      <c r="BL33" s="691"/>
      <c r="BM33" s="691"/>
      <c r="BN33" s="692"/>
      <c r="BO33" s="520"/>
      <c r="BP33" s="691"/>
      <c r="BQ33" s="691"/>
      <c r="BR33" s="692"/>
      <c r="BS33" s="693"/>
      <c r="BT33" s="694"/>
      <c r="BU33" s="694"/>
      <c r="BV33" s="695"/>
      <c r="BW33" s="693"/>
      <c r="BX33" s="694"/>
      <c r="BY33" s="694"/>
      <c r="BZ33" s="695"/>
      <c r="CA33" s="693"/>
      <c r="CB33" s="694"/>
      <c r="CC33" s="694"/>
      <c r="CD33" s="695"/>
      <c r="CE33" s="693"/>
      <c r="CF33" s="694"/>
      <c r="CG33" s="694"/>
      <c r="CH33" s="695"/>
      <c r="CI33" s="693"/>
      <c r="CJ33" s="694"/>
      <c r="CK33" s="694"/>
      <c r="CL33" s="695"/>
      <c r="CM33" s="696"/>
      <c r="CR33" s="693"/>
      <c r="CS33" s="694"/>
      <c r="CT33" s="694"/>
      <c r="CU33" s="695"/>
    </row>
    <row r="34" spans="1:99" ht="12.75" customHeight="1">
      <c r="A34" s="668"/>
      <c r="B34" s="521" t="s">
        <v>346</v>
      </c>
      <c r="C34" s="522" t="s">
        <v>371</v>
      </c>
      <c r="D34" s="522" t="s">
        <v>372</v>
      </c>
      <c r="E34" s="522" t="s">
        <v>373</v>
      </c>
      <c r="F34" s="697" t="s">
        <v>370</v>
      </c>
      <c r="G34" s="522" t="s">
        <v>371</v>
      </c>
      <c r="H34" s="522" t="s">
        <v>372</v>
      </c>
      <c r="I34" s="522" t="s">
        <v>373</v>
      </c>
      <c r="J34" s="670" t="s">
        <v>370</v>
      </c>
      <c r="K34" s="522" t="s">
        <v>371</v>
      </c>
      <c r="L34" s="522" t="s">
        <v>372</v>
      </c>
      <c r="M34" s="522" t="s">
        <v>373</v>
      </c>
      <c r="N34" s="670" t="s">
        <v>370</v>
      </c>
      <c r="O34" s="669" t="s">
        <v>371</v>
      </c>
      <c r="P34" s="522" t="s">
        <v>372</v>
      </c>
      <c r="Q34" s="522" t="s">
        <v>373</v>
      </c>
      <c r="R34" s="670" t="s">
        <v>370</v>
      </c>
      <c r="S34" s="698" t="s">
        <v>371</v>
      </c>
      <c r="T34" s="699" t="s">
        <v>372</v>
      </c>
      <c r="U34" s="699" t="s">
        <v>373</v>
      </c>
      <c r="V34" s="700" t="s">
        <v>370</v>
      </c>
      <c r="W34" s="698" t="s">
        <v>371</v>
      </c>
      <c r="X34" s="699" t="s">
        <v>372</v>
      </c>
      <c r="Y34" s="699" t="s">
        <v>373</v>
      </c>
      <c r="Z34" s="700" t="s">
        <v>370</v>
      </c>
      <c r="AA34" s="698" t="s">
        <v>371</v>
      </c>
      <c r="AB34" s="699" t="s">
        <v>372</v>
      </c>
      <c r="AC34" s="699" t="s">
        <v>373</v>
      </c>
      <c r="AD34" s="700" t="s">
        <v>370</v>
      </c>
      <c r="AE34" s="698" t="s">
        <v>371</v>
      </c>
      <c r="AF34" s="699" t="s">
        <v>372</v>
      </c>
      <c r="AG34" s="699" t="s">
        <v>373</v>
      </c>
      <c r="AH34" s="700" t="s">
        <v>370</v>
      </c>
      <c r="AI34" s="966" t="s">
        <v>371</v>
      </c>
      <c r="AJ34" s="699" t="s">
        <v>372</v>
      </c>
      <c r="AK34" s="699" t="s">
        <v>373</v>
      </c>
      <c r="AL34" s="700" t="s">
        <v>370</v>
      </c>
      <c r="AM34" s="966" t="s">
        <v>371</v>
      </c>
      <c r="AN34" s="699" t="s">
        <v>372</v>
      </c>
      <c r="AO34" s="699" t="s">
        <v>373</v>
      </c>
      <c r="AP34" s="700" t="s">
        <v>370</v>
      </c>
      <c r="AQ34" s="966" t="s">
        <v>371</v>
      </c>
      <c r="AR34" s="699" t="s">
        <v>372</v>
      </c>
      <c r="AS34" s="699" t="s">
        <v>373</v>
      </c>
      <c r="AT34" s="700" t="s">
        <v>370</v>
      </c>
      <c r="AU34" s="669" t="s">
        <v>371</v>
      </c>
      <c r="AV34" s="522" t="s">
        <v>372</v>
      </c>
      <c r="AW34" s="522" t="s">
        <v>373</v>
      </c>
      <c r="AX34" s="670" t="s">
        <v>370</v>
      </c>
      <c r="AY34" s="669" t="s">
        <v>371</v>
      </c>
      <c r="AZ34" s="522" t="s">
        <v>372</v>
      </c>
      <c r="BA34" s="522" t="s">
        <v>373</v>
      </c>
      <c r="BB34" s="670" t="s">
        <v>370</v>
      </c>
      <c r="BC34" s="669" t="s">
        <v>371</v>
      </c>
      <c r="BD34" s="522" t="s">
        <v>372</v>
      </c>
      <c r="BE34" s="522" t="s">
        <v>373</v>
      </c>
      <c r="BF34" s="670" t="s">
        <v>370</v>
      </c>
      <c r="BG34" s="669" t="s">
        <v>371</v>
      </c>
      <c r="BH34" s="522" t="s">
        <v>372</v>
      </c>
      <c r="BI34" s="522" t="s">
        <v>373</v>
      </c>
      <c r="BJ34" s="670" t="s">
        <v>370</v>
      </c>
      <c r="BK34" s="669" t="s">
        <v>371</v>
      </c>
      <c r="BL34" s="522" t="s">
        <v>372</v>
      </c>
      <c r="BM34" s="522" t="s">
        <v>373</v>
      </c>
      <c r="BN34" s="670" t="s">
        <v>370</v>
      </c>
      <c r="BO34" s="669" t="s">
        <v>371</v>
      </c>
      <c r="BP34" s="522" t="s">
        <v>372</v>
      </c>
      <c r="BQ34" s="522" t="s">
        <v>373</v>
      </c>
      <c r="BR34" s="670" t="s">
        <v>370</v>
      </c>
      <c r="BS34" s="970" t="s">
        <v>371</v>
      </c>
      <c r="BT34" s="699" t="s">
        <v>372</v>
      </c>
      <c r="BU34" s="699" t="s">
        <v>373</v>
      </c>
      <c r="BV34" s="700" t="s">
        <v>370</v>
      </c>
      <c r="BW34" s="983" t="s">
        <v>371</v>
      </c>
      <c r="BX34" s="699" t="s">
        <v>372</v>
      </c>
      <c r="BY34" s="699" t="s">
        <v>373</v>
      </c>
      <c r="BZ34" s="700" t="s">
        <v>370</v>
      </c>
      <c r="CA34" s="985" t="s">
        <v>371</v>
      </c>
      <c r="CB34" s="699" t="s">
        <v>372</v>
      </c>
      <c r="CC34" s="699" t="s">
        <v>373</v>
      </c>
      <c r="CD34" s="700" t="s">
        <v>370</v>
      </c>
      <c r="CE34" s="977" t="s">
        <v>371</v>
      </c>
      <c r="CF34" s="699" t="s">
        <v>372</v>
      </c>
      <c r="CG34" s="699" t="s">
        <v>373</v>
      </c>
      <c r="CH34" s="700" t="s">
        <v>370</v>
      </c>
      <c r="CI34" s="1005" t="s">
        <v>371</v>
      </c>
      <c r="CJ34" s="699" t="s">
        <v>372</v>
      </c>
      <c r="CK34" s="699" t="s">
        <v>373</v>
      </c>
      <c r="CL34" s="700" t="s">
        <v>370</v>
      </c>
      <c r="CM34" s="701" t="s">
        <v>222</v>
      </c>
      <c r="CN34" s="699" t="s">
        <v>384</v>
      </c>
      <c r="CO34" s="700" t="s">
        <v>385</v>
      </c>
      <c r="CR34" s="993" t="s">
        <v>371</v>
      </c>
      <c r="CS34" s="699" t="s">
        <v>372</v>
      </c>
      <c r="CT34" s="699" t="s">
        <v>373</v>
      </c>
      <c r="CU34" s="700" t="s">
        <v>370</v>
      </c>
    </row>
    <row r="35" spans="1:99">
      <c r="A35" s="514" t="s">
        <v>609</v>
      </c>
      <c r="B35" s="474">
        <v>2004</v>
      </c>
      <c r="C35" s="470"/>
      <c r="D35" s="686"/>
      <c r="E35" s="470"/>
      <c r="F35" s="683"/>
      <c r="G35" s="677"/>
      <c r="H35" s="677"/>
      <c r="I35" s="677"/>
      <c r="J35" s="678"/>
      <c r="K35" s="702"/>
      <c r="L35" s="686"/>
      <c r="M35" s="470"/>
      <c r="N35" s="683"/>
      <c r="O35" s="676"/>
      <c r="P35" s="677"/>
      <c r="Q35" s="677"/>
      <c r="R35" s="678"/>
      <c r="S35" s="703"/>
      <c r="T35" s="704"/>
      <c r="U35" s="704"/>
      <c r="V35" s="705"/>
      <c r="W35" s="703"/>
      <c r="X35" s="704"/>
      <c r="Y35" s="704"/>
      <c r="Z35" s="705"/>
      <c r="AA35" s="703"/>
      <c r="AB35" s="704"/>
      <c r="AC35" s="704"/>
      <c r="AD35" s="705"/>
      <c r="AE35" s="703"/>
      <c r="AF35" s="704"/>
      <c r="AG35" s="704"/>
      <c r="AH35" s="705"/>
      <c r="AI35" s="703"/>
      <c r="AJ35" s="704"/>
      <c r="AK35" s="704"/>
      <c r="AL35" s="705"/>
      <c r="AM35" s="703"/>
      <c r="AN35" s="704"/>
      <c r="AO35" s="704"/>
      <c r="AP35" s="705"/>
      <c r="AQ35" s="703"/>
      <c r="AR35" s="704"/>
      <c r="AS35" s="704"/>
      <c r="AT35" s="705"/>
      <c r="AU35" s="676"/>
      <c r="AV35" s="677"/>
      <c r="AW35" s="677"/>
      <c r="AX35" s="678"/>
      <c r="AY35" s="676"/>
      <c r="AZ35" s="677"/>
      <c r="BA35" s="677"/>
      <c r="BB35" s="678"/>
      <c r="BC35" s="676"/>
      <c r="BD35" s="677"/>
      <c r="BE35" s="677"/>
      <c r="BF35" s="678"/>
      <c r="BG35" s="676"/>
      <c r="BH35" s="677"/>
      <c r="BI35" s="677"/>
      <c r="BJ35" s="678"/>
      <c r="BK35" s="676"/>
      <c r="BL35" s="677"/>
      <c r="BM35" s="677"/>
      <c r="BN35" s="678"/>
      <c r="BO35" s="676"/>
      <c r="BP35" s="677"/>
      <c r="BQ35" s="677"/>
      <c r="BR35" s="678"/>
      <c r="BS35" s="703"/>
      <c r="BT35" s="704"/>
      <c r="BU35" s="704"/>
      <c r="BV35" s="705"/>
      <c r="BW35" s="703"/>
      <c r="BX35" s="704"/>
      <c r="BY35" s="704"/>
      <c r="BZ35" s="705"/>
      <c r="CA35" s="703"/>
      <c r="CB35" s="704"/>
      <c r="CC35" s="704"/>
      <c r="CD35" s="705"/>
      <c r="CE35" s="703"/>
      <c r="CF35" s="704"/>
      <c r="CG35" s="704"/>
      <c r="CH35" s="705"/>
      <c r="CI35" s="703"/>
      <c r="CJ35" s="704"/>
      <c r="CK35" s="704"/>
      <c r="CL35" s="705"/>
      <c r="CM35" s="706"/>
      <c r="CN35" s="704"/>
      <c r="CO35" s="707"/>
      <c r="CR35" s="703"/>
      <c r="CS35" s="704"/>
      <c r="CT35" s="704"/>
      <c r="CU35" s="705"/>
    </row>
    <row r="36" spans="1:99">
      <c r="A36" s="514" t="s">
        <v>608</v>
      </c>
      <c r="B36" s="474">
        <v>2004</v>
      </c>
      <c r="C36" s="470"/>
      <c r="D36" s="686"/>
      <c r="E36" s="470"/>
      <c r="F36" s="683"/>
      <c r="G36" s="677"/>
      <c r="H36" s="677"/>
      <c r="I36" s="677"/>
      <c r="J36" s="678"/>
      <c r="K36" s="702"/>
      <c r="L36" s="686"/>
      <c r="M36" s="470"/>
      <c r="N36" s="683"/>
      <c r="O36" s="676"/>
      <c r="P36" s="677"/>
      <c r="Q36" s="677"/>
      <c r="R36" s="678"/>
      <c r="S36" s="703"/>
      <c r="T36" s="704"/>
      <c r="U36" s="704"/>
      <c r="V36" s="705"/>
      <c r="W36" s="703"/>
      <c r="X36" s="704"/>
      <c r="Y36" s="704"/>
      <c r="Z36" s="705"/>
      <c r="AA36" s="703"/>
      <c r="AB36" s="704"/>
      <c r="AC36" s="704"/>
      <c r="AD36" s="705"/>
      <c r="AE36" s="703"/>
      <c r="AF36" s="704"/>
      <c r="AG36" s="704"/>
      <c r="AH36" s="705"/>
      <c r="AI36" s="703"/>
      <c r="AJ36" s="704"/>
      <c r="AK36" s="704"/>
      <c r="AL36" s="705"/>
      <c r="AM36" s="703"/>
      <c r="AN36" s="704"/>
      <c r="AO36" s="704"/>
      <c r="AP36" s="705"/>
      <c r="AQ36" s="703"/>
      <c r="AR36" s="704"/>
      <c r="AS36" s="704"/>
      <c r="AT36" s="705"/>
      <c r="AU36" s="676"/>
      <c r="AV36" s="677"/>
      <c r="AW36" s="677"/>
      <c r="AX36" s="678"/>
      <c r="AY36" s="676"/>
      <c r="AZ36" s="677"/>
      <c r="BA36" s="677"/>
      <c r="BB36" s="678"/>
      <c r="BC36" s="676"/>
      <c r="BD36" s="677"/>
      <c r="BE36" s="677"/>
      <c r="BF36" s="678"/>
      <c r="BG36" s="676"/>
      <c r="BH36" s="677"/>
      <c r="BI36" s="677"/>
      <c r="BJ36" s="678"/>
      <c r="BK36" s="676"/>
      <c r="BL36" s="677"/>
      <c r="BM36" s="677"/>
      <c r="BN36" s="678"/>
      <c r="BO36" s="676"/>
      <c r="BP36" s="677"/>
      <c r="BQ36" s="677"/>
      <c r="BR36" s="678"/>
      <c r="BS36" s="703"/>
      <c r="BT36" s="704"/>
      <c r="BU36" s="704"/>
      <c r="BV36" s="705"/>
      <c r="BW36" s="703"/>
      <c r="BX36" s="704"/>
      <c r="BY36" s="704"/>
      <c r="BZ36" s="705"/>
      <c r="CA36" s="703"/>
      <c r="CB36" s="704"/>
      <c r="CC36" s="704"/>
      <c r="CD36" s="705"/>
      <c r="CE36" s="703"/>
      <c r="CF36" s="704"/>
      <c r="CG36" s="704"/>
      <c r="CH36" s="705"/>
      <c r="CI36" s="703"/>
      <c r="CJ36" s="704"/>
      <c r="CK36" s="704"/>
      <c r="CL36" s="705"/>
      <c r="CM36" s="706"/>
      <c r="CN36" s="708"/>
      <c r="CO36" s="705"/>
      <c r="CR36" s="703"/>
      <c r="CS36" s="704"/>
      <c r="CT36" s="704"/>
      <c r="CU36" s="705"/>
    </row>
    <row r="37" spans="1:99">
      <c r="A37" s="514" t="s">
        <v>609</v>
      </c>
      <c r="B37" s="474">
        <v>2005</v>
      </c>
      <c r="C37" s="470"/>
      <c r="D37" s="686"/>
      <c r="E37" s="470"/>
      <c r="F37" s="683"/>
      <c r="G37" s="470"/>
      <c r="H37" s="686"/>
      <c r="I37" s="470"/>
      <c r="J37" s="683"/>
      <c r="K37" s="709"/>
      <c r="L37" s="470"/>
      <c r="M37" s="470"/>
      <c r="N37" s="683"/>
      <c r="O37" s="514"/>
      <c r="P37" s="543"/>
      <c r="Q37" s="543"/>
      <c r="R37" s="683"/>
      <c r="S37" s="672"/>
      <c r="T37" s="527"/>
      <c r="U37" s="527"/>
      <c r="V37" s="684"/>
      <c r="W37" s="672"/>
      <c r="X37" s="527"/>
      <c r="Y37" s="527"/>
      <c r="Z37" s="684"/>
      <c r="AA37" s="672"/>
      <c r="AB37" s="527"/>
      <c r="AC37" s="527"/>
      <c r="AD37" s="684"/>
      <c r="AE37" s="672"/>
      <c r="AF37" s="527"/>
      <c r="AG37" s="527"/>
      <c r="AH37" s="684"/>
      <c r="AI37" s="672"/>
      <c r="AJ37" s="527"/>
      <c r="AK37" s="527"/>
      <c r="AL37" s="684"/>
      <c r="AM37" s="672"/>
      <c r="AN37" s="527"/>
      <c r="AO37" s="527"/>
      <c r="AP37" s="684"/>
      <c r="AQ37" s="672"/>
      <c r="AR37" s="527"/>
      <c r="AS37" s="527"/>
      <c r="AT37" s="684"/>
      <c r="AU37" s="514"/>
      <c r="AV37" s="543"/>
      <c r="AW37" s="543"/>
      <c r="AX37" s="683"/>
      <c r="AY37" s="514"/>
      <c r="AZ37" s="543"/>
      <c r="BA37" s="543"/>
      <c r="BB37" s="683"/>
      <c r="BC37" s="514"/>
      <c r="BD37" s="543"/>
      <c r="BE37" s="543"/>
      <c r="BF37" s="683"/>
      <c r="BG37" s="514"/>
      <c r="BH37" s="543"/>
      <c r="BI37" s="543"/>
      <c r="BJ37" s="683"/>
      <c r="BK37" s="514"/>
      <c r="BL37" s="543"/>
      <c r="BM37" s="543"/>
      <c r="BN37" s="683"/>
      <c r="BO37" s="514"/>
      <c r="BP37" s="543"/>
      <c r="BQ37" s="543"/>
      <c r="BR37" s="683"/>
      <c r="BS37" s="672"/>
      <c r="BT37" s="527"/>
      <c r="BU37" s="527"/>
      <c r="BV37" s="684"/>
      <c r="BW37" s="672"/>
      <c r="BX37" s="527"/>
      <c r="BY37" s="527"/>
      <c r="BZ37" s="684"/>
      <c r="CA37" s="672"/>
      <c r="CB37" s="527"/>
      <c r="CC37" s="527"/>
      <c r="CD37" s="684"/>
      <c r="CE37" s="672"/>
      <c r="CF37" s="527"/>
      <c r="CG37" s="527"/>
      <c r="CH37" s="684"/>
      <c r="CI37" s="672"/>
      <c r="CJ37" s="527"/>
      <c r="CK37" s="527"/>
      <c r="CL37" s="684"/>
      <c r="CM37" s="706"/>
      <c r="CN37" s="543"/>
      <c r="CO37" s="707"/>
      <c r="CR37" s="672"/>
      <c r="CS37" s="527"/>
      <c r="CT37" s="527"/>
      <c r="CU37" s="684"/>
    </row>
    <row r="38" spans="1:99">
      <c r="A38" s="514" t="s">
        <v>608</v>
      </c>
      <c r="B38" s="474">
        <v>2005</v>
      </c>
      <c r="C38" s="470"/>
      <c r="D38" s="686"/>
      <c r="E38" s="470"/>
      <c r="F38" s="683"/>
      <c r="G38" s="470"/>
      <c r="H38" s="686"/>
      <c r="I38" s="470"/>
      <c r="J38" s="683"/>
      <c r="K38" s="709"/>
      <c r="L38" s="470"/>
      <c r="M38" s="470"/>
      <c r="N38" s="683"/>
      <c r="O38" s="514"/>
      <c r="P38" s="543"/>
      <c r="Q38" s="543"/>
      <c r="R38" s="683"/>
      <c r="S38" s="672"/>
      <c r="T38" s="527"/>
      <c r="U38" s="527"/>
      <c r="V38" s="684"/>
      <c r="W38" s="672"/>
      <c r="X38" s="527"/>
      <c r="Y38" s="527"/>
      <c r="Z38" s="684"/>
      <c r="AA38" s="672"/>
      <c r="AB38" s="527"/>
      <c r="AC38" s="527"/>
      <c r="AD38" s="684"/>
      <c r="AE38" s="672"/>
      <c r="AF38" s="527"/>
      <c r="AG38" s="527"/>
      <c r="AH38" s="684"/>
      <c r="AI38" s="672"/>
      <c r="AJ38" s="527"/>
      <c r="AK38" s="527"/>
      <c r="AL38" s="684"/>
      <c r="AM38" s="672"/>
      <c r="AN38" s="527"/>
      <c r="AO38" s="527"/>
      <c r="AP38" s="684"/>
      <c r="AQ38" s="672"/>
      <c r="AR38" s="527"/>
      <c r="AS38" s="527"/>
      <c r="AT38" s="684"/>
      <c r="AU38" s="514"/>
      <c r="AV38" s="543"/>
      <c r="AW38" s="543"/>
      <c r="AX38" s="683"/>
      <c r="AY38" s="514"/>
      <c r="AZ38" s="543"/>
      <c r="BA38" s="543"/>
      <c r="BB38" s="683"/>
      <c r="BC38" s="514"/>
      <c r="BD38" s="543"/>
      <c r="BE38" s="543"/>
      <c r="BF38" s="683"/>
      <c r="BG38" s="514"/>
      <c r="BH38" s="543"/>
      <c r="BI38" s="543"/>
      <c r="BJ38" s="683"/>
      <c r="BK38" s="514"/>
      <c r="BL38" s="543"/>
      <c r="BM38" s="543"/>
      <c r="BN38" s="683"/>
      <c r="BO38" s="514"/>
      <c r="BP38" s="543"/>
      <c r="BQ38" s="543"/>
      <c r="BR38" s="683"/>
      <c r="BS38" s="672"/>
      <c r="BT38" s="527"/>
      <c r="BU38" s="527"/>
      <c r="BV38" s="684"/>
      <c r="BW38" s="672"/>
      <c r="BX38" s="527"/>
      <c r="BY38" s="527"/>
      <c r="BZ38" s="684"/>
      <c r="CA38" s="672"/>
      <c r="CB38" s="527"/>
      <c r="CC38" s="527"/>
      <c r="CD38" s="684"/>
      <c r="CE38" s="672"/>
      <c r="CF38" s="527"/>
      <c r="CG38" s="527"/>
      <c r="CH38" s="684"/>
      <c r="CI38" s="672"/>
      <c r="CJ38" s="527"/>
      <c r="CK38" s="527"/>
      <c r="CL38" s="684"/>
      <c r="CM38" s="706"/>
      <c r="CN38" s="708"/>
      <c r="CO38" s="679"/>
      <c r="CR38" s="672"/>
      <c r="CS38" s="527"/>
      <c r="CT38" s="527"/>
      <c r="CU38" s="684"/>
    </row>
    <row r="39" spans="1:99">
      <c r="A39" s="514" t="s">
        <v>609</v>
      </c>
      <c r="B39" s="474">
        <f t="shared" ref="B39:B72" si="0">+B37+1</f>
        <v>2006</v>
      </c>
      <c r="C39" s="470"/>
      <c r="D39" s="470"/>
      <c r="E39" s="470"/>
      <c r="F39" s="683"/>
      <c r="G39" s="470"/>
      <c r="H39" s="686"/>
      <c r="I39" s="470"/>
      <c r="J39" s="683"/>
      <c r="K39" s="709"/>
      <c r="L39" s="470"/>
      <c r="M39" s="470"/>
      <c r="N39" s="683"/>
      <c r="O39" s="702"/>
      <c r="P39" s="686"/>
      <c r="Q39" s="470"/>
      <c r="R39" s="683"/>
      <c r="S39" s="710"/>
      <c r="T39" s="688"/>
      <c r="U39" s="711"/>
      <c r="V39" s="683"/>
      <c r="W39" s="710"/>
      <c r="X39" s="688"/>
      <c r="Y39" s="711"/>
      <c r="Z39" s="683"/>
      <c r="AA39" s="710"/>
      <c r="AB39" s="688"/>
      <c r="AC39" s="711"/>
      <c r="AD39" s="683"/>
      <c r="AE39" s="710"/>
      <c r="AF39" s="688"/>
      <c r="AG39" s="711"/>
      <c r="AH39" s="683"/>
      <c r="AI39" s="710"/>
      <c r="AJ39" s="688"/>
      <c r="AK39" s="711"/>
      <c r="AL39" s="683"/>
      <c r="AM39" s="710"/>
      <c r="AN39" s="688"/>
      <c r="AO39" s="711"/>
      <c r="AP39" s="683"/>
      <c r="AQ39" s="710"/>
      <c r="AR39" s="688"/>
      <c r="AS39" s="711"/>
      <c r="AT39" s="683"/>
      <c r="AU39" s="702"/>
      <c r="AV39" s="686"/>
      <c r="AW39" s="470"/>
      <c r="AX39" s="683"/>
      <c r="AY39" s="702"/>
      <c r="AZ39" s="686"/>
      <c r="BA39" s="470"/>
      <c r="BB39" s="683"/>
      <c r="BC39" s="702"/>
      <c r="BD39" s="686"/>
      <c r="BE39" s="470"/>
      <c r="BF39" s="683"/>
      <c r="BG39" s="702"/>
      <c r="BH39" s="686"/>
      <c r="BI39" s="470"/>
      <c r="BJ39" s="683"/>
      <c r="BK39" s="702"/>
      <c r="BL39" s="686"/>
      <c r="BM39" s="470"/>
      <c r="BN39" s="683"/>
      <c r="BO39" s="702"/>
      <c r="BP39" s="686"/>
      <c r="BQ39" s="470"/>
      <c r="BR39" s="683"/>
      <c r="BS39" s="710"/>
      <c r="BT39" s="688"/>
      <c r="BU39" s="711"/>
      <c r="BV39" s="683"/>
      <c r="BW39" s="710"/>
      <c r="BX39" s="688"/>
      <c r="BY39" s="711"/>
      <c r="BZ39" s="683">
        <f>+BZ54-BZ53</f>
        <v>0</v>
      </c>
      <c r="CA39" s="710"/>
      <c r="CB39" s="688"/>
      <c r="CC39" s="711"/>
      <c r="CD39" s="683"/>
      <c r="CE39" s="710"/>
      <c r="CF39" s="688"/>
      <c r="CG39" s="711"/>
      <c r="CH39" s="683"/>
      <c r="CI39" s="710"/>
      <c r="CJ39" s="688"/>
      <c r="CK39" s="711"/>
      <c r="CL39" s="683">
        <f>+CL54-CL53</f>
        <v>0</v>
      </c>
      <c r="CM39" s="706"/>
      <c r="CN39" s="543"/>
      <c r="CO39" s="707"/>
      <c r="CR39" s="710"/>
      <c r="CS39" s="688"/>
      <c r="CT39" s="711"/>
      <c r="CU39" s="684"/>
    </row>
    <row r="40" spans="1:99">
      <c r="A40" s="514" t="s">
        <v>608</v>
      </c>
      <c r="B40" s="474">
        <f t="shared" si="0"/>
        <v>2006</v>
      </c>
      <c r="C40" s="470"/>
      <c r="D40" s="470"/>
      <c r="E40" s="470"/>
      <c r="F40" s="683"/>
      <c r="G40" s="470"/>
      <c r="H40" s="686"/>
      <c r="I40" s="470"/>
      <c r="J40" s="683"/>
      <c r="K40" s="709"/>
      <c r="L40" s="470"/>
      <c r="M40" s="470"/>
      <c r="N40" s="683"/>
      <c r="O40" s="702"/>
      <c r="P40" s="686"/>
      <c r="Q40" s="470"/>
      <c r="R40" s="683"/>
      <c r="S40" s="710"/>
      <c r="T40" s="688"/>
      <c r="U40" s="711"/>
      <c r="V40" s="684"/>
      <c r="W40" s="710"/>
      <c r="X40" s="688"/>
      <c r="Y40" s="711"/>
      <c r="Z40" s="684"/>
      <c r="AA40" s="710"/>
      <c r="AB40" s="688"/>
      <c r="AC40" s="711"/>
      <c r="AD40" s="684"/>
      <c r="AE40" s="710"/>
      <c r="AF40" s="688"/>
      <c r="AG40" s="711"/>
      <c r="AH40" s="684"/>
      <c r="AI40" s="710"/>
      <c r="AJ40" s="688"/>
      <c r="AK40" s="711"/>
      <c r="AL40" s="684"/>
      <c r="AM40" s="710"/>
      <c r="AN40" s="688"/>
      <c r="AO40" s="711"/>
      <c r="AP40" s="684"/>
      <c r="AQ40" s="710"/>
      <c r="AR40" s="688"/>
      <c r="AS40" s="711"/>
      <c r="AT40" s="684"/>
      <c r="AU40" s="702"/>
      <c r="AV40" s="686"/>
      <c r="AW40" s="470"/>
      <c r="AX40" s="683"/>
      <c r="AY40" s="702"/>
      <c r="AZ40" s="686"/>
      <c r="BA40" s="470"/>
      <c r="BB40" s="683"/>
      <c r="BC40" s="702"/>
      <c r="BD40" s="686"/>
      <c r="BE40" s="470"/>
      <c r="BF40" s="683"/>
      <c r="BG40" s="702"/>
      <c r="BH40" s="686"/>
      <c r="BI40" s="470"/>
      <c r="BJ40" s="683"/>
      <c r="BK40" s="702"/>
      <c r="BL40" s="686"/>
      <c r="BM40" s="470"/>
      <c r="BN40" s="683"/>
      <c r="BO40" s="702"/>
      <c r="BP40" s="686"/>
      <c r="BQ40" s="470"/>
      <c r="BR40" s="683"/>
      <c r="BS40" s="710"/>
      <c r="BT40" s="688"/>
      <c r="BU40" s="711"/>
      <c r="BV40" s="684"/>
      <c r="BW40" s="710"/>
      <c r="BX40" s="688"/>
      <c r="BY40" s="711"/>
      <c r="BZ40" s="684"/>
      <c r="CA40" s="710"/>
      <c r="CB40" s="688"/>
      <c r="CC40" s="711"/>
      <c r="CD40" s="684"/>
      <c r="CE40" s="710"/>
      <c r="CF40" s="688"/>
      <c r="CG40" s="711"/>
      <c r="CH40" s="684"/>
      <c r="CI40" s="710"/>
      <c r="CJ40" s="688"/>
      <c r="CK40" s="711"/>
      <c r="CL40" s="684"/>
      <c r="CM40" s="706"/>
      <c r="CN40" s="708"/>
      <c r="CO40" s="679"/>
      <c r="CP40" s="712"/>
      <c r="CR40" s="710"/>
      <c r="CS40" s="688"/>
      <c r="CT40" s="711"/>
      <c r="CU40" s="684"/>
    </row>
    <row r="41" spans="1:99">
      <c r="A41" s="514" t="s">
        <v>609</v>
      </c>
      <c r="B41" s="474">
        <f t="shared" si="0"/>
        <v>2007</v>
      </c>
      <c r="C41" s="470"/>
      <c r="D41" s="470"/>
      <c r="E41" s="470"/>
      <c r="F41" s="683"/>
      <c r="G41" s="470"/>
      <c r="H41" s="470"/>
      <c r="I41" s="470"/>
      <c r="J41" s="683"/>
      <c r="K41" s="470">
        <f>+K30</f>
        <v>13438469.49</v>
      </c>
      <c r="L41" s="470">
        <f>+K$31/12*(12-$K$32)</f>
        <v>76354.940284090917</v>
      </c>
      <c r="M41" s="470">
        <f>+K41-L41</f>
        <v>13362114.54971591</v>
      </c>
      <c r="N41" s="683">
        <f>+(((K$28*M41)*(12-K$32)/12))+L41</f>
        <v>804599.82481268689</v>
      </c>
      <c r="O41" s="702"/>
      <c r="P41" s="686"/>
      <c r="Q41" s="470"/>
      <c r="R41" s="683"/>
      <c r="S41" s="710"/>
      <c r="T41" s="688"/>
      <c r="U41" s="711"/>
      <c r="V41" s="684"/>
      <c r="W41" s="710"/>
      <c r="X41" s="688"/>
      <c r="Y41" s="711"/>
      <c r="Z41" s="684"/>
      <c r="AA41" s="710"/>
      <c r="AB41" s="688"/>
      <c r="AC41" s="711"/>
      <c r="AD41" s="684"/>
      <c r="AE41" s="710"/>
      <c r="AF41" s="688"/>
      <c r="AG41" s="711"/>
      <c r="AH41" s="684"/>
      <c r="AI41" s="710"/>
      <c r="AJ41" s="688"/>
      <c r="AK41" s="711"/>
      <c r="AL41" s="684"/>
      <c r="AM41" s="710"/>
      <c r="AN41" s="688"/>
      <c r="AO41" s="711"/>
      <c r="AP41" s="684"/>
      <c r="AQ41" s="710"/>
      <c r="AR41" s="688"/>
      <c r="AS41" s="711"/>
      <c r="AT41" s="684"/>
      <c r="AU41" s="702">
        <f>+AU$30</f>
        <v>30000000</v>
      </c>
      <c r="AV41" s="686">
        <f>+AU$31/12*(12-AU$32)</f>
        <v>125000</v>
      </c>
      <c r="AW41" s="470">
        <f t="shared" ref="AW41:AW76" si="1">+AU41-AV41</f>
        <v>29875000</v>
      </c>
      <c r="AX41" s="683">
        <f>+AU$28*AW41+AV41</f>
        <v>6637836.2264352422</v>
      </c>
      <c r="AY41" s="702">
        <f>+AY$30</f>
        <v>20000000</v>
      </c>
      <c r="AZ41" s="686">
        <f>+AY$31/12*(12-AY$32)</f>
        <v>416666.66666666663</v>
      </c>
      <c r="BA41" s="470">
        <f t="shared" ref="BA41:BA76" si="2">+AY41-AZ41</f>
        <v>19583333.333333332</v>
      </c>
      <c r="BB41" s="683">
        <f>+AY$28*BA41+AZ41</f>
        <v>4685889.8555433247</v>
      </c>
      <c r="BC41" s="702"/>
      <c r="BD41" s="470"/>
      <c r="BE41" s="470"/>
      <c r="BF41" s="683"/>
      <c r="BG41" s="702"/>
      <c r="BH41" s="470"/>
      <c r="BI41" s="470"/>
      <c r="BJ41" s="683"/>
      <c r="BK41" s="702"/>
      <c r="BL41" s="470"/>
      <c r="BM41" s="470"/>
      <c r="BN41" s="683"/>
      <c r="BO41" s="702"/>
      <c r="BP41" s="470"/>
      <c r="BQ41" s="470"/>
      <c r="BR41" s="683"/>
      <c r="BS41" s="710"/>
      <c r="BT41" s="688"/>
      <c r="BU41" s="711"/>
      <c r="BV41" s="684"/>
      <c r="BW41" s="710"/>
      <c r="BX41" s="688"/>
      <c r="BY41" s="711"/>
      <c r="BZ41" s="684"/>
      <c r="CA41" s="710"/>
      <c r="CB41" s="688"/>
      <c r="CC41" s="711"/>
      <c r="CD41" s="684"/>
      <c r="CE41" s="710"/>
      <c r="CF41" s="688"/>
      <c r="CG41" s="711"/>
      <c r="CH41" s="684"/>
      <c r="CI41" s="710"/>
      <c r="CJ41" s="688"/>
      <c r="CK41" s="711"/>
      <c r="CL41" s="684"/>
      <c r="CM41" s="967">
        <f>+R41+J41+F41+N41+V41+Z41+AD41+AH41+AL41+AP41+AT41+BV41+CH41</f>
        <v>804599.82481268689</v>
      </c>
      <c r="CN41" s="543"/>
      <c r="CO41" s="707">
        <f>+CM41</f>
        <v>804599.82481268689</v>
      </c>
      <c r="CP41" s="712"/>
      <c r="CR41" s="710"/>
      <c r="CS41" s="688"/>
      <c r="CT41" s="711"/>
      <c r="CU41" s="684"/>
    </row>
    <row r="42" spans="1:99">
      <c r="A42" s="514" t="s">
        <v>608</v>
      </c>
      <c r="B42" s="474">
        <f t="shared" si="0"/>
        <v>2007</v>
      </c>
      <c r="C42" s="470"/>
      <c r="D42" s="470"/>
      <c r="E42" s="470"/>
      <c r="F42" s="683"/>
      <c r="G42" s="470"/>
      <c r="H42" s="470"/>
      <c r="I42" s="470"/>
      <c r="J42" s="683"/>
      <c r="K42" s="470">
        <f>+K41</f>
        <v>13438469.49</v>
      </c>
      <c r="L42" s="470">
        <f>+L41</f>
        <v>76354.940284090917</v>
      </c>
      <c r="M42" s="470">
        <f>+K42-L42</f>
        <v>13362114.54971591</v>
      </c>
      <c r="N42" s="683">
        <f>+(((K$29*M42)*(12-K$32)/12))+L42</f>
        <v>831111.87184013613</v>
      </c>
      <c r="O42" s="702"/>
      <c r="P42" s="686"/>
      <c r="Q42" s="470"/>
      <c r="R42" s="683"/>
      <c r="S42" s="710"/>
      <c r="T42" s="688"/>
      <c r="U42" s="711"/>
      <c r="V42" s="684"/>
      <c r="W42" s="710"/>
      <c r="X42" s="688"/>
      <c r="Y42" s="711"/>
      <c r="Z42" s="684"/>
      <c r="AA42" s="710"/>
      <c r="AB42" s="688"/>
      <c r="AC42" s="711"/>
      <c r="AD42" s="684"/>
      <c r="AE42" s="710"/>
      <c r="AF42" s="688"/>
      <c r="AG42" s="711"/>
      <c r="AH42" s="684"/>
      <c r="AI42" s="710"/>
      <c r="AJ42" s="688"/>
      <c r="AK42" s="711"/>
      <c r="AL42" s="684"/>
      <c r="AM42" s="710"/>
      <c r="AN42" s="688"/>
      <c r="AO42" s="711"/>
      <c r="AP42" s="684"/>
      <c r="AQ42" s="710"/>
      <c r="AR42" s="688"/>
      <c r="AS42" s="711"/>
      <c r="AT42" s="684"/>
      <c r="AU42" s="702">
        <f>+AU41</f>
        <v>30000000</v>
      </c>
      <c r="AV42" s="686">
        <f>+AV41</f>
        <v>125000</v>
      </c>
      <c r="AW42" s="470">
        <f t="shared" si="1"/>
        <v>29875000</v>
      </c>
      <c r="AX42" s="683">
        <f>+AU$29*AW42+AV42</f>
        <v>6993489.8478728244</v>
      </c>
      <c r="AY42" s="702">
        <f>+AY41</f>
        <v>20000000</v>
      </c>
      <c r="AZ42" s="686">
        <f>+AZ41</f>
        <v>416666.66666666663</v>
      </c>
      <c r="BA42" s="470">
        <f t="shared" si="2"/>
        <v>19583333.333333332</v>
      </c>
      <c r="BB42" s="683">
        <f>+AY$29*BA42+AZ42</f>
        <v>4841312.6375755556</v>
      </c>
      <c r="BC42" s="702"/>
      <c r="BD42" s="470"/>
      <c r="BE42" s="470"/>
      <c r="BF42" s="683"/>
      <c r="BG42" s="702"/>
      <c r="BH42" s="470"/>
      <c r="BI42" s="470"/>
      <c r="BJ42" s="683"/>
      <c r="BK42" s="702"/>
      <c r="BL42" s="470"/>
      <c r="BM42" s="470"/>
      <c r="BN42" s="683"/>
      <c r="BO42" s="702"/>
      <c r="BP42" s="470"/>
      <c r="BQ42" s="470"/>
      <c r="BR42" s="683"/>
      <c r="BS42" s="710"/>
      <c r="BT42" s="688"/>
      <c r="BU42" s="711"/>
      <c r="BV42" s="684"/>
      <c r="BW42" s="710"/>
      <c r="BX42" s="688"/>
      <c r="BY42" s="711"/>
      <c r="BZ42" s="684"/>
      <c r="CA42" s="710"/>
      <c r="CB42" s="688"/>
      <c r="CC42" s="711"/>
      <c r="CD42" s="684"/>
      <c r="CE42" s="710"/>
      <c r="CF42" s="688"/>
      <c r="CG42" s="711"/>
      <c r="CH42" s="684"/>
      <c r="CI42" s="710"/>
      <c r="CJ42" s="688"/>
      <c r="CK42" s="711"/>
      <c r="CL42" s="684"/>
      <c r="CM42" s="967">
        <f t="shared" ref="CM42:CM50" si="3">+R42+J42+F42+N42+V42+Z42+AD42+AH42+AL42+AP42+AT42+BV42+BZ42+CD42+CH42+CL42</f>
        <v>831111.87184013613</v>
      </c>
      <c r="CN42" s="708">
        <f>+CM42</f>
        <v>831111.87184013613</v>
      </c>
      <c r="CO42" s="679"/>
      <c r="CP42" s="712">
        <f>+CN42-CO41</f>
        <v>26512.04702744924</v>
      </c>
      <c r="CR42" s="710"/>
      <c r="CS42" s="688"/>
      <c r="CT42" s="711"/>
      <c r="CU42" s="684"/>
    </row>
    <row r="43" spans="1:99">
      <c r="A43" s="514" t="s">
        <v>609</v>
      </c>
      <c r="B43" s="474">
        <f t="shared" si="0"/>
        <v>2008</v>
      </c>
      <c r="C43" s="470">
        <f>+C30</f>
        <v>19614847.300000001</v>
      </c>
      <c r="D43" s="470">
        <f>+C$31/12*(12-$C$32)</f>
        <v>111447.99602272728</v>
      </c>
      <c r="E43" s="470">
        <f>+C43-D43</f>
        <v>19503399.303977273</v>
      </c>
      <c r="F43" s="683">
        <f>+(((C$28*E43)*(12-C$32)/12))+D43</f>
        <v>1174397.3309647781</v>
      </c>
      <c r="G43" s="470">
        <f>+G30</f>
        <v>5096992.9800000004</v>
      </c>
      <c r="H43" s="470">
        <f>+G$31/12*(12-$G$32)</f>
        <v>57920.374772727271</v>
      </c>
      <c r="I43" s="470">
        <f>+G43-H43</f>
        <v>5039072.605227273</v>
      </c>
      <c r="J43" s="683">
        <f>+(((G$28*I43)*(12-G$32)/12))+H43</f>
        <v>607186.56073024357</v>
      </c>
      <c r="K43" s="470">
        <f>+M41</f>
        <v>13362114.54971591</v>
      </c>
      <c r="L43" s="470">
        <f>+K$31</f>
        <v>305419.76113636367</v>
      </c>
      <c r="M43" s="470">
        <f>+K43-L43</f>
        <v>13056694.788579546</v>
      </c>
      <c r="N43" s="683">
        <f>+K$28*M43+L43</f>
        <v>3151816.9098081328</v>
      </c>
      <c r="O43" s="470"/>
      <c r="P43" s="470"/>
      <c r="Q43" s="470"/>
      <c r="R43" s="683"/>
      <c r="S43" s="711">
        <f>+S30</f>
        <v>2565891.0399999996</v>
      </c>
      <c r="T43" s="711">
        <f>+S$31/12*(12-$S$32)</f>
        <v>48596.421212121204</v>
      </c>
      <c r="U43" s="711">
        <f>+S43-T43</f>
        <v>2517294.6187878782</v>
      </c>
      <c r="V43" s="684">
        <f>+(((S$28*U43)*(12-S$32)/12))+T43</f>
        <v>505910.99822333973</v>
      </c>
      <c r="W43" s="711"/>
      <c r="X43" s="711"/>
      <c r="Y43" s="711"/>
      <c r="Z43" s="684"/>
      <c r="AA43" s="711"/>
      <c r="AB43" s="711"/>
      <c r="AC43" s="711"/>
      <c r="AD43" s="684"/>
      <c r="AE43" s="711"/>
      <c r="AF43" s="711"/>
      <c r="AG43" s="711"/>
      <c r="AH43" s="684"/>
      <c r="AI43" s="711"/>
      <c r="AJ43" s="711"/>
      <c r="AK43" s="711"/>
      <c r="AL43" s="684"/>
      <c r="AM43" s="711"/>
      <c r="AN43" s="711"/>
      <c r="AO43" s="711"/>
      <c r="AP43" s="684"/>
      <c r="AQ43" s="711"/>
      <c r="AR43" s="711"/>
      <c r="AS43" s="711"/>
      <c r="AT43" s="684"/>
      <c r="AU43" s="702">
        <f>+AW42</f>
        <v>29875000</v>
      </c>
      <c r="AV43" s="470">
        <f>+AU$31</f>
        <v>750000</v>
      </c>
      <c r="AW43" s="470">
        <f t="shared" si="1"/>
        <v>29125000</v>
      </c>
      <c r="AX43" s="683">
        <f>+AU$28*AW43+AV43</f>
        <v>7099334.06175486</v>
      </c>
      <c r="AY43" s="702">
        <f>+BA42</f>
        <v>19583333.333333332</v>
      </c>
      <c r="AZ43" s="470">
        <f>+AY$31</f>
        <v>500000</v>
      </c>
      <c r="BA43" s="470">
        <f t="shared" si="2"/>
        <v>19083333.333333332</v>
      </c>
      <c r="BB43" s="683">
        <f>+AY$28*BA43+AZ43</f>
        <v>4660221.7457564026</v>
      </c>
      <c r="BC43" s="702">
        <f>+BC$30</f>
        <v>30000000</v>
      </c>
      <c r="BD43" s="686">
        <f>+BC$31/12*(12-BC$32)</f>
        <v>500000</v>
      </c>
      <c r="BE43" s="470">
        <f t="shared" ref="BE43:BE76" si="4">+BC43-BD43</f>
        <v>29500000</v>
      </c>
      <c r="BF43" s="683">
        <f>+BC$28*BE43+BD43</f>
        <v>6931085.1440950511</v>
      </c>
      <c r="BG43" s="702">
        <f>+BG$30</f>
        <v>20000000</v>
      </c>
      <c r="BH43" s="686">
        <f>+BG$31/12*(12-BG$32)</f>
        <v>47619.047619047626</v>
      </c>
      <c r="BI43" s="470">
        <f t="shared" ref="BI43:BI76" si="5">+BG43-BH43</f>
        <v>19952380.952380951</v>
      </c>
      <c r="BJ43" s="683">
        <f>+BG$28*BI43+BH43</f>
        <v>2091926.1305831464</v>
      </c>
      <c r="BK43" s="702"/>
      <c r="BL43" s="470"/>
      <c r="BM43" s="470"/>
      <c r="BN43" s="683"/>
      <c r="BO43" s="702"/>
      <c r="BP43" s="470"/>
      <c r="BQ43" s="470"/>
      <c r="BR43" s="683"/>
      <c r="BS43" s="711"/>
      <c r="BT43" s="711"/>
      <c r="BU43" s="711"/>
      <c r="BV43" s="684"/>
      <c r="BW43" s="711"/>
      <c r="BX43" s="711"/>
      <c r="BY43" s="711"/>
      <c r="BZ43" s="684"/>
      <c r="CA43" s="711"/>
      <c r="CB43" s="711"/>
      <c r="CC43" s="711"/>
      <c r="CD43" s="684"/>
      <c r="CE43" s="711"/>
      <c r="CF43" s="711"/>
      <c r="CG43" s="711"/>
      <c r="CH43" s="684"/>
      <c r="CI43" s="711"/>
      <c r="CJ43" s="711"/>
      <c r="CK43" s="711"/>
      <c r="CL43" s="684"/>
      <c r="CM43" s="967">
        <f t="shared" si="3"/>
        <v>5439311.7997264946</v>
      </c>
      <c r="CN43" s="543"/>
      <c r="CO43" s="707">
        <f>+CM43</f>
        <v>5439311.7997264946</v>
      </c>
      <c r="CP43" s="712"/>
      <c r="CR43" s="710"/>
      <c r="CS43" s="711"/>
      <c r="CT43" s="711"/>
      <c r="CU43" s="684"/>
    </row>
    <row r="44" spans="1:99">
      <c r="A44" s="514" t="s">
        <v>608</v>
      </c>
      <c r="B44" s="474">
        <f t="shared" si="0"/>
        <v>2008</v>
      </c>
      <c r="C44" s="470">
        <f>+C43</f>
        <v>19614847.300000001</v>
      </c>
      <c r="D44" s="470">
        <f>+D43</f>
        <v>111447.99602272728</v>
      </c>
      <c r="E44" s="470">
        <f>+C44-D44</f>
        <v>19503399.303977273</v>
      </c>
      <c r="F44" s="683">
        <f>+(((C$29*E44)*(12-C$32)/12))+D44</f>
        <v>1213094.4277168158</v>
      </c>
      <c r="G44" s="470">
        <f>+G43</f>
        <v>5096992.9800000004</v>
      </c>
      <c r="H44" s="470">
        <f>+H43</f>
        <v>57920.374772727271</v>
      </c>
      <c r="I44" s="470">
        <f>+G44-H44</f>
        <v>5039072.605227273</v>
      </c>
      <c r="J44" s="683">
        <f>+(((G$29*I44)*(12-G$32)/12))+H44</f>
        <v>627182.81647067307</v>
      </c>
      <c r="K44" s="470">
        <f>+K43</f>
        <v>13362114.54971591</v>
      </c>
      <c r="L44" s="470">
        <f>+L43</f>
        <v>305419.76113636367</v>
      </c>
      <c r="M44" s="470">
        <f>+K44-L44</f>
        <v>13056694.788579546</v>
      </c>
      <c r="N44" s="683">
        <f>+K$29*M44+L44</f>
        <v>3255441.1393325632</v>
      </c>
      <c r="O44" s="470"/>
      <c r="P44" s="470"/>
      <c r="Q44" s="470"/>
      <c r="R44" s="683"/>
      <c r="S44" s="711">
        <f>+S43</f>
        <v>2565891.0399999996</v>
      </c>
      <c r="T44" s="711">
        <f>+T43</f>
        <v>48596.421212121204</v>
      </c>
      <c r="U44" s="711">
        <f>+S44-T44</f>
        <v>2517294.6187878782</v>
      </c>
      <c r="V44" s="684">
        <f>+(((S$29*U44)*(12-S$32)/12))+T44</f>
        <v>522559.7187700111</v>
      </c>
      <c r="W44" s="711"/>
      <c r="X44" s="711"/>
      <c r="Y44" s="711"/>
      <c r="Z44" s="684"/>
      <c r="AA44" s="711"/>
      <c r="AB44" s="711"/>
      <c r="AC44" s="711"/>
      <c r="AD44" s="684"/>
      <c r="AE44" s="711"/>
      <c r="AF44" s="711"/>
      <c r="AG44" s="711"/>
      <c r="AH44" s="684"/>
      <c r="AI44" s="711"/>
      <c r="AJ44" s="711"/>
      <c r="AK44" s="711"/>
      <c r="AL44" s="684"/>
      <c r="AM44" s="711"/>
      <c r="AN44" s="711"/>
      <c r="AO44" s="711"/>
      <c r="AP44" s="684"/>
      <c r="AQ44" s="711"/>
      <c r="AR44" s="711"/>
      <c r="AS44" s="711"/>
      <c r="AT44" s="684"/>
      <c r="AU44" s="702">
        <f>+AU43</f>
        <v>29875000</v>
      </c>
      <c r="AV44" s="470">
        <f>+AV43</f>
        <v>750000</v>
      </c>
      <c r="AW44" s="470">
        <f t="shared" si="1"/>
        <v>29125000</v>
      </c>
      <c r="AX44" s="683">
        <f>+AU$29*AW44+AV44</f>
        <v>7446059.140394845</v>
      </c>
      <c r="AY44" s="702">
        <f>+AY43</f>
        <v>19583333.333333332</v>
      </c>
      <c r="AZ44" s="470">
        <f>+AZ43</f>
        <v>500000</v>
      </c>
      <c r="BA44" s="470">
        <f t="shared" si="2"/>
        <v>19083333.333333332</v>
      </c>
      <c r="BB44" s="683">
        <f>+AY$29*BA44+AZ44</f>
        <v>4811676.2865452571</v>
      </c>
      <c r="BC44" s="702">
        <f>+BC43</f>
        <v>30000000</v>
      </c>
      <c r="BD44" s="686">
        <f>+BD43</f>
        <v>500000</v>
      </c>
      <c r="BE44" s="470">
        <f t="shared" si="4"/>
        <v>29500000</v>
      </c>
      <c r="BF44" s="683">
        <f>+BC$29*BE44+BD44</f>
        <v>7048148.260774646</v>
      </c>
      <c r="BG44" s="702">
        <f>+BG43</f>
        <v>20000000</v>
      </c>
      <c r="BH44" s="686">
        <f>+BH43</f>
        <v>47619.047619047626</v>
      </c>
      <c r="BI44" s="470">
        <f t="shared" si="5"/>
        <v>19952380.952380951</v>
      </c>
      <c r="BJ44" s="683">
        <f>+BG$29*BI44+BH44</f>
        <v>2091926.1305831464</v>
      </c>
      <c r="BK44" s="702"/>
      <c r="BL44" s="470"/>
      <c r="BM44" s="470"/>
      <c r="BN44" s="683"/>
      <c r="BO44" s="702"/>
      <c r="BP44" s="470"/>
      <c r="BQ44" s="470"/>
      <c r="BR44" s="683"/>
      <c r="BS44" s="711"/>
      <c r="BT44" s="711"/>
      <c r="BU44" s="711"/>
      <c r="BV44" s="684"/>
      <c r="BW44" s="711"/>
      <c r="BX44" s="711"/>
      <c r="BY44" s="711"/>
      <c r="BZ44" s="684"/>
      <c r="CA44" s="711"/>
      <c r="CB44" s="711"/>
      <c r="CC44" s="711"/>
      <c r="CD44" s="684"/>
      <c r="CE44" s="711"/>
      <c r="CF44" s="711"/>
      <c r="CG44" s="711"/>
      <c r="CH44" s="684"/>
      <c r="CI44" s="711"/>
      <c r="CJ44" s="711"/>
      <c r="CK44" s="711"/>
      <c r="CL44" s="684"/>
      <c r="CM44" s="967">
        <f t="shared" si="3"/>
        <v>5618278.1022900632</v>
      </c>
      <c r="CN44" s="708">
        <f>+CM44</f>
        <v>5618278.1022900632</v>
      </c>
      <c r="CO44" s="679"/>
      <c r="CP44" s="712">
        <f>+CN44-CO43</f>
        <v>178966.30256356858</v>
      </c>
      <c r="CR44" s="710"/>
      <c r="CS44" s="711"/>
      <c r="CT44" s="711"/>
      <c r="CU44" s="684"/>
    </row>
    <row r="45" spans="1:99">
      <c r="A45" s="514" t="s">
        <v>609</v>
      </c>
      <c r="B45" s="474">
        <f t="shared" si="0"/>
        <v>2009</v>
      </c>
      <c r="C45" s="470">
        <f>+E44</f>
        <v>19503399.303977273</v>
      </c>
      <c r="D45" s="470">
        <f>+C$31</f>
        <v>445791.98409090913</v>
      </c>
      <c r="E45" s="470">
        <f t="shared" ref="E45:E108" si="6">+C45-D45</f>
        <v>19057607.319886364</v>
      </c>
      <c r="F45" s="683">
        <f>+C$28*E45+D45</f>
        <v>4600405.3846644107</v>
      </c>
      <c r="G45" s="470">
        <f>+I44</f>
        <v>5039072.605227273</v>
      </c>
      <c r="H45" s="470">
        <f>+G$31</f>
        <v>115840.74954545456</v>
      </c>
      <c r="I45" s="470">
        <f t="shared" ref="I45:I76" si="7">+G45-H45</f>
        <v>4923231.855681818</v>
      </c>
      <c r="J45" s="683">
        <f>+G$28*I45+H45</f>
        <v>1189119.5037153137</v>
      </c>
      <c r="K45" s="470">
        <f>+M44</f>
        <v>13056694.788579546</v>
      </c>
      <c r="L45" s="470">
        <f>+K$31</f>
        <v>305419.76113636367</v>
      </c>
      <c r="M45" s="470">
        <f t="shared" ref="M45:M106" si="8">+K45-L45</f>
        <v>12751275.027443182</v>
      </c>
      <c r="N45" s="683">
        <f>+K$28*M45+L45</f>
        <v>3085234.5203655181</v>
      </c>
      <c r="O45" s="470">
        <f>+O30</f>
        <v>5249918</v>
      </c>
      <c r="P45" s="470">
        <f>+O$31/12*(12-$O$32)</f>
        <v>19886.053030303028</v>
      </c>
      <c r="Q45" s="470">
        <f>+O45-P45</f>
        <v>5230031.9469696973</v>
      </c>
      <c r="R45" s="683">
        <f>+(((O$28*Q45)*(12-O$32)/12))+P45</f>
        <v>209913.06295854787</v>
      </c>
      <c r="S45" s="710">
        <f>+U44</f>
        <v>2517294.6187878782</v>
      </c>
      <c r="T45" s="711">
        <f>+S$31</f>
        <v>58315.705454545445</v>
      </c>
      <c r="U45" s="711">
        <f>+S45-T45</f>
        <v>2458978.9133333326</v>
      </c>
      <c r="V45" s="684">
        <f>+S$28*U45+T45</f>
        <v>594380.20576576539</v>
      </c>
      <c r="W45" s="711">
        <f>+W30</f>
        <v>30504919</v>
      </c>
      <c r="X45" s="711">
        <f>+W$31/12*(12-$W$32)</f>
        <v>115548.93560606061</v>
      </c>
      <c r="Y45" s="711">
        <f>+W45-X45</f>
        <v>30389370.064393938</v>
      </c>
      <c r="Z45" s="684">
        <f>+(((W$28*Y45)*(12-W$32)/12))+X45</f>
        <v>1219710.6664508667</v>
      </c>
      <c r="AA45" s="711">
        <f>+AA30</f>
        <v>19836665</v>
      </c>
      <c r="AB45" s="711">
        <f>+AA$31/12*(12-$AA$32)</f>
        <v>37569.441287878792</v>
      </c>
      <c r="AC45" s="711">
        <f>+AA45-AB45</f>
        <v>19799095.558712121</v>
      </c>
      <c r="AD45" s="684">
        <f>+(((AA$28*AC45)*(12-AA$32)/12))+AB45</f>
        <v>397257.77268378792</v>
      </c>
      <c r="AE45" s="711">
        <f>+AE30</f>
        <v>202307</v>
      </c>
      <c r="AF45" s="711">
        <f>+AE$31/12*(12-$AE$32)</f>
        <v>2298.943181818182</v>
      </c>
      <c r="AG45" s="711">
        <f>+AE45-AF45</f>
        <v>200008.05681818182</v>
      </c>
      <c r="AH45" s="684">
        <f>+(((AE$28*AG45)*(12-AE$32)/12))+AF45</f>
        <v>24100.110010677978</v>
      </c>
      <c r="AI45" s="711"/>
      <c r="AJ45" s="711"/>
      <c r="AK45" s="711"/>
      <c r="AL45" s="684"/>
      <c r="AM45" s="711"/>
      <c r="AN45" s="711"/>
      <c r="AO45" s="711"/>
      <c r="AP45" s="684"/>
      <c r="AQ45" s="711"/>
      <c r="AR45" s="711"/>
      <c r="AS45" s="711"/>
      <c r="AT45" s="684"/>
      <c r="AU45" s="702">
        <f>+AW44</f>
        <v>29125000</v>
      </c>
      <c r="AV45" s="470">
        <f>+AU$31</f>
        <v>750000</v>
      </c>
      <c r="AW45" s="470">
        <f t="shared" si="1"/>
        <v>28375000</v>
      </c>
      <c r="AX45" s="683">
        <f>+AU$28*AW45+AV45</f>
        <v>6935831.8970744768</v>
      </c>
      <c r="AY45" s="702">
        <f>+BA44</f>
        <v>19083333.333333332</v>
      </c>
      <c r="AZ45" s="470">
        <f>+AY$31</f>
        <v>500000</v>
      </c>
      <c r="BA45" s="470">
        <f t="shared" si="2"/>
        <v>18583333.333333332</v>
      </c>
      <c r="BB45" s="683">
        <f>+AY$28*BA45+AZ45</f>
        <v>4551220.3026361475</v>
      </c>
      <c r="BC45" s="702">
        <f>+BE44</f>
        <v>29500000</v>
      </c>
      <c r="BD45" s="470">
        <f>+BC$31</f>
        <v>750000</v>
      </c>
      <c r="BE45" s="470">
        <f t="shared" si="4"/>
        <v>28750000</v>
      </c>
      <c r="BF45" s="683">
        <f>+BC$28*BE45+BD45</f>
        <v>7017582.9794146679</v>
      </c>
      <c r="BG45" s="702">
        <f>+BI44</f>
        <v>19952380.952380951</v>
      </c>
      <c r="BH45" s="470">
        <f>+BG$31</f>
        <v>571428.57142857148</v>
      </c>
      <c r="BI45" s="470">
        <f t="shared" si="5"/>
        <v>19380952.380952381</v>
      </c>
      <c r="BJ45" s="683">
        <f>+BG$28*BI45+BH45</f>
        <v>2557187.4801789015</v>
      </c>
      <c r="BK45" s="702">
        <f>+BK$30</f>
        <v>30000000</v>
      </c>
      <c r="BL45" s="686">
        <f>+BK$31/12*(12-BK$32)</f>
        <v>400000</v>
      </c>
      <c r="BM45" s="470">
        <f t="shared" ref="BM45:BM76" si="9">+BK45-BL45</f>
        <v>29600000</v>
      </c>
      <c r="BN45" s="683">
        <f>+BK$28*BM45+BL45</f>
        <v>3432795.4242732311</v>
      </c>
      <c r="BO45" s="702">
        <f>+BO$30</f>
        <v>20000000</v>
      </c>
      <c r="BP45" s="686">
        <f>+BO$31/12*(12-BO$32)</f>
        <v>166666.66666666666</v>
      </c>
      <c r="BQ45" s="470">
        <f t="shared" ref="BQ45:BQ76" si="10">+BO45-BP45</f>
        <v>19833333.333333332</v>
      </c>
      <c r="BR45" s="683">
        <f>+BO$28*BQ45+BP45</f>
        <v>4490390.5771034528</v>
      </c>
      <c r="BS45" s="711"/>
      <c r="BT45" s="711"/>
      <c r="BU45" s="711"/>
      <c r="BV45" s="684"/>
      <c r="BW45" s="711"/>
      <c r="BX45" s="711"/>
      <c r="BY45" s="711"/>
      <c r="BZ45" s="684"/>
      <c r="CA45" s="711"/>
      <c r="CB45" s="711"/>
      <c r="CC45" s="711"/>
      <c r="CD45" s="684"/>
      <c r="CE45" s="711"/>
      <c r="CF45" s="711"/>
      <c r="CG45" s="711"/>
      <c r="CH45" s="684"/>
      <c r="CI45" s="711"/>
      <c r="CJ45" s="711"/>
      <c r="CK45" s="711"/>
      <c r="CL45" s="684"/>
      <c r="CM45" s="967">
        <f t="shared" si="3"/>
        <v>11320121.226614889</v>
      </c>
      <c r="CN45" s="543"/>
      <c r="CO45" s="707">
        <f>+CM45</f>
        <v>11320121.226614889</v>
      </c>
      <c r="CR45" s="710"/>
      <c r="CS45" s="711"/>
      <c r="CT45" s="711"/>
      <c r="CU45" s="684"/>
    </row>
    <row r="46" spans="1:99">
      <c r="A46" s="514" t="s">
        <v>608</v>
      </c>
      <c r="B46" s="474">
        <f t="shared" si="0"/>
        <v>2009</v>
      </c>
      <c r="C46" s="470">
        <f>+C45</f>
        <v>19503399.303977273</v>
      </c>
      <c r="D46" s="470">
        <f>+D45</f>
        <v>445791.98409090913</v>
      </c>
      <c r="E46" s="470">
        <f t="shared" si="6"/>
        <v>19057607.319886364</v>
      </c>
      <c r="F46" s="683">
        <f>+C$29*E46+D46</f>
        <v>4751655.7513980893</v>
      </c>
      <c r="G46" s="470">
        <f>+G45</f>
        <v>5039072.605227273</v>
      </c>
      <c r="H46" s="470">
        <f>+H45</f>
        <v>115840.74954545456</v>
      </c>
      <c r="I46" s="470">
        <f t="shared" si="7"/>
        <v>4923231.855681818</v>
      </c>
      <c r="J46" s="683">
        <f>+G$29*I46+H46</f>
        <v>1228192.647116153</v>
      </c>
      <c r="K46" s="470">
        <f>+K45</f>
        <v>13056694.788579546</v>
      </c>
      <c r="L46" s="470">
        <f>+L45</f>
        <v>305419.76113636367</v>
      </c>
      <c r="M46" s="470">
        <f t="shared" si="8"/>
        <v>12751275.027443182</v>
      </c>
      <c r="N46" s="683">
        <f>+K$29*M46+L46</f>
        <v>3186434.7913045818</v>
      </c>
      <c r="O46" s="470">
        <f>+O45</f>
        <v>5249918</v>
      </c>
      <c r="P46" s="470">
        <f>+P45</f>
        <v>19886.053030303028</v>
      </c>
      <c r="Q46" s="470">
        <f>+O46-P46</f>
        <v>5230031.9469696973</v>
      </c>
      <c r="R46" s="683">
        <f>+(((O$29*Q46)*(12-O$32)/12))+P46</f>
        <v>216831.07245059445</v>
      </c>
      <c r="S46" s="710">
        <f>+S45</f>
        <v>2517294.6187878782</v>
      </c>
      <c r="T46" s="711">
        <f>+T45</f>
        <v>58315.705454545445</v>
      </c>
      <c r="U46" s="711">
        <f>+S46-T46</f>
        <v>2458978.9133333326</v>
      </c>
      <c r="V46" s="684">
        <f>+S$29*U46+T46</f>
        <v>613895.84884672833</v>
      </c>
      <c r="W46" s="711">
        <f>+W45</f>
        <v>30504919</v>
      </c>
      <c r="X46" s="711">
        <f>+X45</f>
        <v>115548.93560606061</v>
      </c>
      <c r="Y46" s="711">
        <f>+W46-X46</f>
        <v>30389370.064393938</v>
      </c>
      <c r="Z46" s="684">
        <f>+(((W$29*Y46)*(12-W$32)/12))+X46</f>
        <v>1259908.1170007824</v>
      </c>
      <c r="AA46" s="711">
        <f>+AA45</f>
        <v>19836665</v>
      </c>
      <c r="AB46" s="711">
        <f>+AB45</f>
        <v>37569.441287878792</v>
      </c>
      <c r="AC46" s="711">
        <f>+AA46-AB46</f>
        <v>19799095.558712121</v>
      </c>
      <c r="AD46" s="684">
        <f>+(((AA$29*AC46)*(12-AA$32)/12))+AB46</f>
        <v>410352.37061339227</v>
      </c>
      <c r="AE46" s="711">
        <f>+AE45</f>
        <v>202307</v>
      </c>
      <c r="AF46" s="711">
        <f>+AF45</f>
        <v>2298.943181818182</v>
      </c>
      <c r="AG46" s="711">
        <f>+AE46-AF46</f>
        <v>200008.05681818182</v>
      </c>
      <c r="AH46" s="684">
        <f>+(((AE$29*AG46)*(12-AE$32)/12))+AF46</f>
        <v>24893.790230751394</v>
      </c>
      <c r="AI46" s="711"/>
      <c r="AJ46" s="711"/>
      <c r="AK46" s="711"/>
      <c r="AL46" s="684"/>
      <c r="AM46" s="711"/>
      <c r="AN46" s="711"/>
      <c r="AO46" s="711"/>
      <c r="AP46" s="684"/>
      <c r="AQ46" s="711"/>
      <c r="AR46" s="711"/>
      <c r="AS46" s="711"/>
      <c r="AT46" s="684"/>
      <c r="AU46" s="702">
        <f>+AU45</f>
        <v>29125000</v>
      </c>
      <c r="AV46" s="470">
        <f>+AV45</f>
        <v>750000</v>
      </c>
      <c r="AW46" s="470">
        <f t="shared" si="1"/>
        <v>28375000</v>
      </c>
      <c r="AX46" s="683">
        <f>+AU$29*AW46+AV46</f>
        <v>7273628.4329168666</v>
      </c>
      <c r="AY46" s="702">
        <f>+AY45</f>
        <v>19083333.333333332</v>
      </c>
      <c r="AZ46" s="470">
        <f>+AZ45</f>
        <v>500000</v>
      </c>
      <c r="BA46" s="470">
        <f t="shared" si="2"/>
        <v>18583333.333333332</v>
      </c>
      <c r="BB46" s="683">
        <f>+AY$29*BA46+AZ46</f>
        <v>4698706.6021816256</v>
      </c>
      <c r="BC46" s="702">
        <f>+BC45</f>
        <v>29500000</v>
      </c>
      <c r="BD46" s="470">
        <f>+BD45</f>
        <v>750000</v>
      </c>
      <c r="BE46" s="470">
        <f t="shared" si="4"/>
        <v>28750000</v>
      </c>
      <c r="BF46" s="683">
        <f>+BC$29*BE46+BD46</f>
        <v>7131669.9151617317</v>
      </c>
      <c r="BG46" s="702">
        <f>+BG45</f>
        <v>19952380.952380951</v>
      </c>
      <c r="BH46" s="470">
        <f>+BH45</f>
        <v>571428.57142857148</v>
      </c>
      <c r="BI46" s="470">
        <f t="shared" si="5"/>
        <v>19380952.380952381</v>
      </c>
      <c r="BJ46" s="683">
        <f>+BG$29*BI46+BH46</f>
        <v>2557187.4801789015</v>
      </c>
      <c r="BK46" s="702">
        <f>+BK45</f>
        <v>30000000</v>
      </c>
      <c r="BL46" s="686">
        <f>+BL45</f>
        <v>400000</v>
      </c>
      <c r="BM46" s="470">
        <f t="shared" si="9"/>
        <v>29600000</v>
      </c>
      <c r="BN46" s="683">
        <f>+BK$29*BM46+BL46</f>
        <v>3432795.4242732311</v>
      </c>
      <c r="BO46" s="702">
        <f>+BO45</f>
        <v>20000000</v>
      </c>
      <c r="BP46" s="686">
        <f>+BP45</f>
        <v>166666.66666666666</v>
      </c>
      <c r="BQ46" s="470">
        <f t="shared" si="10"/>
        <v>19833333.333333332</v>
      </c>
      <c r="BR46" s="683">
        <f>+BO$29*BQ46+BP46</f>
        <v>4569094.0284304116</v>
      </c>
      <c r="BS46" s="711"/>
      <c r="BT46" s="711"/>
      <c r="BU46" s="711"/>
      <c r="BV46" s="684"/>
      <c r="BW46" s="711"/>
      <c r="BX46" s="711"/>
      <c r="BY46" s="711"/>
      <c r="BZ46" s="684"/>
      <c r="CA46" s="711"/>
      <c r="CB46" s="711"/>
      <c r="CC46" s="711"/>
      <c r="CD46" s="684"/>
      <c r="CE46" s="711"/>
      <c r="CF46" s="711"/>
      <c r="CG46" s="711"/>
      <c r="CH46" s="684"/>
      <c r="CI46" s="711"/>
      <c r="CJ46" s="711"/>
      <c r="CK46" s="711"/>
      <c r="CL46" s="684"/>
      <c r="CM46" s="967">
        <f t="shared" si="3"/>
        <v>11692164.388961073</v>
      </c>
      <c r="CN46" s="708">
        <f>+CM46</f>
        <v>11692164.388961073</v>
      </c>
      <c r="CO46" s="679"/>
      <c r="CP46" s="712">
        <f>+CN46-CO45</f>
        <v>372043.16234618425</v>
      </c>
      <c r="CR46" s="710"/>
      <c r="CS46" s="711"/>
      <c r="CT46" s="711"/>
      <c r="CU46" s="684"/>
    </row>
    <row r="47" spans="1:99">
      <c r="A47" s="514" t="s">
        <v>609</v>
      </c>
      <c r="B47" s="474">
        <f t="shared" si="0"/>
        <v>2010</v>
      </c>
      <c r="C47" s="470">
        <f>+E46</f>
        <v>19057607.319886364</v>
      </c>
      <c r="D47" s="470">
        <f>+C$31</f>
        <v>445791.98409090913</v>
      </c>
      <c r="E47" s="470">
        <f t="shared" si="6"/>
        <v>18611815.335795455</v>
      </c>
      <c r="F47" s="683">
        <f>+C$28*E47+D47</f>
        <v>4503221.4454697091</v>
      </c>
      <c r="G47" s="470">
        <f>+I46</f>
        <v>4923231.855681818</v>
      </c>
      <c r="H47" s="470">
        <f>+G$31</f>
        <v>115840.74954545456</v>
      </c>
      <c r="I47" s="470">
        <f t="shared" si="7"/>
        <v>4807391.106136363</v>
      </c>
      <c r="J47" s="683">
        <f>+G$28*I47+H47</f>
        <v>1163865.8859701406</v>
      </c>
      <c r="K47" s="470">
        <f>+M46</f>
        <v>12751275.027443182</v>
      </c>
      <c r="L47" s="470">
        <f>+K$31</f>
        <v>305419.76113636367</v>
      </c>
      <c r="M47" s="470">
        <f t="shared" si="8"/>
        <v>12445855.266306818</v>
      </c>
      <c r="N47" s="683">
        <f>+K$28*M47+L47</f>
        <v>3018652.1309229038</v>
      </c>
      <c r="O47" s="470">
        <f>+Q46</f>
        <v>5230031.9469696973</v>
      </c>
      <c r="P47" s="470">
        <f>+O$31</f>
        <v>119316.31818181818</v>
      </c>
      <c r="Q47" s="470">
        <f t="shared" ref="Q47:Q104" si="11">+O47-P47</f>
        <v>5110715.6287878789</v>
      </c>
      <c r="R47" s="683">
        <f>+O$28*Q47+P47</f>
        <v>1233467.0760120596</v>
      </c>
      <c r="S47" s="710">
        <f>+U46</f>
        <v>2458978.9133333326</v>
      </c>
      <c r="T47" s="711">
        <f>+S$31</f>
        <v>58315.705454545445</v>
      </c>
      <c r="U47" s="711">
        <f t="shared" ref="U47:U108" si="12">+S47-T47</f>
        <v>2400663.2078787871</v>
      </c>
      <c r="V47" s="684">
        <f>+S$28*U47+T47</f>
        <v>581667.21366352297</v>
      </c>
      <c r="W47" s="711">
        <f>+Y46</f>
        <v>30389370.064393938</v>
      </c>
      <c r="X47" s="711">
        <f>+W$31</f>
        <v>693293.61363636365</v>
      </c>
      <c r="Y47" s="711">
        <f t="shared" ref="Y47:Y108" si="13">+W47-X47</f>
        <v>29696076.450757574</v>
      </c>
      <c r="Z47" s="684">
        <f>+W$28*Y47+X47</f>
        <v>7167123.989920361</v>
      </c>
      <c r="AA47" s="711">
        <f>+AC46</f>
        <v>19799095.558712121</v>
      </c>
      <c r="AB47" s="711">
        <f>+AA$31</f>
        <v>450833.29545454547</v>
      </c>
      <c r="AC47" s="711">
        <f t="shared" ref="AC47:AC110" si="14">+AA47-AB47</f>
        <v>19348262.263257574</v>
      </c>
      <c r="AD47" s="684">
        <f>+AA$28*AC47+AB47</f>
        <v>4668810.3125830432</v>
      </c>
      <c r="AE47" s="711">
        <f>+AG46</f>
        <v>200008.05681818182</v>
      </c>
      <c r="AF47" s="711">
        <f>+AE$31</f>
        <v>4597.886363636364</v>
      </c>
      <c r="AG47" s="711">
        <f t="shared" ref="AG47:AG108" si="15">+AE47-AF47</f>
        <v>195410.17045454547</v>
      </c>
      <c r="AH47" s="684">
        <f>+AE$28*AG47+AF47</f>
        <v>47197.867523477355</v>
      </c>
      <c r="AI47" s="711">
        <f>+AI30</f>
        <v>13004087</v>
      </c>
      <c r="AJ47" s="711">
        <f>+AI$31/12*(12-$AI$32)</f>
        <v>49257.905303030304</v>
      </c>
      <c r="AK47" s="711">
        <f>+AI47-AJ47</f>
        <v>12954829.094696969</v>
      </c>
      <c r="AL47" s="684">
        <f>+(((AI$28*AK47)*(12-AI$32)/12))+AJ47</f>
        <v>519956.26086910954</v>
      </c>
      <c r="AM47" s="711">
        <f>+AM30</f>
        <v>4878144.29</v>
      </c>
      <c r="AN47" s="711">
        <f>+AM$31/12*(12-$AM$32)</f>
        <v>55433.45784090909</v>
      </c>
      <c r="AO47" s="711">
        <f t="shared" ref="AO47:AO110" si="16">+AM47-AN47</f>
        <v>4822710.8321590908</v>
      </c>
      <c r="AP47" s="684">
        <f>+(((AM$28*AO47)*(12-AM$32)/12))+AN47</f>
        <v>581115.89829793642</v>
      </c>
      <c r="AQ47" s="711">
        <f>+AQ30</f>
        <v>39817018.439999998</v>
      </c>
      <c r="AR47" s="711">
        <f>+AQ$31/12*(12-$AQ$32)</f>
        <v>226233.05931818177</v>
      </c>
      <c r="AS47" s="711">
        <f t="shared" ref="AS47:AS110" si="17">+AQ47-AR47</f>
        <v>39590785.380681813</v>
      </c>
      <c r="AT47" s="684">
        <f>+(((AQ$28*AS47)*(12-AQ$32)/12))+AR47</f>
        <v>2383959.4296974894</v>
      </c>
      <c r="AU47" s="702">
        <f>+AW46</f>
        <v>28375000</v>
      </c>
      <c r="AV47" s="470">
        <f>+AU$31</f>
        <v>750000</v>
      </c>
      <c r="AW47" s="470">
        <f t="shared" si="1"/>
        <v>27625000</v>
      </c>
      <c r="AX47" s="683">
        <f>+AU$28*AW47+AV47</f>
        <v>6772329.7323940946</v>
      </c>
      <c r="AY47" s="702">
        <f>+BA46</f>
        <v>18583333.333333332</v>
      </c>
      <c r="AZ47" s="470">
        <f>+AY$31</f>
        <v>500000</v>
      </c>
      <c r="BA47" s="470">
        <f t="shared" si="2"/>
        <v>18083333.333333332</v>
      </c>
      <c r="BB47" s="683">
        <f>+AY$28*BA47+AZ47</f>
        <v>4442218.8595158923</v>
      </c>
      <c r="BC47" s="702">
        <f>+BE46</f>
        <v>28750000</v>
      </c>
      <c r="BD47" s="470">
        <f>+BC$31</f>
        <v>750000</v>
      </c>
      <c r="BE47" s="470">
        <f t="shared" si="4"/>
        <v>28000000</v>
      </c>
      <c r="BF47" s="683">
        <f>+BC$28*BE47+BD47</f>
        <v>6854080.8147342857</v>
      </c>
      <c r="BG47" s="702">
        <f>+BI46</f>
        <v>19380952.380952381</v>
      </c>
      <c r="BH47" s="470">
        <f>+BG$31</f>
        <v>571428.57142857148</v>
      </c>
      <c r="BI47" s="470">
        <f t="shared" si="5"/>
        <v>18809523.80952381</v>
      </c>
      <c r="BJ47" s="683">
        <f>+BG$28*BI47+BH47</f>
        <v>2498639.3059651325</v>
      </c>
      <c r="BK47" s="702">
        <f>+BM46</f>
        <v>29600000</v>
      </c>
      <c r="BL47" s="686">
        <f>+BK$31</f>
        <v>1200000</v>
      </c>
      <c r="BM47" s="470">
        <f t="shared" si="9"/>
        <v>28400000</v>
      </c>
      <c r="BN47" s="683">
        <f>+BK$28*BM47+BL47</f>
        <v>4109844.2584243161</v>
      </c>
      <c r="BO47" s="702">
        <f>+BQ46</f>
        <v>19833333.333333332</v>
      </c>
      <c r="BP47" s="686">
        <f>+BO$31</f>
        <v>666666.66666666663</v>
      </c>
      <c r="BQ47" s="470">
        <f t="shared" si="10"/>
        <v>19166666.666666664</v>
      </c>
      <c r="BR47" s="683">
        <f>+BO$28*BQ47+BP47</f>
        <v>4845055.319609778</v>
      </c>
      <c r="BS47" s="711">
        <f>+BS30</f>
        <v>365679</v>
      </c>
      <c r="BT47" s="711">
        <f>+BS$31/12*(12-$BS$32)</f>
        <v>0</v>
      </c>
      <c r="BU47" s="711">
        <f t="shared" ref="BU47:BU110" si="18">+BS47-BT47</f>
        <v>365679</v>
      </c>
      <c r="BV47" s="684">
        <f>+(((BS$28*BU47)*(12-BS$32)/12))+BT47</f>
        <v>0</v>
      </c>
      <c r="BW47" s="711"/>
      <c r="BX47" s="711"/>
      <c r="BY47" s="711"/>
      <c r="BZ47" s="684"/>
      <c r="CA47" s="711"/>
      <c r="CB47" s="711"/>
      <c r="CC47" s="711"/>
      <c r="CD47" s="684"/>
      <c r="CE47" s="711"/>
      <c r="CF47" s="711"/>
      <c r="CG47" s="711"/>
      <c r="CH47" s="684"/>
      <c r="CI47" s="711"/>
      <c r="CJ47" s="711"/>
      <c r="CK47" s="711"/>
      <c r="CL47" s="684"/>
      <c r="CM47" s="967">
        <f t="shared" si="3"/>
        <v>25869037.510929748</v>
      </c>
      <c r="CN47" s="543"/>
      <c r="CO47" s="707">
        <f>+CM47</f>
        <v>25869037.510929748</v>
      </c>
      <c r="CR47" s="710"/>
      <c r="CS47" s="711"/>
      <c r="CT47" s="711"/>
      <c r="CU47" s="684"/>
    </row>
    <row r="48" spans="1:99">
      <c r="A48" s="514" t="s">
        <v>608</v>
      </c>
      <c r="B48" s="474">
        <f t="shared" si="0"/>
        <v>2010</v>
      </c>
      <c r="C48" s="470">
        <f>+C47</f>
        <v>19057607.319886364</v>
      </c>
      <c r="D48" s="470">
        <f>+D47</f>
        <v>445791.98409090913</v>
      </c>
      <c r="E48" s="470">
        <f t="shared" si="6"/>
        <v>18611815.335795455</v>
      </c>
      <c r="F48" s="683">
        <f>+C$29*E48+D48</f>
        <v>4650933.7919289153</v>
      </c>
      <c r="G48" s="470">
        <f>+G47</f>
        <v>4923231.855681818</v>
      </c>
      <c r="H48" s="470">
        <f>+H47</f>
        <v>115840.74954545456</v>
      </c>
      <c r="I48" s="470">
        <f t="shared" si="7"/>
        <v>4807391.106136363</v>
      </c>
      <c r="J48" s="683">
        <f>+G$29*I48+H48</f>
        <v>1202019.6612909602</v>
      </c>
      <c r="K48" s="470">
        <f>+K47</f>
        <v>12751275.027443182</v>
      </c>
      <c r="L48" s="470">
        <f>+L47</f>
        <v>305419.76113636367</v>
      </c>
      <c r="M48" s="470">
        <f t="shared" si="8"/>
        <v>12445855.266306818</v>
      </c>
      <c r="N48" s="683">
        <f>+K$29*M48+L48</f>
        <v>3117428.4432766004</v>
      </c>
      <c r="O48" s="470">
        <f>+O47</f>
        <v>5230031.9469696973</v>
      </c>
      <c r="P48" s="470">
        <f>+P47</f>
        <v>119316.31818181818</v>
      </c>
      <c r="Q48" s="470">
        <f t="shared" si="11"/>
        <v>5110715.6287878789</v>
      </c>
      <c r="R48" s="683">
        <f>+O$29*Q48+P48</f>
        <v>1274028.1810947054</v>
      </c>
      <c r="S48" s="710">
        <f>+S47</f>
        <v>2458978.9133333326</v>
      </c>
      <c r="T48" s="711">
        <f>+T47</f>
        <v>58315.705454545445</v>
      </c>
      <c r="U48" s="711">
        <f t="shared" si="12"/>
        <v>2400663.2078787871</v>
      </c>
      <c r="V48" s="684">
        <f>+S$29*U48+T48</f>
        <v>600720.03516944323</v>
      </c>
      <c r="W48" s="711">
        <f>+W47</f>
        <v>30389370.064393938</v>
      </c>
      <c r="X48" s="711">
        <f>+X47</f>
        <v>693293.61363636365</v>
      </c>
      <c r="Y48" s="711">
        <f t="shared" si="13"/>
        <v>29696076.450757574</v>
      </c>
      <c r="Z48" s="684">
        <f>+W$29*Y48+X48</f>
        <v>7402806.3805970522</v>
      </c>
      <c r="AA48" s="711">
        <f>+AA47</f>
        <v>19799095.558712121</v>
      </c>
      <c r="AB48" s="711">
        <f>+AB47</f>
        <v>450833.29545454547</v>
      </c>
      <c r="AC48" s="711">
        <f t="shared" si="14"/>
        <v>19348262.263257574</v>
      </c>
      <c r="AD48" s="684">
        <f>+AA$29*AC48+AB48</f>
        <v>4822367.4571844749</v>
      </c>
      <c r="AE48" s="711">
        <f>+AE47</f>
        <v>200008.05681818182</v>
      </c>
      <c r="AF48" s="711">
        <f>+AF47</f>
        <v>4597.886363636364</v>
      </c>
      <c r="AG48" s="711">
        <f t="shared" si="15"/>
        <v>195410.17045454547</v>
      </c>
      <c r="AH48" s="684">
        <f>+AE$29*AG48+AF48</f>
        <v>48748.736919023111</v>
      </c>
      <c r="AI48" s="711">
        <f>+AI47</f>
        <v>13004087</v>
      </c>
      <c r="AJ48" s="711">
        <f>+AJ47</f>
        <v>49257.905303030304</v>
      </c>
      <c r="AK48" s="711">
        <f t="shared" ref="AK48:AK110" si="19">+AI48-AJ48</f>
        <v>12954829.094696969</v>
      </c>
      <c r="AL48" s="684">
        <f>+(((AI$29*AK48)*(12-AI$32)/12))+AJ48</f>
        <v>537092.22324059787</v>
      </c>
      <c r="AM48" s="711">
        <f>+AM47</f>
        <v>4878144.29</v>
      </c>
      <c r="AN48" s="711">
        <f>+AN47</f>
        <v>55433.45784090909</v>
      </c>
      <c r="AO48" s="711">
        <f t="shared" si="16"/>
        <v>4822710.8321590908</v>
      </c>
      <c r="AP48" s="684">
        <f>+(((AM$29*AO48)*(12-AM$32)/12))+AN48</f>
        <v>600253.57832698675</v>
      </c>
      <c r="AQ48" s="711">
        <f>+AQ47</f>
        <v>39817018.439999998</v>
      </c>
      <c r="AR48" s="711">
        <f>+AR47</f>
        <v>226233.05931818177</v>
      </c>
      <c r="AS48" s="711">
        <f t="shared" si="17"/>
        <v>39590785.380681813</v>
      </c>
      <c r="AT48" s="684">
        <f>+(((AQ$29*AS48)*(12-AQ$32)/12))+AR48</f>
        <v>2462512.3234001258</v>
      </c>
      <c r="AU48" s="702">
        <f>+AU47</f>
        <v>28375000</v>
      </c>
      <c r="AV48" s="470">
        <f>+AV47</f>
        <v>750000</v>
      </c>
      <c r="AW48" s="470">
        <f t="shared" si="1"/>
        <v>27625000</v>
      </c>
      <c r="AX48" s="683">
        <f>+AU$29*AW48+AV48</f>
        <v>7101197.7254388882</v>
      </c>
      <c r="AY48" s="702">
        <f>+AY47</f>
        <v>18583333.333333332</v>
      </c>
      <c r="AZ48" s="470">
        <f>+AZ47</f>
        <v>500000</v>
      </c>
      <c r="BA48" s="470">
        <f t="shared" si="2"/>
        <v>18083333.333333332</v>
      </c>
      <c r="BB48" s="683">
        <f>+AY$29*BA48+AZ48</f>
        <v>4585736.917817995</v>
      </c>
      <c r="BC48" s="702">
        <f>+BC47</f>
        <v>28750000</v>
      </c>
      <c r="BD48" s="470">
        <f>+BD47</f>
        <v>750000</v>
      </c>
      <c r="BE48" s="470">
        <f t="shared" si="4"/>
        <v>28000000</v>
      </c>
      <c r="BF48" s="683">
        <f>+BC$29*BE48+BD48</f>
        <v>6965191.5695488164</v>
      </c>
      <c r="BG48" s="702">
        <f>+BG47</f>
        <v>19380952.380952381</v>
      </c>
      <c r="BH48" s="470">
        <f>+BH47</f>
        <v>571428.57142857148</v>
      </c>
      <c r="BI48" s="470">
        <f t="shared" si="5"/>
        <v>18809523.80952381</v>
      </c>
      <c r="BJ48" s="683">
        <f>+BG$29*BI48+BH48</f>
        <v>2498639.3059651325</v>
      </c>
      <c r="BK48" s="702">
        <f>+BK47</f>
        <v>29600000</v>
      </c>
      <c r="BL48" s="686">
        <f>+BL47</f>
        <v>1200000</v>
      </c>
      <c r="BM48" s="470">
        <f t="shared" si="9"/>
        <v>28400000</v>
      </c>
      <c r="BN48" s="683">
        <f>+BK$29*BM48+BL48</f>
        <v>4109844.2584243161</v>
      </c>
      <c r="BO48" s="702">
        <f>+BO47</f>
        <v>19833333.333333332</v>
      </c>
      <c r="BP48" s="686">
        <f>+BP47</f>
        <v>666666.66666666663</v>
      </c>
      <c r="BQ48" s="470">
        <f t="shared" si="10"/>
        <v>19166666.666666664</v>
      </c>
      <c r="BR48" s="683">
        <f>+BO$29*BQ48+BP48</f>
        <v>4921113.2767744875</v>
      </c>
      <c r="BS48" s="711">
        <f>+BS47</f>
        <v>365679</v>
      </c>
      <c r="BT48" s="711">
        <f>+BT47</f>
        <v>0</v>
      </c>
      <c r="BU48" s="711">
        <f t="shared" si="18"/>
        <v>365679</v>
      </c>
      <c r="BV48" s="684">
        <f>+(((BS$29*BU48)*(12-BS$32)/12))+BT48</f>
        <v>0</v>
      </c>
      <c r="BW48" s="711"/>
      <c r="BX48" s="711"/>
      <c r="BY48" s="711"/>
      <c r="BZ48" s="684"/>
      <c r="CA48" s="711"/>
      <c r="CB48" s="711"/>
      <c r="CC48" s="711"/>
      <c r="CD48" s="684"/>
      <c r="CE48" s="711"/>
      <c r="CF48" s="711"/>
      <c r="CG48" s="711"/>
      <c r="CH48" s="684"/>
      <c r="CI48" s="711"/>
      <c r="CJ48" s="711"/>
      <c r="CK48" s="711"/>
      <c r="CL48" s="684"/>
      <c r="CM48" s="967">
        <f t="shared" si="3"/>
        <v>26718910.812428884</v>
      </c>
      <c r="CN48" s="543">
        <f>+CM48</f>
        <v>26718910.812428884</v>
      </c>
      <c r="CO48" s="707"/>
      <c r="CP48" s="712">
        <f>+CN48-CO47</f>
        <v>849873.30149913579</v>
      </c>
      <c r="CR48" s="710"/>
      <c r="CS48" s="711"/>
      <c r="CT48" s="711"/>
      <c r="CU48" s="684"/>
    </row>
    <row r="49" spans="1:99">
      <c r="A49" s="514" t="s">
        <v>609</v>
      </c>
      <c r="B49" s="474">
        <f t="shared" si="0"/>
        <v>2011</v>
      </c>
      <c r="C49" s="470">
        <f>+E48</f>
        <v>18611815.335795455</v>
      </c>
      <c r="D49" s="470">
        <f>+C$31</f>
        <v>445791.98409090913</v>
      </c>
      <c r="E49" s="470">
        <f t="shared" si="6"/>
        <v>18166023.351704545</v>
      </c>
      <c r="F49" s="683">
        <f>+C$28*E49+D49</f>
        <v>4406037.5062750066</v>
      </c>
      <c r="G49" s="470">
        <f>+I48</f>
        <v>4807391.106136363</v>
      </c>
      <c r="H49" s="470">
        <f>+G$31</f>
        <v>115840.74954545456</v>
      </c>
      <c r="I49" s="470">
        <f t="shared" si="7"/>
        <v>4691550.356590908</v>
      </c>
      <c r="J49" s="683">
        <f>+G$28*I49+H49</f>
        <v>1138612.2682249674</v>
      </c>
      <c r="K49" s="702">
        <f>+M48</f>
        <v>12445855.266306818</v>
      </c>
      <c r="L49" s="470">
        <f>+K$31</f>
        <v>305419.76113636367</v>
      </c>
      <c r="M49" s="470">
        <f t="shared" si="8"/>
        <v>12140435.505170453</v>
      </c>
      <c r="N49" s="683">
        <f>+K$28*M49+L49</f>
        <v>2952069.741480289</v>
      </c>
      <c r="O49" s="702">
        <f>+Q48</f>
        <v>5110715.6287878789</v>
      </c>
      <c r="P49" s="470">
        <f>+O$31</f>
        <v>119316.31818181818</v>
      </c>
      <c r="Q49" s="470">
        <f t="shared" si="11"/>
        <v>4991399.3106060605</v>
      </c>
      <c r="R49" s="683">
        <f>+O$28*Q49+P49</f>
        <v>1207455.7742728321</v>
      </c>
      <c r="S49" s="710">
        <f>+U48</f>
        <v>2400663.2078787871</v>
      </c>
      <c r="T49" s="711">
        <f>+S$31</f>
        <v>58315.705454545445</v>
      </c>
      <c r="U49" s="711">
        <f t="shared" si="12"/>
        <v>2342347.5024242415</v>
      </c>
      <c r="V49" s="684">
        <f>+S$28*U49+T49</f>
        <v>568954.22156128054</v>
      </c>
      <c r="W49" s="710">
        <f>+Y48</f>
        <v>29696076.450757574</v>
      </c>
      <c r="X49" s="711">
        <f>+W$31</f>
        <v>693293.61363636365</v>
      </c>
      <c r="Y49" s="711">
        <f t="shared" si="13"/>
        <v>29002782.837121211</v>
      </c>
      <c r="Z49" s="684">
        <f>+W$28*Y49+X49</f>
        <v>7015983.9811355202</v>
      </c>
      <c r="AA49" s="710">
        <f>+AC48</f>
        <v>19348262.263257574</v>
      </c>
      <c r="AB49" s="711">
        <f>+AA$31</f>
        <v>450833.29545454547</v>
      </c>
      <c r="AC49" s="711">
        <f t="shared" si="14"/>
        <v>18897428.967803027</v>
      </c>
      <c r="AD49" s="684">
        <f>+AA$28*AC49+AB49</f>
        <v>4570527.3529606313</v>
      </c>
      <c r="AE49" s="710">
        <f>+AG48</f>
        <v>195410.17045454547</v>
      </c>
      <c r="AF49" s="711">
        <f>+AE$31</f>
        <v>4597.886363636364</v>
      </c>
      <c r="AG49" s="711">
        <f t="shared" si="15"/>
        <v>190812.28409090912</v>
      </c>
      <c r="AH49" s="684">
        <f>+AE$28*AG49+AF49</f>
        <v>46195.515025598739</v>
      </c>
      <c r="AI49" s="710">
        <f>+AK48</f>
        <v>12954829.094696969</v>
      </c>
      <c r="AJ49" s="711">
        <f>+AI$31</f>
        <v>295547.43181818182</v>
      </c>
      <c r="AK49" s="711">
        <f t="shared" si="19"/>
        <v>12659281.662878787</v>
      </c>
      <c r="AL49" s="684">
        <f>+AI$28*AK49+AJ49</f>
        <v>3055307.3720573229</v>
      </c>
      <c r="AM49" s="710">
        <f>+AO48</f>
        <v>4822710.8321590908</v>
      </c>
      <c r="AN49" s="711">
        <f>+AM$31</f>
        <v>110866.91568181818</v>
      </c>
      <c r="AO49" s="711">
        <f t="shared" si="16"/>
        <v>4711843.9164772723</v>
      </c>
      <c r="AP49" s="684">
        <f>+AM$28*AO49+AN49</f>
        <v>1138062.4889886531</v>
      </c>
      <c r="AQ49" s="710">
        <f>+AS48</f>
        <v>39590785.380681813</v>
      </c>
      <c r="AR49" s="711">
        <f>+AQ$31</f>
        <v>904932.23727272719</v>
      </c>
      <c r="AS49" s="711">
        <f t="shared" si="17"/>
        <v>38685853.143409088</v>
      </c>
      <c r="AT49" s="684">
        <f>+AQ$28*AS49+AR49</f>
        <v>9338559.8792124223</v>
      </c>
      <c r="AU49" s="702">
        <f>+AW48</f>
        <v>27625000</v>
      </c>
      <c r="AV49" s="470">
        <f>+AU$31</f>
        <v>750000</v>
      </c>
      <c r="AW49" s="470">
        <f t="shared" si="1"/>
        <v>26875000</v>
      </c>
      <c r="AX49" s="683">
        <f>+AU$28*AW49+AV49</f>
        <v>6608827.5677137114</v>
      </c>
      <c r="AY49" s="702">
        <f>+BA48</f>
        <v>18083333.333333332</v>
      </c>
      <c r="AZ49" s="470">
        <f>+AY$31</f>
        <v>500000</v>
      </c>
      <c r="BA49" s="470">
        <f t="shared" si="2"/>
        <v>17583333.333333332</v>
      </c>
      <c r="BB49" s="683">
        <f>+AY$28*BA49+AZ49</f>
        <v>4333217.4163956381</v>
      </c>
      <c r="BC49" s="702">
        <f>+BE48</f>
        <v>28000000</v>
      </c>
      <c r="BD49" s="470">
        <f>+BC$31</f>
        <v>750000</v>
      </c>
      <c r="BE49" s="470">
        <f t="shared" si="4"/>
        <v>27250000</v>
      </c>
      <c r="BF49" s="683">
        <f>+BC$28*BE49+BD49</f>
        <v>6690578.6500539035</v>
      </c>
      <c r="BG49" s="702">
        <f>+BI48</f>
        <v>18809523.80952381</v>
      </c>
      <c r="BH49" s="470">
        <f>+BG$31</f>
        <v>571428.57142857148</v>
      </c>
      <c r="BI49" s="470">
        <f t="shared" si="5"/>
        <v>18238095.238095239</v>
      </c>
      <c r="BJ49" s="683">
        <f>+BG$28*BI49+BH49</f>
        <v>2440091.1317513636</v>
      </c>
      <c r="BK49" s="702">
        <f>+BM48</f>
        <v>28400000</v>
      </c>
      <c r="BL49" s="470">
        <f>+BK$31</f>
        <v>1200000</v>
      </c>
      <c r="BM49" s="470">
        <f t="shared" si="9"/>
        <v>27200000</v>
      </c>
      <c r="BN49" s="683">
        <f>+BK$28*BM49+BL49</f>
        <v>3986893.0925754015</v>
      </c>
      <c r="BO49" s="702">
        <f>+BQ48</f>
        <v>19166666.666666664</v>
      </c>
      <c r="BP49" s="470">
        <f>+BO$31</f>
        <v>666666.66666666663</v>
      </c>
      <c r="BQ49" s="470">
        <f t="shared" si="10"/>
        <v>18499999.999999996</v>
      </c>
      <c r="BR49" s="683">
        <f>+BO$28*BQ49+BP49</f>
        <v>4699720.0621161051</v>
      </c>
      <c r="BS49" s="710">
        <f>+BU48</f>
        <v>365679</v>
      </c>
      <c r="BT49" s="711">
        <f>+BS$31</f>
        <v>8310.886363636364</v>
      </c>
      <c r="BU49" s="711">
        <f t="shared" si="18"/>
        <v>357368.11363636365</v>
      </c>
      <c r="BV49" s="684">
        <f>+BS$28*BU49+BT49</f>
        <v>86218.166586690277</v>
      </c>
      <c r="BW49" s="710">
        <f>+BW30</f>
        <v>25381014</v>
      </c>
      <c r="BX49" s="711">
        <f>+BW$31/12*(12-$CE$32)</f>
        <v>432630.92045454547</v>
      </c>
      <c r="BY49" s="711">
        <f>+BW49-BX49</f>
        <v>24948383.079545453</v>
      </c>
      <c r="BZ49" s="684">
        <f>+(((BW$28*BY49)*(12-BW$32)/12))+BX49</f>
        <v>3152040.6796419541</v>
      </c>
      <c r="CA49" s="710">
        <f>+CA30</f>
        <v>2395092.48</v>
      </c>
      <c r="CB49" s="711">
        <f>+CA$31/12*(12-$CE$32)</f>
        <v>40825.440000000002</v>
      </c>
      <c r="CC49" s="711">
        <f>+CA49-CB49</f>
        <v>2354267.04</v>
      </c>
      <c r="CD49" s="684">
        <f>+(((CA$28*CC49)*(12-CA$32)/12))+CB49</f>
        <v>254674.19404204277</v>
      </c>
      <c r="CE49" s="710">
        <f>+CE30</f>
        <v>207901.28</v>
      </c>
      <c r="CF49" s="711">
        <f>+CE$31/12*(12-$CE$32)</f>
        <v>3543.7718181818182</v>
      </c>
      <c r="CG49" s="711">
        <f>+CE49-CF49</f>
        <v>204357.50818181818</v>
      </c>
      <c r="CH49" s="684">
        <f>+(((CE$28*CG49)*(12-CE$32)/12))+CF49</f>
        <v>36956.666774598103</v>
      </c>
      <c r="CI49" s="710"/>
      <c r="CK49" s="711"/>
      <c r="CL49" s="684"/>
      <c r="CM49" s="967">
        <f t="shared" si="3"/>
        <v>38967655.80823981</v>
      </c>
      <c r="CN49" s="543"/>
      <c r="CO49" s="707">
        <f>+CM49</f>
        <v>38967655.80823981</v>
      </c>
      <c r="CR49" s="710"/>
      <c r="CS49" s="711"/>
      <c r="CT49" s="711"/>
      <c r="CU49" s="684"/>
    </row>
    <row r="50" spans="1:99">
      <c r="A50" s="514" t="s">
        <v>608</v>
      </c>
      <c r="B50" s="474">
        <f t="shared" si="0"/>
        <v>2011</v>
      </c>
      <c r="C50" s="470">
        <f>+C49</f>
        <v>18611815.335795455</v>
      </c>
      <c r="D50" s="470">
        <f>+D49</f>
        <v>445791.98409090913</v>
      </c>
      <c r="E50" s="470">
        <f t="shared" si="6"/>
        <v>18166023.351704545</v>
      </c>
      <c r="F50" s="683">
        <f>+C$29*E50+D50</f>
        <v>4550211.8324597413</v>
      </c>
      <c r="G50" s="470">
        <f>+G49</f>
        <v>4807391.106136363</v>
      </c>
      <c r="H50" s="470">
        <f>+H49</f>
        <v>115840.74954545456</v>
      </c>
      <c r="I50" s="470">
        <f t="shared" si="7"/>
        <v>4691550.356590908</v>
      </c>
      <c r="J50" s="683">
        <f>+G$29*I50+H50</f>
        <v>1175846.675465767</v>
      </c>
      <c r="K50" s="702">
        <f>+K49</f>
        <v>12445855.266306818</v>
      </c>
      <c r="L50" s="470">
        <f>+L49</f>
        <v>305419.76113636367</v>
      </c>
      <c r="M50" s="470">
        <f t="shared" si="8"/>
        <v>12140435.505170453</v>
      </c>
      <c r="N50" s="683">
        <f>+K$29*M50+L50</f>
        <v>3048422.0952486186</v>
      </c>
      <c r="O50" s="702">
        <f>+O49</f>
        <v>5110715.6287878789</v>
      </c>
      <c r="P50" s="470">
        <f>+P49</f>
        <v>119316.31818181818</v>
      </c>
      <c r="Q50" s="470">
        <f t="shared" si="11"/>
        <v>4991399.3106060605</v>
      </c>
      <c r="R50" s="683">
        <f>+O$29*Q50+P50</f>
        <v>1247069.9274858441</v>
      </c>
      <c r="S50" s="710">
        <f>+S49</f>
        <v>2400663.2078787871</v>
      </c>
      <c r="T50" s="711">
        <f>+T49</f>
        <v>58315.705454545445</v>
      </c>
      <c r="U50" s="711">
        <f t="shared" si="12"/>
        <v>2342347.5024242415</v>
      </c>
      <c r="V50" s="684">
        <f>+S$29*U50+T50</f>
        <v>587544.22149215825</v>
      </c>
      <c r="W50" s="710">
        <f>+W49</f>
        <v>29696076.450757574</v>
      </c>
      <c r="X50" s="711">
        <f>+X49</f>
        <v>693293.61363636365</v>
      </c>
      <c r="Y50" s="711">
        <f t="shared" si="13"/>
        <v>29002782.837121211</v>
      </c>
      <c r="Z50" s="684">
        <f>+W$29*Y50+X50</f>
        <v>7246164.0591894099</v>
      </c>
      <c r="AA50" s="710">
        <f>+AA49</f>
        <v>19348262.263257574</v>
      </c>
      <c r="AB50" s="711">
        <f>+AB49</f>
        <v>450833.29545454547</v>
      </c>
      <c r="AC50" s="711">
        <f t="shared" si="14"/>
        <v>18897428.967803027</v>
      </c>
      <c r="AD50" s="684">
        <f>+AA$29*AC50+AB50</f>
        <v>4720506.4670082433</v>
      </c>
      <c r="AE50" s="710">
        <f>+AE49</f>
        <v>195410.17045454547</v>
      </c>
      <c r="AF50" s="711">
        <f>+AF49</f>
        <v>4597.886363636364</v>
      </c>
      <c r="AG50" s="711">
        <f t="shared" si="15"/>
        <v>190812.28409090912</v>
      </c>
      <c r="AH50" s="684">
        <f>+AE$29*AG50+AF50</f>
        <v>47709.893376543419</v>
      </c>
      <c r="AI50" s="710">
        <f>+AI49</f>
        <v>12954829.094696969</v>
      </c>
      <c r="AJ50" s="711">
        <f>+AJ49</f>
        <v>295547.43181818182</v>
      </c>
      <c r="AK50" s="711">
        <f t="shared" si="19"/>
        <v>12659281.662878787</v>
      </c>
      <c r="AL50" s="684">
        <f>+AI$29*AK50+AJ50</f>
        <v>3155777.5392696233</v>
      </c>
      <c r="AM50" s="710">
        <f>+AM49</f>
        <v>4822710.8321590908</v>
      </c>
      <c r="AN50" s="711">
        <f>+AN49</f>
        <v>110866.91568181818</v>
      </c>
      <c r="AO50" s="711">
        <f t="shared" si="16"/>
        <v>4711843.9164772723</v>
      </c>
      <c r="AP50" s="684">
        <f>+AM$29*AO50+AN50</f>
        <v>1175457.9557120849</v>
      </c>
      <c r="AQ50" s="710">
        <f>+AQ49</f>
        <v>39590785.380681813</v>
      </c>
      <c r="AR50" s="711">
        <f>+AR49</f>
        <v>904932.23727272719</v>
      </c>
      <c r="AS50" s="711">
        <f t="shared" si="17"/>
        <v>38685853.143409088</v>
      </c>
      <c r="AT50" s="684">
        <f>+AQ$29*AS50+AR50</f>
        <v>9645589.475170156</v>
      </c>
      <c r="AU50" s="702">
        <f>+AU49</f>
        <v>27625000</v>
      </c>
      <c r="AV50" s="470">
        <f>+AV49</f>
        <v>750000</v>
      </c>
      <c r="AW50" s="470">
        <f t="shared" si="1"/>
        <v>26875000</v>
      </c>
      <c r="AX50" s="683">
        <f>+AU$29*AW50+AV50</f>
        <v>6928767.0179609088</v>
      </c>
      <c r="AY50" s="702">
        <f>+AY49</f>
        <v>18083333.333333332</v>
      </c>
      <c r="AZ50" s="470">
        <f>+AZ49</f>
        <v>500000</v>
      </c>
      <c r="BA50" s="470">
        <f t="shared" si="2"/>
        <v>17583333.333333332</v>
      </c>
      <c r="BB50" s="683">
        <f>+AY$29*BA50+AZ50</f>
        <v>4472767.2334543634</v>
      </c>
      <c r="BC50" s="702">
        <f>+BC49</f>
        <v>28000000</v>
      </c>
      <c r="BD50" s="470">
        <f>+BD49</f>
        <v>750000</v>
      </c>
      <c r="BE50" s="470">
        <f t="shared" si="4"/>
        <v>27250000</v>
      </c>
      <c r="BF50" s="683">
        <f>+BC$29*BE50+BD50</f>
        <v>6798713.2239359021</v>
      </c>
      <c r="BG50" s="702">
        <f>+BG49</f>
        <v>18809523.80952381</v>
      </c>
      <c r="BH50" s="470">
        <f>+BH49</f>
        <v>571428.57142857148</v>
      </c>
      <c r="BI50" s="470">
        <f t="shared" si="5"/>
        <v>18238095.238095239</v>
      </c>
      <c r="BJ50" s="683">
        <f>+BG$29*BI50+BH50</f>
        <v>2440091.1317513636</v>
      </c>
      <c r="BK50" s="702">
        <f>+BK49</f>
        <v>28400000</v>
      </c>
      <c r="BL50" s="470">
        <f>+BL49</f>
        <v>1200000</v>
      </c>
      <c r="BM50" s="470">
        <f t="shared" si="9"/>
        <v>27200000</v>
      </c>
      <c r="BN50" s="683">
        <f>+BK$29*BM50+BL50</f>
        <v>3986893.0925754015</v>
      </c>
      <c r="BO50" s="702">
        <f>+BO49</f>
        <v>19166666.666666664</v>
      </c>
      <c r="BP50" s="470">
        <f>+BP49</f>
        <v>666666.66666666663</v>
      </c>
      <c r="BQ50" s="470">
        <f t="shared" si="10"/>
        <v>18499999.999999996</v>
      </c>
      <c r="BR50" s="683">
        <f>+BO$29*BQ50+BP50</f>
        <v>4773132.5251185624</v>
      </c>
      <c r="BS50" s="710">
        <f>+BS49</f>
        <v>365679</v>
      </c>
      <c r="BT50" s="711">
        <f>+BT49</f>
        <v>8310.886363636364</v>
      </c>
      <c r="BU50" s="711">
        <f t="shared" si="18"/>
        <v>357368.11363636365</v>
      </c>
      <c r="BV50" s="684">
        <f>+BS$29*BU50+BT50</f>
        <v>89054.412361888943</v>
      </c>
      <c r="BW50" s="710">
        <f>+BW49</f>
        <v>25381014</v>
      </c>
      <c r="BX50" s="711">
        <f>+BX49</f>
        <v>432630.92045454547</v>
      </c>
      <c r="BY50" s="711">
        <f t="shared" ref="BY50:BY113" si="20">+BW50-BX50</f>
        <v>24948383.079545453</v>
      </c>
      <c r="BZ50" s="684">
        <f>+(((BW$29*BY50)*(12-BW$32)/12))+BX50</f>
        <v>3152040.6796419541</v>
      </c>
      <c r="CA50" s="710">
        <f>+CA49</f>
        <v>2395092.48</v>
      </c>
      <c r="CB50" s="711">
        <f>+CB49</f>
        <v>40825.440000000002</v>
      </c>
      <c r="CC50" s="711">
        <f t="shared" ref="CC50:CC113" si="21">+CA50-CB50</f>
        <v>2354267.04</v>
      </c>
      <c r="CD50" s="684">
        <f>+(((CA$29*CC50)*(12-CA$32)/12))+CB50</f>
        <v>262459.44368041691</v>
      </c>
      <c r="CE50" s="710">
        <f>+CE49</f>
        <v>207901.28</v>
      </c>
      <c r="CF50" s="711">
        <f>+CF49</f>
        <v>3543.7718181818182</v>
      </c>
      <c r="CG50" s="711">
        <f t="shared" ref="CG50:CG110" si="22">+CE50-CF50</f>
        <v>204357.50818181818</v>
      </c>
      <c r="CH50" s="684">
        <f>+(((CE$29*CG50)*(12-CE$32)/12))+CF50</f>
        <v>38173.076613139092</v>
      </c>
      <c r="CI50" s="710"/>
      <c r="CJ50" s="711"/>
      <c r="CK50" s="711"/>
      <c r="CL50" s="684"/>
      <c r="CM50" s="967">
        <f t="shared" si="3"/>
        <v>40142027.754175588</v>
      </c>
      <c r="CN50" s="708">
        <f>+CM50</f>
        <v>40142027.754175588</v>
      </c>
      <c r="CO50" s="679"/>
      <c r="CP50" s="712">
        <f>+CN50-CO49</f>
        <v>1174371.9459357783</v>
      </c>
      <c r="CR50" s="710"/>
      <c r="CS50" s="711"/>
      <c r="CT50" s="711"/>
      <c r="CU50" s="684"/>
    </row>
    <row r="51" spans="1:99">
      <c r="A51" s="514" t="s">
        <v>609</v>
      </c>
      <c r="B51" s="474">
        <f t="shared" si="0"/>
        <v>2012</v>
      </c>
      <c r="C51" s="470">
        <f>+E50</f>
        <v>18166023.351704545</v>
      </c>
      <c r="D51" s="470">
        <f>+C$31</f>
        <v>445791.98409090913</v>
      </c>
      <c r="E51" s="470">
        <f t="shared" si="6"/>
        <v>17720231.367613636</v>
      </c>
      <c r="F51" s="683">
        <f>+C$28*E51+D51</f>
        <v>4308853.567080305</v>
      </c>
      <c r="G51" s="470">
        <f>+I50</f>
        <v>4691550.356590908</v>
      </c>
      <c r="H51" s="470">
        <f>+G$31</f>
        <v>115840.74954545456</v>
      </c>
      <c r="I51" s="470">
        <f t="shared" si="7"/>
        <v>4575709.607045453</v>
      </c>
      <c r="J51" s="683">
        <f>+G$28*I51+H51</f>
        <v>1113358.650479794</v>
      </c>
      <c r="K51" s="702">
        <f>+M50</f>
        <v>12140435.505170453</v>
      </c>
      <c r="L51" s="470">
        <f>+K$31</f>
        <v>305419.76113636367</v>
      </c>
      <c r="M51" s="470">
        <f t="shared" si="8"/>
        <v>11835015.744034089</v>
      </c>
      <c r="N51" s="683">
        <f>+K$28*M51+L51</f>
        <v>2885487.3520376743</v>
      </c>
      <c r="O51" s="702">
        <f>+Q50</f>
        <v>4991399.3106060605</v>
      </c>
      <c r="P51" s="470">
        <f>+O$31</f>
        <v>119316.31818181818</v>
      </c>
      <c r="Q51" s="470">
        <f t="shared" si="11"/>
        <v>4872082.9924242422</v>
      </c>
      <c r="R51" s="683">
        <f>+O$28*Q51+P51</f>
        <v>1181444.4725336048</v>
      </c>
      <c r="S51" s="710">
        <f>+U50</f>
        <v>2342347.5024242415</v>
      </c>
      <c r="T51" s="711">
        <f>+S$31</f>
        <v>58315.705454545445</v>
      </c>
      <c r="U51" s="711">
        <f t="shared" si="12"/>
        <v>2284031.7969696959</v>
      </c>
      <c r="V51" s="684">
        <f>+S$28*U51+T51</f>
        <v>556241.22945903824</v>
      </c>
      <c r="W51" s="710">
        <f>+Y50</f>
        <v>29002782.837121211</v>
      </c>
      <c r="X51" s="711">
        <f>+W$31</f>
        <v>693293.61363636365</v>
      </c>
      <c r="Y51" s="711">
        <f t="shared" si="13"/>
        <v>28309489.223484848</v>
      </c>
      <c r="Z51" s="684">
        <f>+W$28*Y51+X51</f>
        <v>6864843.9723506803</v>
      </c>
      <c r="AA51" s="710">
        <f>+AC50</f>
        <v>18897428.967803027</v>
      </c>
      <c r="AB51" s="711">
        <f>+AA$31</f>
        <v>450833.29545454547</v>
      </c>
      <c r="AC51" s="711">
        <f t="shared" si="14"/>
        <v>18446595.672348481</v>
      </c>
      <c r="AD51" s="684">
        <f>+AA$28*AC51+AB51</f>
        <v>4472244.3933382193</v>
      </c>
      <c r="AE51" s="710">
        <f>+AG50</f>
        <v>190812.28409090912</v>
      </c>
      <c r="AF51" s="711">
        <f>+AE$31</f>
        <v>4597.886363636364</v>
      </c>
      <c r="AG51" s="711">
        <f t="shared" si="15"/>
        <v>186214.39772727276</v>
      </c>
      <c r="AH51" s="684">
        <f>+AE$28*AG51+AF51</f>
        <v>45193.162527720124</v>
      </c>
      <c r="AI51" s="710">
        <f>+AK50</f>
        <v>12659281.662878787</v>
      </c>
      <c r="AJ51" s="711">
        <f>+AI$31</f>
        <v>295547.43181818182</v>
      </c>
      <c r="AK51" s="711">
        <f t="shared" si="19"/>
        <v>12363734.231060605</v>
      </c>
      <c r="AL51" s="684">
        <f>+AI$28*AK51+AJ51</f>
        <v>2990877.1788999885</v>
      </c>
      <c r="AM51" s="710">
        <f>+AO50</f>
        <v>4711843.9164772723</v>
      </c>
      <c r="AN51" s="711">
        <f>+AM$31</f>
        <v>110866.91568181818</v>
      </c>
      <c r="AO51" s="711">
        <f t="shared" si="16"/>
        <v>4600977.0007954538</v>
      </c>
      <c r="AP51" s="684">
        <f>+AM$28*AO51+AN51</f>
        <v>1113893.1813814333</v>
      </c>
      <c r="AQ51" s="710">
        <f>+AS50</f>
        <v>38685853.143409088</v>
      </c>
      <c r="AR51" s="711">
        <f>+AQ$31</f>
        <v>904932.23727272719</v>
      </c>
      <c r="AS51" s="711">
        <f t="shared" si="17"/>
        <v>37780920.906136364</v>
      </c>
      <c r="AT51" s="684">
        <f>+AQ$28*AS51+AR51</f>
        <v>9141282.0396348853</v>
      </c>
      <c r="AU51" s="702">
        <f>+AW50</f>
        <v>26875000</v>
      </c>
      <c r="AV51" s="470">
        <f>+AU$31</f>
        <v>750000</v>
      </c>
      <c r="AW51" s="470">
        <f t="shared" si="1"/>
        <v>26125000</v>
      </c>
      <c r="AX51" s="683">
        <f>+AU$28*AW51+AV51</f>
        <v>6445325.4030333292</v>
      </c>
      <c r="AY51" s="702">
        <f>+BA50</f>
        <v>17583333.333333332</v>
      </c>
      <c r="AZ51" s="470">
        <f>+AY$31</f>
        <v>500000</v>
      </c>
      <c r="BA51" s="470">
        <f t="shared" si="2"/>
        <v>17083333.333333332</v>
      </c>
      <c r="BB51" s="683">
        <f>+AY$28*BA51+AZ51</f>
        <v>4224215.9732753821</v>
      </c>
      <c r="BC51" s="702">
        <f>+BE50</f>
        <v>27250000</v>
      </c>
      <c r="BD51" s="470">
        <f>+BC$31</f>
        <v>750000</v>
      </c>
      <c r="BE51" s="470">
        <f t="shared" si="4"/>
        <v>26500000</v>
      </c>
      <c r="BF51" s="683">
        <f>+BC$28*BE51+BD51</f>
        <v>6527076.4853735203</v>
      </c>
      <c r="BG51" s="702">
        <f>+BI50</f>
        <v>18238095.238095239</v>
      </c>
      <c r="BH51" s="470">
        <f>+BG$31</f>
        <v>571428.57142857148</v>
      </c>
      <c r="BI51" s="470">
        <f t="shared" si="5"/>
        <v>17666666.666666668</v>
      </c>
      <c r="BJ51" s="683">
        <f>+BG$28*BI51+BH51</f>
        <v>2381542.9575375947</v>
      </c>
      <c r="BK51" s="702">
        <f>+BM50</f>
        <v>27200000</v>
      </c>
      <c r="BL51" s="470">
        <f>+BK$31</f>
        <v>1200000</v>
      </c>
      <c r="BM51" s="470">
        <f t="shared" si="9"/>
        <v>26000000</v>
      </c>
      <c r="BN51" s="683">
        <f>+BK$28*BM51+BL51</f>
        <v>3863941.9267264865</v>
      </c>
      <c r="BO51" s="702">
        <f>+BQ50</f>
        <v>18499999.999999996</v>
      </c>
      <c r="BP51" s="470">
        <f>+BO$31</f>
        <v>666666.66666666663</v>
      </c>
      <c r="BQ51" s="470">
        <f t="shared" si="10"/>
        <v>17833333.333333328</v>
      </c>
      <c r="BR51" s="683">
        <f>+BO$28*BQ51+BP51</f>
        <v>4554384.8046224313</v>
      </c>
      <c r="BS51" s="710">
        <f>+BU50</f>
        <v>357368.11363636365</v>
      </c>
      <c r="BT51" s="711">
        <f>+BS$31</f>
        <v>8310.886363636364</v>
      </c>
      <c r="BU51" s="711">
        <f t="shared" si="18"/>
        <v>349057.22727272729</v>
      </c>
      <c r="BV51" s="684">
        <f>+BS$28*BU51+BT51</f>
        <v>84406.369372200657</v>
      </c>
      <c r="BW51" s="710">
        <f>+BY50</f>
        <v>24948383.079545453</v>
      </c>
      <c r="BX51" s="711">
        <f>+BW$31</f>
        <v>576841.22727272729</v>
      </c>
      <c r="BY51" s="711">
        <f t="shared" si="20"/>
        <v>24371541.852272727</v>
      </c>
      <c r="BZ51" s="684">
        <f>+BW$28*BY51+BX51</f>
        <v>5889907.6931995722</v>
      </c>
      <c r="CA51" s="710">
        <f>+CC50</f>
        <v>2354267.04</v>
      </c>
      <c r="CB51" s="711">
        <f>+CA$31</f>
        <v>54433.919999999998</v>
      </c>
      <c r="CC51" s="711">
        <f t="shared" si="21"/>
        <v>2299833.12</v>
      </c>
      <c r="CD51" s="684">
        <f>+CA$28*CC51+CB51</f>
        <v>555804.17803151766</v>
      </c>
      <c r="CE51" s="710">
        <f>+CG50</f>
        <v>204357.50818181818</v>
      </c>
      <c r="CF51" s="711">
        <f>+CE$31</f>
        <v>4725.0290909090909</v>
      </c>
      <c r="CG51" s="711">
        <f t="shared" si="22"/>
        <v>199632.4790909091</v>
      </c>
      <c r="CH51" s="684">
        <f>+CE$28*CG51+CF51</f>
        <v>48245.48572007558</v>
      </c>
      <c r="CI51" s="710">
        <f>+CI30</f>
        <v>543960</v>
      </c>
      <c r="CJ51" s="711">
        <f>+CI$31/12*(12-$CE$32)</f>
        <v>9272.045454545454</v>
      </c>
      <c r="CK51" s="711">
        <f>+CI51-CJ51</f>
        <v>534687.95454545459</v>
      </c>
      <c r="CL51" s="684">
        <f t="shared" ref="CL51:CL52" si="23">+(((CI$28*CK51)*(12-CI$32)/12))+CJ53</f>
        <v>109498.99171351379</v>
      </c>
      <c r="CM51" s="967">
        <f>+R51+J51+F51+N51+V51+Z51+AD51+AH51+AL51+AP51+AT51+BV51+BZ51+CD51+CH51+CL51</f>
        <v>41361581.917760231</v>
      </c>
      <c r="CN51" s="543"/>
      <c r="CO51" s="707">
        <f>+CM51</f>
        <v>41361581.917760231</v>
      </c>
      <c r="CR51" s="710"/>
      <c r="CS51" s="711"/>
      <c r="CT51" s="711"/>
      <c r="CU51" s="684"/>
    </row>
    <row r="52" spans="1:99">
      <c r="A52" s="514" t="s">
        <v>608</v>
      </c>
      <c r="B52" s="474">
        <f t="shared" si="0"/>
        <v>2012</v>
      </c>
      <c r="C52" s="470">
        <f>+C51</f>
        <v>18166023.351704545</v>
      </c>
      <c r="D52" s="470">
        <f>+D51</f>
        <v>445791.98409090913</v>
      </c>
      <c r="E52" s="470">
        <f t="shared" si="6"/>
        <v>17720231.367613636</v>
      </c>
      <c r="F52" s="683">
        <f>+C$29*E52+D52</f>
        <v>4449489.8729905672</v>
      </c>
      <c r="G52" s="470">
        <f>+G51</f>
        <v>4691550.356590908</v>
      </c>
      <c r="H52" s="470">
        <f>+H51</f>
        <v>115840.74954545456</v>
      </c>
      <c r="I52" s="470">
        <f t="shared" si="7"/>
        <v>4575709.607045453</v>
      </c>
      <c r="J52" s="683">
        <f>+G$29*I52+H52</f>
        <v>1149673.6896405742</v>
      </c>
      <c r="K52" s="702">
        <f>+K51</f>
        <v>12140435.505170453</v>
      </c>
      <c r="L52" s="470">
        <f>+L51</f>
        <v>305419.76113636367</v>
      </c>
      <c r="M52" s="470">
        <f t="shared" si="8"/>
        <v>11835015.744034089</v>
      </c>
      <c r="N52" s="683">
        <f>+K$29*M52+L52</f>
        <v>2979415.7472206373</v>
      </c>
      <c r="O52" s="702">
        <f>+O51</f>
        <v>4991399.3106060605</v>
      </c>
      <c r="P52" s="470">
        <f>+P51</f>
        <v>119316.31818181818</v>
      </c>
      <c r="Q52" s="470">
        <f t="shared" si="11"/>
        <v>4872082.9924242422</v>
      </c>
      <c r="R52" s="683">
        <f>+O$29*Q52+P52</f>
        <v>1220111.6738769829</v>
      </c>
      <c r="S52" s="710">
        <f>+S51</f>
        <v>2342347.5024242415</v>
      </c>
      <c r="T52" s="711">
        <f>+T51</f>
        <v>58315.705454545445</v>
      </c>
      <c r="U52" s="711">
        <f t="shared" si="12"/>
        <v>2284031.7969696959</v>
      </c>
      <c r="V52" s="684">
        <f>+S$29*U52+T52</f>
        <v>574368.40781487327</v>
      </c>
      <c r="W52" s="710">
        <f>+W51</f>
        <v>29002782.837121211</v>
      </c>
      <c r="X52" s="711">
        <f>+X51</f>
        <v>693293.61363636365</v>
      </c>
      <c r="Y52" s="711">
        <f t="shared" si="13"/>
        <v>28309489.223484848</v>
      </c>
      <c r="Z52" s="684">
        <f>+W$29*Y52+X52</f>
        <v>7089521.7377817677</v>
      </c>
      <c r="AA52" s="710">
        <f>+AA51</f>
        <v>18897428.967803027</v>
      </c>
      <c r="AB52" s="711">
        <f>+AB51</f>
        <v>450833.29545454547</v>
      </c>
      <c r="AC52" s="711">
        <f t="shared" si="14"/>
        <v>18446595.672348481</v>
      </c>
      <c r="AD52" s="684">
        <f>+AA$29*AC52+AB52</f>
        <v>4618645.4768320117</v>
      </c>
      <c r="AE52" s="710">
        <f>+AE51</f>
        <v>190812.28409090912</v>
      </c>
      <c r="AF52" s="711">
        <f>+AF51</f>
        <v>4597.886363636364</v>
      </c>
      <c r="AG52" s="711">
        <f t="shared" si="15"/>
        <v>186214.39772727276</v>
      </c>
      <c r="AH52" s="684">
        <f>+AE$29*AG52+AF52</f>
        <v>46671.049834063742</v>
      </c>
      <c r="AI52" s="710">
        <f>+AI51</f>
        <v>12659281.662878787</v>
      </c>
      <c r="AJ52" s="711">
        <f>+AJ51</f>
        <v>295547.43181818182</v>
      </c>
      <c r="AK52" s="711">
        <f t="shared" si="19"/>
        <v>12363734.231060605</v>
      </c>
      <c r="AL52" s="684">
        <f>+AI$29*AK52+AJ52</f>
        <v>3089001.7390956599</v>
      </c>
      <c r="AM52" s="710">
        <f>+AM51</f>
        <v>4711843.9164772723</v>
      </c>
      <c r="AN52" s="711">
        <f>+AN51</f>
        <v>110866.91568181818</v>
      </c>
      <c r="AO52" s="711">
        <f t="shared" si="16"/>
        <v>4600977.0007954538</v>
      </c>
      <c r="AP52" s="684">
        <f>+AM$29*AO52+AN52</f>
        <v>1150408.754770196</v>
      </c>
      <c r="AQ52" s="710">
        <f>+AQ51</f>
        <v>38685853.143409088</v>
      </c>
      <c r="AR52" s="711">
        <f>+AR51</f>
        <v>904932.23727272719</v>
      </c>
      <c r="AS52" s="711">
        <f t="shared" si="17"/>
        <v>37780920.906136364</v>
      </c>
      <c r="AT52" s="684">
        <f>+AQ$29*AS52+AR52</f>
        <v>9441129.6567398068</v>
      </c>
      <c r="AU52" s="702">
        <f>+AU51</f>
        <v>26875000</v>
      </c>
      <c r="AV52" s="470">
        <f>+AV51</f>
        <v>750000</v>
      </c>
      <c r="AW52" s="470">
        <f t="shared" si="1"/>
        <v>26125000</v>
      </c>
      <c r="AX52" s="683">
        <f>+AU$29*AW52+AV52</f>
        <v>6756336.3104829304</v>
      </c>
      <c r="AY52" s="702">
        <f>+AY51</f>
        <v>17583333.333333332</v>
      </c>
      <c r="AZ52" s="470">
        <f>+AZ51</f>
        <v>500000</v>
      </c>
      <c r="BA52" s="470">
        <f t="shared" si="2"/>
        <v>17083333.333333332</v>
      </c>
      <c r="BB52" s="683">
        <f>+AY$29*BA52+AZ52</f>
        <v>4359797.5490907319</v>
      </c>
      <c r="BC52" s="702">
        <f>+BC51</f>
        <v>27250000</v>
      </c>
      <c r="BD52" s="470">
        <f>+BD51</f>
        <v>750000</v>
      </c>
      <c r="BE52" s="470">
        <f t="shared" si="4"/>
        <v>26500000</v>
      </c>
      <c r="BF52" s="683">
        <f>+BC$29*BE52+BD52</f>
        <v>6632234.8783229869</v>
      </c>
      <c r="BG52" s="702">
        <f>+BG51</f>
        <v>18238095.238095239</v>
      </c>
      <c r="BH52" s="470">
        <f>+BH51</f>
        <v>571428.57142857148</v>
      </c>
      <c r="BI52" s="470">
        <f t="shared" si="5"/>
        <v>17666666.666666668</v>
      </c>
      <c r="BJ52" s="683">
        <f>+BG$29*BI52+BH52</f>
        <v>2381542.9575375947</v>
      </c>
      <c r="BK52" s="702">
        <f>+BK51</f>
        <v>27200000</v>
      </c>
      <c r="BL52" s="470">
        <f>+BL51</f>
        <v>1200000</v>
      </c>
      <c r="BM52" s="470">
        <f t="shared" si="9"/>
        <v>26000000</v>
      </c>
      <c r="BN52" s="683">
        <f>+BK$29*BM52+BL52</f>
        <v>3863941.9267264865</v>
      </c>
      <c r="BO52" s="702">
        <f>+BO51</f>
        <v>18499999.999999996</v>
      </c>
      <c r="BP52" s="470">
        <f>+BP51</f>
        <v>666666.66666666663</v>
      </c>
      <c r="BQ52" s="470">
        <f t="shared" si="10"/>
        <v>17833333.333333328</v>
      </c>
      <c r="BR52" s="683">
        <f>+BO$29*BQ52+BP52</f>
        <v>4625151.7734626383</v>
      </c>
      <c r="BS52" s="710">
        <f>+BS51</f>
        <v>357368.11363636365</v>
      </c>
      <c r="BT52" s="711">
        <f>+BT51</f>
        <v>8310.886363636364</v>
      </c>
      <c r="BU52" s="711">
        <f t="shared" si="18"/>
        <v>349057.22727272729</v>
      </c>
      <c r="BV52" s="684">
        <f>+BS$29*BU52+BT52</f>
        <v>87176.655943324935</v>
      </c>
      <c r="BW52" s="710">
        <f>+BW51</f>
        <v>24948383.079545453</v>
      </c>
      <c r="BX52" s="711">
        <f>+BX51</f>
        <v>576841.22727272729</v>
      </c>
      <c r="BY52" s="711">
        <f t="shared" si="20"/>
        <v>24371541.852272727</v>
      </c>
      <c r="BZ52" s="684">
        <f>+BW$29*BY52+BX52</f>
        <v>5889907.6931995722</v>
      </c>
      <c r="CA52" s="710">
        <f>+CA51</f>
        <v>2354267.04</v>
      </c>
      <c r="CB52" s="711">
        <f>+CB51</f>
        <v>54433.919999999998</v>
      </c>
      <c r="CC52" s="711">
        <f t="shared" si="21"/>
        <v>2299833.12</v>
      </c>
      <c r="CD52" s="684">
        <f>+CA$29*CC52+CB52</f>
        <v>574056.76331085037</v>
      </c>
      <c r="CE52" s="710">
        <f>+CE51</f>
        <v>204357.50818181818</v>
      </c>
      <c r="CF52" s="711">
        <f>+CF51</f>
        <v>4725.0290909090909</v>
      </c>
      <c r="CG52" s="711">
        <f t="shared" si="22"/>
        <v>199632.4790909091</v>
      </c>
      <c r="CH52" s="684">
        <f>+CE$29*CG52+CF52</f>
        <v>49829.8653941675</v>
      </c>
      <c r="CI52" s="710">
        <f>+CI51</f>
        <v>543960</v>
      </c>
      <c r="CJ52" s="711">
        <f>+CJ51</f>
        <v>9272.045454545454</v>
      </c>
      <c r="CK52" s="711">
        <f t="shared" ref="CK52:CK113" si="24">+CI52-CJ52</f>
        <v>534687.95454545459</v>
      </c>
      <c r="CL52" s="684">
        <f t="shared" si="23"/>
        <v>109498.99171351379</v>
      </c>
      <c r="CM52" s="967">
        <f>+R52+J52+F52+N52+V52+Z52+AD52+AH52+AL52+AP52+AT52+BV52+BZ52+CD52+CH52+CL52</f>
        <v>42518907.776158579</v>
      </c>
      <c r="CN52" s="708">
        <f>+CM52</f>
        <v>42518907.776158579</v>
      </c>
      <c r="CO52" s="679"/>
      <c r="CP52" s="712">
        <f>+CN52-CO51</f>
        <v>1157325.8583983481</v>
      </c>
      <c r="CR52" s="710"/>
      <c r="CS52" s="711"/>
      <c r="CT52" s="711"/>
      <c r="CU52" s="684"/>
    </row>
    <row r="53" spans="1:99">
      <c r="A53" s="514" t="s">
        <v>609</v>
      </c>
      <c r="B53" s="474">
        <f t="shared" si="0"/>
        <v>2013</v>
      </c>
      <c r="C53" s="470">
        <f>+E52</f>
        <v>17720231.367613636</v>
      </c>
      <c r="D53" s="470">
        <f>+C$31</f>
        <v>445791.98409090913</v>
      </c>
      <c r="E53" s="470">
        <f t="shared" si="6"/>
        <v>17274439.383522727</v>
      </c>
      <c r="F53" s="683">
        <f>+C$28*E53+D53</f>
        <v>4211669.6278856033</v>
      </c>
      <c r="G53" s="470">
        <f>+I52</f>
        <v>4575709.607045453</v>
      </c>
      <c r="H53" s="470">
        <f>+G$31</f>
        <v>115840.74954545456</v>
      </c>
      <c r="I53" s="470">
        <f t="shared" si="7"/>
        <v>4459868.8574999981</v>
      </c>
      <c r="J53" s="683">
        <f>+G$28*I53+H53</f>
        <v>1088105.0327346209</v>
      </c>
      <c r="K53" s="702">
        <f>+M52</f>
        <v>11835015.744034089</v>
      </c>
      <c r="L53" s="470">
        <f>+K$31</f>
        <v>305419.76113636367</v>
      </c>
      <c r="M53" s="470">
        <f t="shared" si="8"/>
        <v>11529595.982897725</v>
      </c>
      <c r="N53" s="683">
        <f>+K$28*M53+L53</f>
        <v>2818904.96259506</v>
      </c>
      <c r="O53" s="702">
        <f>+Q52</f>
        <v>4872082.9924242422</v>
      </c>
      <c r="P53" s="470">
        <f>+O$31</f>
        <v>119316.31818181818</v>
      </c>
      <c r="Q53" s="470">
        <f t="shared" si="11"/>
        <v>4752766.6742424238</v>
      </c>
      <c r="R53" s="683">
        <f>+O$28*Q53+P53</f>
        <v>1155433.1707943773</v>
      </c>
      <c r="S53" s="710">
        <f>+U52</f>
        <v>2284031.7969696959</v>
      </c>
      <c r="T53" s="711">
        <f>+S$31</f>
        <v>58315.705454545445</v>
      </c>
      <c r="U53" s="711">
        <f t="shared" si="12"/>
        <v>2225716.0915151504</v>
      </c>
      <c r="V53" s="684">
        <f>+S$28*U53+T53</f>
        <v>543528.2373567957</v>
      </c>
      <c r="W53" s="710">
        <f>+Y52</f>
        <v>28309489.223484848</v>
      </c>
      <c r="X53" s="711">
        <f>+W$31</f>
        <v>693293.61363636365</v>
      </c>
      <c r="Y53" s="711">
        <f t="shared" si="13"/>
        <v>27616195.609848484</v>
      </c>
      <c r="Z53" s="684">
        <f>+W$28*Y53+X53</f>
        <v>6713703.9635658395</v>
      </c>
      <c r="AA53" s="710">
        <f>+AC52</f>
        <v>18446595.672348481</v>
      </c>
      <c r="AB53" s="711">
        <f>+AA$31</f>
        <v>450833.29545454547</v>
      </c>
      <c r="AC53" s="711">
        <f t="shared" si="14"/>
        <v>17995762.376893934</v>
      </c>
      <c r="AD53" s="684">
        <f>+AA$28*AC53+AB53</f>
        <v>4373961.4337158073</v>
      </c>
      <c r="AE53" s="710">
        <f>+AG52</f>
        <v>186214.39772727276</v>
      </c>
      <c r="AF53" s="711">
        <f>+AE$31</f>
        <v>4597.886363636364</v>
      </c>
      <c r="AG53" s="711">
        <f t="shared" si="15"/>
        <v>181616.51136363641</v>
      </c>
      <c r="AH53" s="684">
        <f>+AE$28*AG53+AF53</f>
        <v>44190.810029841523</v>
      </c>
      <c r="AI53" s="710">
        <f>+AK52</f>
        <v>12363734.231060605</v>
      </c>
      <c r="AJ53" s="711">
        <f>+AI$31</f>
        <v>295547.43181818182</v>
      </c>
      <c r="AK53" s="711">
        <f t="shared" si="19"/>
        <v>12068186.799242424</v>
      </c>
      <c r="AL53" s="684">
        <f>+AI$28*AK53+AJ53</f>
        <v>2926446.9857426547</v>
      </c>
      <c r="AM53" s="710">
        <f>+AO52</f>
        <v>4600977.0007954538</v>
      </c>
      <c r="AN53" s="711">
        <f>+AM$31</f>
        <v>110866.91568181818</v>
      </c>
      <c r="AO53" s="711">
        <f t="shared" si="16"/>
        <v>4490110.0851136353</v>
      </c>
      <c r="AP53" s="684">
        <f>+AM$28*AO53+AN53</f>
        <v>1089723.8737742137</v>
      </c>
      <c r="AQ53" s="710">
        <f>+AS52</f>
        <v>37780920.906136364</v>
      </c>
      <c r="AR53" s="711">
        <f>+AQ$31</f>
        <v>904932.23727272719</v>
      </c>
      <c r="AS53" s="711">
        <f t="shared" si="17"/>
        <v>36875988.668863639</v>
      </c>
      <c r="AT53" s="684">
        <f>+AQ$28*AS53+AR53</f>
        <v>8944004.2000573501</v>
      </c>
      <c r="AU53" s="702">
        <f>+AW52</f>
        <v>26125000</v>
      </c>
      <c r="AV53" s="470">
        <f>+AU$31</f>
        <v>750000</v>
      </c>
      <c r="AW53" s="470">
        <f t="shared" si="1"/>
        <v>25375000</v>
      </c>
      <c r="AX53" s="683">
        <f>+AU$28*AW53+AV53</f>
        <v>6281823.238352946</v>
      </c>
      <c r="AY53" s="702">
        <f>+BA52</f>
        <v>17083333.333333332</v>
      </c>
      <c r="AZ53" s="470">
        <f>+AY$31</f>
        <v>500000</v>
      </c>
      <c r="BA53" s="470">
        <f t="shared" si="2"/>
        <v>16583333.333333332</v>
      </c>
      <c r="BB53" s="683">
        <f>+AY$28*BA53+AZ53</f>
        <v>4115214.5301551274</v>
      </c>
      <c r="BC53" s="702">
        <f>+BE52</f>
        <v>26500000</v>
      </c>
      <c r="BD53" s="470">
        <f>+BC$31</f>
        <v>750000</v>
      </c>
      <c r="BE53" s="470">
        <f t="shared" si="4"/>
        <v>25750000</v>
      </c>
      <c r="BF53" s="683">
        <f>+BC$28*BE53+BD53</f>
        <v>6363574.3206931381</v>
      </c>
      <c r="BG53" s="702">
        <f>+BI52</f>
        <v>17666666.666666668</v>
      </c>
      <c r="BH53" s="470">
        <f>+BG$31</f>
        <v>571428.57142857148</v>
      </c>
      <c r="BI53" s="470">
        <f t="shared" si="5"/>
        <v>17095238.095238097</v>
      </c>
      <c r="BJ53" s="683">
        <f>+BG$28*BI53+BH53</f>
        <v>2322994.7833238258</v>
      </c>
      <c r="BK53" s="702">
        <f>+BM52</f>
        <v>26000000</v>
      </c>
      <c r="BL53" s="470">
        <f>+BK$31</f>
        <v>1200000</v>
      </c>
      <c r="BM53" s="470">
        <f t="shared" si="9"/>
        <v>24800000</v>
      </c>
      <c r="BN53" s="683">
        <f>+BK$28*BM53+BL53</f>
        <v>3740990.760877572</v>
      </c>
      <c r="BO53" s="702">
        <f>+BQ52</f>
        <v>17833333.333333328</v>
      </c>
      <c r="BP53" s="470">
        <f>+BO$31</f>
        <v>666666.66666666663</v>
      </c>
      <c r="BQ53" s="470">
        <f t="shared" si="10"/>
        <v>17166666.66666666</v>
      </c>
      <c r="BR53" s="683">
        <f>+BO$28*BQ53+BP53</f>
        <v>4409049.5471287575</v>
      </c>
      <c r="BS53" s="710">
        <f>+BU52</f>
        <v>349057.22727272729</v>
      </c>
      <c r="BT53" s="711">
        <f>+BS$31</f>
        <v>8310.886363636364</v>
      </c>
      <c r="BU53" s="711">
        <f t="shared" si="18"/>
        <v>340746.34090909094</v>
      </c>
      <c r="BV53" s="684">
        <f>+BS$28*BU53+BT53</f>
        <v>82594.572157711023</v>
      </c>
      <c r="BW53" s="710">
        <f>+BY52</f>
        <v>24371541.852272727</v>
      </c>
      <c r="BX53" s="711">
        <f>+BW$31</f>
        <v>576841.22727272729</v>
      </c>
      <c r="BY53" s="711">
        <f t="shared" si="20"/>
        <v>23794700.625</v>
      </c>
      <c r="BZ53" s="684">
        <f>+BW$28*BY53+BX53</f>
        <v>5764154.6407515993</v>
      </c>
      <c r="CA53" s="710">
        <f>+CC52</f>
        <v>2299833.12</v>
      </c>
      <c r="CB53" s="711">
        <f>+CA$31</f>
        <v>54433.919999999998</v>
      </c>
      <c r="CC53" s="711">
        <f t="shared" si="21"/>
        <v>2245399.2000000002</v>
      </c>
      <c r="CD53" s="684">
        <f>+CA$28*CC53+CB53</f>
        <v>543937.42636213265</v>
      </c>
      <c r="CE53" s="710">
        <f>+CG52</f>
        <v>199632.4790909091</v>
      </c>
      <c r="CF53" s="711">
        <f>+CE$31</f>
        <v>4725.0290909090909</v>
      </c>
      <c r="CG53" s="711">
        <f t="shared" si="22"/>
        <v>194907.45</v>
      </c>
      <c r="CH53" s="684">
        <f>+CE$28*CG53+CF53</f>
        <v>47215.415740687022</v>
      </c>
      <c r="CI53" s="710">
        <f>+CK52</f>
        <v>534687.95454545459</v>
      </c>
      <c r="CJ53" s="711">
        <f>+CI$31</f>
        <v>12362.727272727272</v>
      </c>
      <c r="CK53" s="711">
        <f t="shared" si="24"/>
        <v>522325.22727272729</v>
      </c>
      <c r="CL53" s="684">
        <f>+CI$28*CK53+CJ53</f>
        <v>126231.13437441227</v>
      </c>
      <c r="CM53" s="967">
        <f t="shared" ref="CM53:CM116" si="25">+R53+J53+F53+N53+V53+Z53+AD53+AH53+AL53+AP53+AT53+BV53+BZ53+CD53+CH53+CL53</f>
        <v>40473805.487638704</v>
      </c>
      <c r="CN53" s="543"/>
      <c r="CO53" s="707">
        <f>+CM53</f>
        <v>40473805.487638704</v>
      </c>
      <c r="CR53" s="710"/>
      <c r="CS53" s="711"/>
      <c r="CT53" s="711"/>
      <c r="CU53" s="684"/>
    </row>
    <row r="54" spans="1:99">
      <c r="A54" s="514" t="s">
        <v>608</v>
      </c>
      <c r="B54" s="474">
        <f t="shared" si="0"/>
        <v>2013</v>
      </c>
      <c r="C54" s="470">
        <f>+C53</f>
        <v>17720231.367613636</v>
      </c>
      <c r="D54" s="470">
        <f>+D53</f>
        <v>445791.98409090913</v>
      </c>
      <c r="E54" s="470">
        <f t="shared" si="6"/>
        <v>17274439.383522727</v>
      </c>
      <c r="F54" s="683">
        <f>+C$29*E54+D54</f>
        <v>4348767.9135213941</v>
      </c>
      <c r="G54" s="470">
        <f>+G53</f>
        <v>4575709.607045453</v>
      </c>
      <c r="H54" s="470">
        <f>+H53</f>
        <v>115840.74954545456</v>
      </c>
      <c r="I54" s="470">
        <f t="shared" si="7"/>
        <v>4459868.8574999981</v>
      </c>
      <c r="J54" s="683">
        <f>+G$29*I54+H54</f>
        <v>1123500.703815381</v>
      </c>
      <c r="K54" s="702">
        <f>+K53</f>
        <v>11835015.744034089</v>
      </c>
      <c r="L54" s="470">
        <f>+L53</f>
        <v>305419.76113636367</v>
      </c>
      <c r="M54" s="470">
        <f t="shared" si="8"/>
        <v>11529595.982897725</v>
      </c>
      <c r="N54" s="683">
        <f>+K$29*M54+L54</f>
        <v>2910409.3991926559</v>
      </c>
      <c r="O54" s="702">
        <f>+O53</f>
        <v>4872082.9924242422</v>
      </c>
      <c r="P54" s="470">
        <f>+P53</f>
        <v>119316.31818181818</v>
      </c>
      <c r="Q54" s="470">
        <f t="shared" si="11"/>
        <v>4752766.6742424238</v>
      </c>
      <c r="R54" s="683">
        <f>+O$29*Q54+P54</f>
        <v>1193153.4202681216</v>
      </c>
      <c r="S54" s="710">
        <f>+S53</f>
        <v>2284031.7969696959</v>
      </c>
      <c r="T54" s="711">
        <f>+T53</f>
        <v>58315.705454545445</v>
      </c>
      <c r="U54" s="711">
        <f t="shared" si="12"/>
        <v>2225716.0915151504</v>
      </c>
      <c r="V54" s="684">
        <f>+S$29*U54+T54</f>
        <v>561192.59413758828</v>
      </c>
      <c r="W54" s="710">
        <f>+W53</f>
        <v>28309489.223484848</v>
      </c>
      <c r="X54" s="711">
        <f>+X53</f>
        <v>693293.61363636365</v>
      </c>
      <c r="Y54" s="711">
        <f t="shared" si="13"/>
        <v>27616195.609848484</v>
      </c>
      <c r="Z54" s="684">
        <f>+W$29*Y54+X54</f>
        <v>6932879.4163741246</v>
      </c>
      <c r="AA54" s="710">
        <f>+AA53</f>
        <v>18446595.672348481</v>
      </c>
      <c r="AB54" s="711">
        <f>+AB53</f>
        <v>450833.29545454547</v>
      </c>
      <c r="AC54" s="711">
        <f t="shared" si="14"/>
        <v>17995762.376893934</v>
      </c>
      <c r="AD54" s="684">
        <f>+AA$29*AC54+AB54</f>
        <v>4516784.4866557801</v>
      </c>
      <c r="AE54" s="710">
        <f>+AE53</f>
        <v>186214.39772727276</v>
      </c>
      <c r="AF54" s="711">
        <f>+AF53</f>
        <v>4597.886363636364</v>
      </c>
      <c r="AG54" s="711">
        <f t="shared" si="15"/>
        <v>181616.51136363641</v>
      </c>
      <c r="AH54" s="684">
        <f>+AE$29*AG54+AF54</f>
        <v>45632.206291584051</v>
      </c>
      <c r="AI54" s="710">
        <f>+AI53</f>
        <v>12363734.231060605</v>
      </c>
      <c r="AJ54" s="711">
        <f>+AJ53</f>
        <v>295547.43181818182</v>
      </c>
      <c r="AK54" s="711">
        <f t="shared" si="19"/>
        <v>12068186.799242424</v>
      </c>
      <c r="AL54" s="684">
        <f>+AI$29*AK54+AJ54</f>
        <v>3022225.938921696</v>
      </c>
      <c r="AM54" s="710">
        <f>+AM53</f>
        <v>4600977.0007954538</v>
      </c>
      <c r="AN54" s="711">
        <f>+AN53</f>
        <v>110866.91568181818</v>
      </c>
      <c r="AO54" s="711">
        <f t="shared" si="16"/>
        <v>4490110.0851136353</v>
      </c>
      <c r="AP54" s="684">
        <f>+AM$29*AO54+AN54</f>
        <v>1125359.5538283074</v>
      </c>
      <c r="AQ54" s="710">
        <f>+AQ53</f>
        <v>37780920.906136364</v>
      </c>
      <c r="AR54" s="711">
        <f>+AR53</f>
        <v>904932.23727272719</v>
      </c>
      <c r="AS54" s="711">
        <f t="shared" si="17"/>
        <v>36875988.668863639</v>
      </c>
      <c r="AT54" s="684">
        <f>+AQ$29*AS54+AR54</f>
        <v>9236669.8383094575</v>
      </c>
      <c r="AU54" s="702">
        <f>+AU53</f>
        <v>26125000</v>
      </c>
      <c r="AV54" s="470">
        <f>+AV53</f>
        <v>750000</v>
      </c>
      <c r="AW54" s="470">
        <f t="shared" si="1"/>
        <v>25375000</v>
      </c>
      <c r="AX54" s="683">
        <f>+AU$29*AW54+AV54</f>
        <v>6583905.603004951</v>
      </c>
      <c r="AY54" s="702">
        <f>+AY53</f>
        <v>17083333.333333332</v>
      </c>
      <c r="AZ54" s="470">
        <f>+AZ53</f>
        <v>500000</v>
      </c>
      <c r="BA54" s="470">
        <f t="shared" si="2"/>
        <v>16583333.333333332</v>
      </c>
      <c r="BB54" s="683">
        <f>+AY$29*BA54+AZ54</f>
        <v>4246827.8647271004</v>
      </c>
      <c r="BC54" s="702">
        <f>+BC53</f>
        <v>26500000</v>
      </c>
      <c r="BD54" s="470">
        <f>+BD53</f>
        <v>750000</v>
      </c>
      <c r="BE54" s="470">
        <f t="shared" si="4"/>
        <v>25750000</v>
      </c>
      <c r="BF54" s="683">
        <f>+BC$29*BE54+BD54</f>
        <v>6465756.5327100726</v>
      </c>
      <c r="BG54" s="702">
        <f>+BG53</f>
        <v>17666666.666666668</v>
      </c>
      <c r="BH54" s="470">
        <f>+BH53</f>
        <v>571428.57142857148</v>
      </c>
      <c r="BI54" s="470">
        <f t="shared" si="5"/>
        <v>17095238.095238097</v>
      </c>
      <c r="BJ54" s="683">
        <f>+BG$29*BI54+BH54</f>
        <v>2322994.7833238258</v>
      </c>
      <c r="BK54" s="702">
        <f>+BK53</f>
        <v>26000000</v>
      </c>
      <c r="BL54" s="470">
        <f>+BL53</f>
        <v>1200000</v>
      </c>
      <c r="BM54" s="470">
        <f t="shared" si="9"/>
        <v>24800000</v>
      </c>
      <c r="BN54" s="683">
        <f>+BK$29*BM54+BL54</f>
        <v>3740990.760877572</v>
      </c>
      <c r="BO54" s="702">
        <f>+BO53</f>
        <v>17833333.333333328</v>
      </c>
      <c r="BP54" s="470">
        <f>+BP53</f>
        <v>666666.66666666663</v>
      </c>
      <c r="BQ54" s="470">
        <f t="shared" si="10"/>
        <v>17166666.66666666</v>
      </c>
      <c r="BR54" s="683">
        <f>+BO$29*BQ54+BP54</f>
        <v>4477171.0218067141</v>
      </c>
      <c r="BS54" s="710">
        <f>+BS53</f>
        <v>349057.22727272729</v>
      </c>
      <c r="BT54" s="711">
        <f>+BT53</f>
        <v>8310.886363636364</v>
      </c>
      <c r="BU54" s="711">
        <f t="shared" si="18"/>
        <v>340746.34090909094</v>
      </c>
      <c r="BV54" s="684">
        <f>+BS$29*BU54+BT54</f>
        <v>85298.899524760913</v>
      </c>
      <c r="BW54" s="710">
        <f>+BW53</f>
        <v>24371541.852272727</v>
      </c>
      <c r="BX54" s="711">
        <f>+BX53</f>
        <v>576841.22727272729</v>
      </c>
      <c r="BY54" s="711">
        <f t="shared" si="20"/>
        <v>23794700.625</v>
      </c>
      <c r="BZ54" s="684">
        <f>+BW$29*BY54+BX54</f>
        <v>5764154.6407515993</v>
      </c>
      <c r="CA54" s="710">
        <f>+CA53</f>
        <v>2299833.12</v>
      </c>
      <c r="CB54" s="711">
        <f>+CB53</f>
        <v>54433.919999999998</v>
      </c>
      <c r="CC54" s="711">
        <f t="shared" si="21"/>
        <v>2245399.2000000002</v>
      </c>
      <c r="CD54" s="684">
        <f>+CA$29*CC54+CB54</f>
        <v>561757.99778870004</v>
      </c>
      <c r="CE54" s="710">
        <f>+CE53</f>
        <v>199632.4790909091</v>
      </c>
      <c r="CF54" s="711">
        <f>+CF53</f>
        <v>4725.0290909090909</v>
      </c>
      <c r="CG54" s="711">
        <f t="shared" si="22"/>
        <v>194907.45</v>
      </c>
      <c r="CH54" s="684">
        <f>+CE$29*CG54+CF54</f>
        <v>48762.295304149549</v>
      </c>
      <c r="CI54" s="710">
        <f>+CI53</f>
        <v>534687.95454545459</v>
      </c>
      <c r="CJ54" s="711">
        <f>+CJ53</f>
        <v>12362.727272727272</v>
      </c>
      <c r="CK54" s="711">
        <f t="shared" si="24"/>
        <v>522325.22727272729</v>
      </c>
      <c r="CL54" s="684">
        <f>+CI$29*CK54+CJ54</f>
        <v>126231.13437441227</v>
      </c>
      <c r="CM54" s="967">
        <f t="shared" si="25"/>
        <v>41602780.439059705</v>
      </c>
      <c r="CN54" s="708">
        <f>+CM54</f>
        <v>41602780.439059705</v>
      </c>
      <c r="CO54" s="679"/>
      <c r="CP54" s="712">
        <f>+CN54-CO53</f>
        <v>1128974.9514210001</v>
      </c>
      <c r="CR54" s="710"/>
      <c r="CS54" s="711"/>
      <c r="CT54" s="711"/>
      <c r="CU54" s="684"/>
    </row>
    <row r="55" spans="1:99">
      <c r="A55" s="514" t="s">
        <v>609</v>
      </c>
      <c r="B55" s="474">
        <f t="shared" si="0"/>
        <v>2014</v>
      </c>
      <c r="C55" s="470">
        <f>+E54</f>
        <v>17274439.383522727</v>
      </c>
      <c r="D55" s="470">
        <f>+C$31</f>
        <v>445791.98409090913</v>
      </c>
      <c r="E55" s="470">
        <f t="shared" si="6"/>
        <v>16828647.399431817</v>
      </c>
      <c r="F55" s="683">
        <f>+C$28*E55+D55</f>
        <v>4114485.6886909017</v>
      </c>
      <c r="G55" s="470">
        <f>+I54</f>
        <v>4459868.8574999981</v>
      </c>
      <c r="H55" s="470">
        <f>+G$31</f>
        <v>115840.74954545456</v>
      </c>
      <c r="I55" s="470">
        <f t="shared" si="7"/>
        <v>4344028.1079545431</v>
      </c>
      <c r="J55" s="683">
        <f>+G$28*I55+H55</f>
        <v>1062851.4149894477</v>
      </c>
      <c r="K55" s="702">
        <f>+M54</f>
        <v>11529595.982897725</v>
      </c>
      <c r="L55" s="470">
        <f>+K$31</f>
        <v>305419.76113636367</v>
      </c>
      <c r="M55" s="470">
        <f t="shared" si="8"/>
        <v>11224176.221761361</v>
      </c>
      <c r="N55" s="683">
        <f>+K$28*M55+L55</f>
        <v>2752322.5731524453</v>
      </c>
      <c r="O55" s="702">
        <f>+Q54</f>
        <v>4752766.6742424238</v>
      </c>
      <c r="P55" s="470">
        <f>+O$31</f>
        <v>119316.31818181818</v>
      </c>
      <c r="Q55" s="470">
        <f t="shared" si="11"/>
        <v>4633450.3560606055</v>
      </c>
      <c r="R55" s="683">
        <f>+O$28*Q55+P55</f>
        <v>1129421.8690551498</v>
      </c>
      <c r="S55" s="710">
        <f>+U54</f>
        <v>2225716.0915151504</v>
      </c>
      <c r="T55" s="711">
        <f>+S$31</f>
        <v>58315.705454545445</v>
      </c>
      <c r="U55" s="711">
        <f t="shared" si="12"/>
        <v>2167400.3860606048</v>
      </c>
      <c r="V55" s="684">
        <f>+S$28*U55+T55</f>
        <v>530815.24525455339</v>
      </c>
      <c r="W55" s="710">
        <f>+Y54</f>
        <v>27616195.609848484</v>
      </c>
      <c r="X55" s="711">
        <f>+W$31</f>
        <v>693293.61363636365</v>
      </c>
      <c r="Y55" s="711">
        <f t="shared" si="13"/>
        <v>26922901.996212121</v>
      </c>
      <c r="Z55" s="684">
        <f>+W$28*Y55+X55</f>
        <v>6562563.9547809996</v>
      </c>
      <c r="AA55" s="710">
        <f>+AC54</f>
        <v>17995762.376893934</v>
      </c>
      <c r="AB55" s="711">
        <f>+AA$31</f>
        <v>450833.29545454547</v>
      </c>
      <c r="AC55" s="711">
        <f t="shared" si="14"/>
        <v>17544929.081439387</v>
      </c>
      <c r="AD55" s="684">
        <f>+AA$28*AC55+AB55</f>
        <v>4275678.4740933953</v>
      </c>
      <c r="AE55" s="710">
        <f>+AG54</f>
        <v>181616.51136363641</v>
      </c>
      <c r="AF55" s="711">
        <f>+AE$31</f>
        <v>4597.886363636364</v>
      </c>
      <c r="AG55" s="711">
        <f t="shared" si="15"/>
        <v>177018.62500000006</v>
      </c>
      <c r="AH55" s="684">
        <f>+AE$28*AG55+AF55</f>
        <v>43188.457531962908</v>
      </c>
      <c r="AI55" s="710">
        <f>+AK54</f>
        <v>12068186.799242424</v>
      </c>
      <c r="AJ55" s="711">
        <f>+AI$31</f>
        <v>295547.43181818182</v>
      </c>
      <c r="AK55" s="711">
        <f t="shared" si="19"/>
        <v>11772639.367424242</v>
      </c>
      <c r="AL55" s="684">
        <f>+AI$28*AK55+AJ55</f>
        <v>2862016.7925853208</v>
      </c>
      <c r="AM55" s="710">
        <f>+AO54</f>
        <v>4490110.0851136353</v>
      </c>
      <c r="AN55" s="711">
        <f>+AM$31</f>
        <v>110866.91568181818</v>
      </c>
      <c r="AO55" s="711">
        <f t="shared" si="16"/>
        <v>4379243.1694318168</v>
      </c>
      <c r="AP55" s="684">
        <f>+AM$28*AO55+AN55</f>
        <v>1065554.5661669939</v>
      </c>
      <c r="AQ55" s="710">
        <f>+AS54</f>
        <v>36875988.668863639</v>
      </c>
      <c r="AR55" s="711">
        <f>+AQ$31</f>
        <v>904932.23727272719</v>
      </c>
      <c r="AS55" s="711">
        <f t="shared" si="17"/>
        <v>35971056.431590915</v>
      </c>
      <c r="AT55" s="684">
        <f>+AQ$28*AS55+AR55</f>
        <v>8746726.3604798131</v>
      </c>
      <c r="AU55" s="702">
        <f>+AW54</f>
        <v>25375000</v>
      </c>
      <c r="AV55" s="470">
        <f>+AU$31</f>
        <v>750000</v>
      </c>
      <c r="AW55" s="470">
        <f t="shared" si="1"/>
        <v>24625000</v>
      </c>
      <c r="AX55" s="683">
        <f>+AU$28*AW55+AV55</f>
        <v>6118321.0736725638</v>
      </c>
      <c r="AY55" s="702">
        <f>+BA54</f>
        <v>16583333.333333332</v>
      </c>
      <c r="AZ55" s="470">
        <f>+AY$31</f>
        <v>500000</v>
      </c>
      <c r="BA55" s="470">
        <f t="shared" si="2"/>
        <v>16083333.333333332</v>
      </c>
      <c r="BB55" s="683">
        <f>+AY$28*BA55+AZ55</f>
        <v>4006213.0870348723</v>
      </c>
      <c r="BC55" s="702">
        <f>+BE54</f>
        <v>25750000</v>
      </c>
      <c r="BD55" s="470">
        <f>+BC$31</f>
        <v>750000</v>
      </c>
      <c r="BE55" s="470">
        <f t="shared" si="4"/>
        <v>25000000</v>
      </c>
      <c r="BF55" s="683">
        <f>+BC$28*BE55+BD55</f>
        <v>6200072.1560127549</v>
      </c>
      <c r="BG55" s="702">
        <f>+BI54</f>
        <v>17095238.095238097</v>
      </c>
      <c r="BH55" s="470">
        <f>+BG$31</f>
        <v>571428.57142857148</v>
      </c>
      <c r="BI55" s="470">
        <f t="shared" si="5"/>
        <v>16523809.523809526</v>
      </c>
      <c r="BJ55" s="683">
        <f>+BG$28*BI55+BH55</f>
        <v>2264446.6091100569</v>
      </c>
      <c r="BK55" s="702">
        <f>+BM54</f>
        <v>24800000</v>
      </c>
      <c r="BL55" s="470">
        <f>+BK$31</f>
        <v>1200000</v>
      </c>
      <c r="BM55" s="470">
        <f t="shared" si="9"/>
        <v>23600000</v>
      </c>
      <c r="BN55" s="683">
        <f>+BK$28*BM55+BL55</f>
        <v>3618039.595028657</v>
      </c>
      <c r="BO55" s="702">
        <f>+BQ54</f>
        <v>17166666.66666666</v>
      </c>
      <c r="BP55" s="470">
        <f>+BO$31</f>
        <v>666666.66666666663</v>
      </c>
      <c r="BQ55" s="470">
        <f t="shared" si="10"/>
        <v>16499999.999999994</v>
      </c>
      <c r="BR55" s="683">
        <f>+BO$28*BQ55+BP55</f>
        <v>4263714.2896350836</v>
      </c>
      <c r="BS55" s="710">
        <f>+BU54</f>
        <v>340746.34090909094</v>
      </c>
      <c r="BT55" s="711">
        <f>+BS$31</f>
        <v>8310.886363636364</v>
      </c>
      <c r="BU55" s="711">
        <f t="shared" si="18"/>
        <v>332435.45454545459</v>
      </c>
      <c r="BV55" s="684">
        <f>+BS$28*BU55+BT55</f>
        <v>80782.774943221404</v>
      </c>
      <c r="BW55" s="710">
        <f>+BY54</f>
        <v>23794700.625</v>
      </c>
      <c r="BX55" s="711">
        <f>+BW$31</f>
        <v>576841.22727272729</v>
      </c>
      <c r="BY55" s="711">
        <f t="shared" si="20"/>
        <v>23217859.397727273</v>
      </c>
      <c r="BZ55" s="684">
        <f>+BW$28*BY55+BX55</f>
        <v>5638401.5883036274</v>
      </c>
      <c r="CA55" s="710">
        <f>+CC54</f>
        <v>2245399.2000000002</v>
      </c>
      <c r="CB55" s="711">
        <f>+CA$31</f>
        <v>54433.919999999998</v>
      </c>
      <c r="CC55" s="711">
        <f t="shared" si="21"/>
        <v>2190965.2800000003</v>
      </c>
      <c r="CD55" s="684">
        <f>+CA$28*CC55+CB55</f>
        <v>532070.67469274765</v>
      </c>
      <c r="CE55" s="710">
        <f>+CG54</f>
        <v>194907.45</v>
      </c>
      <c r="CF55" s="711">
        <f>+CE$31</f>
        <v>4725.0290909090909</v>
      </c>
      <c r="CG55" s="711">
        <f t="shared" si="22"/>
        <v>190182.42090909093</v>
      </c>
      <c r="CH55" s="684">
        <f>+CE$28*CG55+CF55</f>
        <v>46185.345761298471</v>
      </c>
      <c r="CI55" s="710">
        <f>+CK54</f>
        <v>522325.22727272729</v>
      </c>
      <c r="CJ55" s="711">
        <f>+CI$31</f>
        <v>12362.727272727272</v>
      </c>
      <c r="CK55" s="711">
        <f t="shared" si="24"/>
        <v>509962.5</v>
      </c>
      <c r="CL55" s="684">
        <f>+CI$28*CK55+CJ55</f>
        <v>123536.02414715345</v>
      </c>
      <c r="CM55" s="967">
        <f t="shared" si="25"/>
        <v>39566601.804629035</v>
      </c>
      <c r="CN55" s="543"/>
      <c r="CO55" s="707">
        <f>+CM55</f>
        <v>39566601.804629035</v>
      </c>
      <c r="CR55" s="710">
        <f>+CR30</f>
        <v>12707126</v>
      </c>
      <c r="CS55" s="711">
        <f>+CR$31/12*(12-$CR$32)</f>
        <v>1058927.1666666667</v>
      </c>
      <c r="CT55" s="711">
        <f>+CR55-CS55</f>
        <v>11648198.833333334</v>
      </c>
      <c r="CU55" s="684">
        <f>+(((CR$28*CT55)*(12-CR$32)/12))+CS55</f>
        <v>3222576.5750494935</v>
      </c>
    </row>
    <row r="56" spans="1:99">
      <c r="A56" s="514" t="s">
        <v>608</v>
      </c>
      <c r="B56" s="474">
        <f t="shared" si="0"/>
        <v>2014</v>
      </c>
      <c r="C56" s="470">
        <f>+C55</f>
        <v>17274439.383522727</v>
      </c>
      <c r="D56" s="470">
        <f>+D55</f>
        <v>445791.98409090913</v>
      </c>
      <c r="E56" s="470">
        <f t="shared" si="6"/>
        <v>16828647.399431817</v>
      </c>
      <c r="F56" s="683">
        <f>+C$29*E56+D56</f>
        <v>4248045.9540522201</v>
      </c>
      <c r="G56" s="470">
        <f>+G55</f>
        <v>4459868.8574999981</v>
      </c>
      <c r="H56" s="470">
        <f>+H55</f>
        <v>115840.74954545456</v>
      </c>
      <c r="I56" s="470">
        <f t="shared" si="7"/>
        <v>4344028.1079545431</v>
      </c>
      <c r="J56" s="683">
        <f>+G$29*I56+H56</f>
        <v>1097327.7179901882</v>
      </c>
      <c r="K56" s="702">
        <f>+K55</f>
        <v>11529595.982897725</v>
      </c>
      <c r="L56" s="470">
        <f>+L55</f>
        <v>305419.76113636367</v>
      </c>
      <c r="M56" s="470">
        <f t="shared" si="8"/>
        <v>11224176.221761361</v>
      </c>
      <c r="N56" s="683">
        <f>+K$29*M56+L56</f>
        <v>2841403.0511646746</v>
      </c>
      <c r="O56" s="702">
        <f>+O55</f>
        <v>4752766.6742424238</v>
      </c>
      <c r="P56" s="470">
        <f>+P55</f>
        <v>119316.31818181818</v>
      </c>
      <c r="Q56" s="470">
        <f t="shared" si="11"/>
        <v>4633450.3560606055</v>
      </c>
      <c r="R56" s="683">
        <f>+O$29*Q56+P56</f>
        <v>1166195.1666592606</v>
      </c>
      <c r="S56" s="710">
        <f>+S55</f>
        <v>2225716.0915151504</v>
      </c>
      <c r="T56" s="711">
        <f>+T55</f>
        <v>58315.705454545445</v>
      </c>
      <c r="U56" s="711">
        <f t="shared" si="12"/>
        <v>2167400.3860606048</v>
      </c>
      <c r="V56" s="684">
        <f>+S$29*U56+T56</f>
        <v>548016.7804603033</v>
      </c>
      <c r="W56" s="710">
        <f>+W55</f>
        <v>27616195.609848484</v>
      </c>
      <c r="X56" s="711">
        <f>+X55</f>
        <v>693293.61363636365</v>
      </c>
      <c r="Y56" s="711">
        <f t="shared" si="13"/>
        <v>26922901.996212121</v>
      </c>
      <c r="Z56" s="684">
        <f>+W$29*Y56+X56</f>
        <v>6776237.0949664824</v>
      </c>
      <c r="AA56" s="710">
        <f>+AA55</f>
        <v>17995762.376893934</v>
      </c>
      <c r="AB56" s="711">
        <f>+AB55</f>
        <v>450833.29545454547</v>
      </c>
      <c r="AC56" s="711">
        <f t="shared" si="14"/>
        <v>17544929.081439387</v>
      </c>
      <c r="AD56" s="684">
        <f>+AA$29*AC56+AB56</f>
        <v>4414923.4964795485</v>
      </c>
      <c r="AE56" s="710">
        <f>+AE55</f>
        <v>181616.51136363641</v>
      </c>
      <c r="AF56" s="711">
        <f>+AF55</f>
        <v>4597.886363636364</v>
      </c>
      <c r="AG56" s="711">
        <f t="shared" si="15"/>
        <v>177018.62500000006</v>
      </c>
      <c r="AH56" s="684">
        <f>+AE$29*AG56+AF56</f>
        <v>44593.362749104359</v>
      </c>
      <c r="AI56" s="710">
        <f>+AI55</f>
        <v>12068186.799242424</v>
      </c>
      <c r="AJ56" s="711">
        <f>+AJ55</f>
        <v>295547.43181818182</v>
      </c>
      <c r="AK56" s="711">
        <f t="shared" si="19"/>
        <v>11772639.367424242</v>
      </c>
      <c r="AL56" s="684">
        <f>+AI$29*AK56+AJ56</f>
        <v>2955450.1387477326</v>
      </c>
      <c r="AM56" s="710">
        <f>+AM55</f>
        <v>4490110.0851136353</v>
      </c>
      <c r="AN56" s="711">
        <f>+AN55</f>
        <v>110866.91568181818</v>
      </c>
      <c r="AO56" s="711">
        <f t="shared" si="16"/>
        <v>4379243.1694318168</v>
      </c>
      <c r="AP56" s="684">
        <f>+AM$29*AO56+AN56</f>
        <v>1100310.3528864186</v>
      </c>
      <c r="AQ56" s="710">
        <f>+AQ55</f>
        <v>36875988.668863639</v>
      </c>
      <c r="AR56" s="711">
        <f>+AR55</f>
        <v>904932.23727272719</v>
      </c>
      <c r="AS56" s="711">
        <f t="shared" si="17"/>
        <v>35971056.431590915</v>
      </c>
      <c r="AT56" s="684">
        <f>+AQ$29*AS56+AR56</f>
        <v>9032210.0198791102</v>
      </c>
      <c r="AU56" s="702">
        <f>+AU55</f>
        <v>25375000</v>
      </c>
      <c r="AV56" s="470">
        <f>+AV55</f>
        <v>750000</v>
      </c>
      <c r="AW56" s="470">
        <f t="shared" si="1"/>
        <v>24625000</v>
      </c>
      <c r="AX56" s="683">
        <f>+AU$29*AW56+AV56</f>
        <v>6411474.8955269726</v>
      </c>
      <c r="AY56" s="702">
        <f>+AY55</f>
        <v>16583333.333333332</v>
      </c>
      <c r="AZ56" s="470">
        <f>+AZ55</f>
        <v>500000</v>
      </c>
      <c r="BA56" s="470">
        <f t="shared" si="2"/>
        <v>16083333.333333332</v>
      </c>
      <c r="BB56" s="683">
        <f>+AY$29*BA56+AZ56</f>
        <v>4133858.1803634698</v>
      </c>
      <c r="BC56" s="702">
        <f>+BC55</f>
        <v>25750000</v>
      </c>
      <c r="BD56" s="470">
        <f>+BD55</f>
        <v>750000</v>
      </c>
      <c r="BE56" s="470">
        <f t="shared" si="4"/>
        <v>25000000</v>
      </c>
      <c r="BF56" s="683">
        <f>+BC$29*BE56+BD56</f>
        <v>6299278.1870971574</v>
      </c>
      <c r="BG56" s="702">
        <f>+BG55</f>
        <v>17095238.095238097</v>
      </c>
      <c r="BH56" s="470">
        <f>+BH55</f>
        <v>571428.57142857148</v>
      </c>
      <c r="BI56" s="470">
        <f t="shared" si="5"/>
        <v>16523809.523809526</v>
      </c>
      <c r="BJ56" s="683">
        <f>+BG$29*BI56+BH56</f>
        <v>2264446.6091100569</v>
      </c>
      <c r="BK56" s="702">
        <f>+BK55</f>
        <v>24800000</v>
      </c>
      <c r="BL56" s="470">
        <f>+BL55</f>
        <v>1200000</v>
      </c>
      <c r="BM56" s="470">
        <f t="shared" si="9"/>
        <v>23600000</v>
      </c>
      <c r="BN56" s="683">
        <f>+BK$29*BM56+BL56</f>
        <v>3618039.595028657</v>
      </c>
      <c r="BO56" s="702">
        <f>+BO55</f>
        <v>17166666.66666666</v>
      </c>
      <c r="BP56" s="470">
        <f>+BP55</f>
        <v>666666.66666666663</v>
      </c>
      <c r="BQ56" s="470">
        <f t="shared" si="10"/>
        <v>16499999.999999994</v>
      </c>
      <c r="BR56" s="683">
        <f>+BO$29*BQ56+BP56</f>
        <v>4329190.27015079</v>
      </c>
      <c r="BS56" s="710">
        <f>+BS55</f>
        <v>340746.34090909094</v>
      </c>
      <c r="BT56" s="711">
        <f>+BT55</f>
        <v>8310.886363636364</v>
      </c>
      <c r="BU56" s="711">
        <f t="shared" si="18"/>
        <v>332435.45454545459</v>
      </c>
      <c r="BV56" s="684">
        <f>+BS$29*BU56+BT56</f>
        <v>83421.143106196905</v>
      </c>
      <c r="BW56" s="710">
        <f>+BW55</f>
        <v>23794700.625</v>
      </c>
      <c r="BX56" s="711">
        <f>+BX55</f>
        <v>576841.22727272729</v>
      </c>
      <c r="BY56" s="711">
        <f t="shared" si="20"/>
        <v>23217859.397727273</v>
      </c>
      <c r="BZ56" s="684">
        <f>+BW$29*BY56+BX56</f>
        <v>5638401.5883036274</v>
      </c>
      <c r="CA56" s="710">
        <f>+CA55</f>
        <v>2245399.2000000002</v>
      </c>
      <c r="CB56" s="711">
        <f>+CB55</f>
        <v>54433.919999999998</v>
      </c>
      <c r="CC56" s="711">
        <f t="shared" si="21"/>
        <v>2190965.2800000003</v>
      </c>
      <c r="CD56" s="684">
        <f>+CA$29*CC56+CB56</f>
        <v>549459.23226654972</v>
      </c>
      <c r="CE56" s="710">
        <f>+CE55</f>
        <v>194907.45</v>
      </c>
      <c r="CF56" s="711">
        <f>+CF55</f>
        <v>4725.0290909090909</v>
      </c>
      <c r="CG56" s="711">
        <f t="shared" si="22"/>
        <v>190182.42090909093</v>
      </c>
      <c r="CH56" s="684">
        <f>+CE$29*CG56+CF56</f>
        <v>47694.725214131606</v>
      </c>
      <c r="CI56" s="710">
        <f>+CI55</f>
        <v>522325.22727272729</v>
      </c>
      <c r="CJ56" s="711">
        <f>+CJ55</f>
        <v>12362.727272727272</v>
      </c>
      <c r="CK56" s="711">
        <f t="shared" si="24"/>
        <v>509962.5</v>
      </c>
      <c r="CL56" s="684">
        <f>+CI$29*CK56+CJ56</f>
        <v>123536.02414715345</v>
      </c>
      <c r="CM56" s="967">
        <f t="shared" si="25"/>
        <v>40667225.849072702</v>
      </c>
      <c r="CN56" s="708">
        <f>+CM56</f>
        <v>40667225.849072702</v>
      </c>
      <c r="CO56" s="679"/>
      <c r="CP56" s="712">
        <f>+CN56-CO55</f>
        <v>1100624.0444436669</v>
      </c>
      <c r="CR56" s="710">
        <f>+CR55</f>
        <v>12707126</v>
      </c>
      <c r="CS56" s="711">
        <f>+CS55</f>
        <v>1058927.1666666667</v>
      </c>
      <c r="CT56" s="711">
        <f t="shared" ref="CT56:CT76" si="26">+CR56-CS56</f>
        <v>11648198.833333334</v>
      </c>
      <c r="CU56" s="684">
        <f>+(((CR$29*CT56)*(12-CR$32)/12))+CS56</f>
        <v>3222576.5750494935</v>
      </c>
    </row>
    <row r="57" spans="1:99">
      <c r="A57" s="514" t="s">
        <v>609</v>
      </c>
      <c r="B57" s="474">
        <f t="shared" si="0"/>
        <v>2015</v>
      </c>
      <c r="C57" s="470">
        <f>+E56</f>
        <v>16828647.399431817</v>
      </c>
      <c r="D57" s="470">
        <f>+C$31</f>
        <v>445791.98409090913</v>
      </c>
      <c r="E57" s="470">
        <f t="shared" si="6"/>
        <v>16382855.415340908</v>
      </c>
      <c r="F57" s="683">
        <f>+C$28*E57+D57</f>
        <v>4017301.7494961992</v>
      </c>
      <c r="G57" s="470">
        <f>+I56</f>
        <v>4344028.1079545431</v>
      </c>
      <c r="H57" s="470">
        <f>+G$31</f>
        <v>115840.74954545456</v>
      </c>
      <c r="I57" s="470">
        <f t="shared" si="7"/>
        <v>4228187.3584090881</v>
      </c>
      <c r="J57" s="683">
        <f>+G$28*I57+H57</f>
        <v>1037597.7972442743</v>
      </c>
      <c r="K57" s="702">
        <f>+M56</f>
        <v>11224176.221761361</v>
      </c>
      <c r="L57" s="470">
        <f>+K$31</f>
        <v>305419.76113636367</v>
      </c>
      <c r="M57" s="470">
        <f t="shared" si="8"/>
        <v>10918756.460624997</v>
      </c>
      <c r="N57" s="683">
        <f>+K$28*M57+L57</f>
        <v>2685740.1837098305</v>
      </c>
      <c r="O57" s="702">
        <f>+Q56</f>
        <v>4633450.3560606055</v>
      </c>
      <c r="P57" s="470">
        <f>+O$31</f>
        <v>119316.31818181818</v>
      </c>
      <c r="Q57" s="470">
        <f t="shared" si="11"/>
        <v>4514134.0378787871</v>
      </c>
      <c r="R57" s="683">
        <f>+O$28*Q57+P57</f>
        <v>1103410.5673159224</v>
      </c>
      <c r="S57" s="710">
        <f>+U56</f>
        <v>2167400.3860606048</v>
      </c>
      <c r="T57" s="711">
        <f>+S$31</f>
        <v>58315.705454545445</v>
      </c>
      <c r="U57" s="711">
        <f t="shared" si="12"/>
        <v>2109084.6806060593</v>
      </c>
      <c r="V57" s="684">
        <f>+S$28*U57+T57</f>
        <v>518102.25315231096</v>
      </c>
      <c r="W57" s="710">
        <f>+Y56</f>
        <v>26922901.996212121</v>
      </c>
      <c r="X57" s="711">
        <f>+W$31</f>
        <v>693293.61363636365</v>
      </c>
      <c r="Y57" s="711">
        <f t="shared" si="13"/>
        <v>26229608.382575758</v>
      </c>
      <c r="Z57" s="684">
        <f>+W$28*Y57+X57</f>
        <v>6411423.9459961588</v>
      </c>
      <c r="AA57" s="710">
        <f>+AC56</f>
        <v>17544929.081439387</v>
      </c>
      <c r="AB57" s="711">
        <f>+AA$31</f>
        <v>450833.29545454547</v>
      </c>
      <c r="AC57" s="711">
        <f t="shared" si="14"/>
        <v>17094095.78598484</v>
      </c>
      <c r="AD57" s="684">
        <f>+AA$28*AC57+AB57</f>
        <v>4177395.5144709833</v>
      </c>
      <c r="AE57" s="710">
        <f>+AG56</f>
        <v>177018.62500000006</v>
      </c>
      <c r="AF57" s="711">
        <f>+AE$31</f>
        <v>4597.886363636364</v>
      </c>
      <c r="AG57" s="711">
        <f t="shared" si="15"/>
        <v>172420.73863636371</v>
      </c>
      <c r="AH57" s="684">
        <f>+AE$28*AG57+AF57</f>
        <v>42186.105034084307</v>
      </c>
      <c r="AI57" s="710">
        <f>+AK56</f>
        <v>11772639.367424242</v>
      </c>
      <c r="AJ57" s="711">
        <f>+AI$31</f>
        <v>295547.43181818182</v>
      </c>
      <c r="AK57" s="711">
        <f t="shared" si="19"/>
        <v>11477091.935606061</v>
      </c>
      <c r="AL57" s="684">
        <f>+AI$28*AK57+AJ57</f>
        <v>2797586.5994279869</v>
      </c>
      <c r="AM57" s="710">
        <f>+AO56</f>
        <v>4379243.1694318168</v>
      </c>
      <c r="AN57" s="711">
        <f>+AM$31</f>
        <v>110866.91568181818</v>
      </c>
      <c r="AO57" s="711">
        <f t="shared" si="16"/>
        <v>4268376.2537499983</v>
      </c>
      <c r="AP57" s="684">
        <f>+AM$28*AO57+AN57</f>
        <v>1041385.2585597741</v>
      </c>
      <c r="AQ57" s="710">
        <f>+AS56</f>
        <v>35971056.431590915</v>
      </c>
      <c r="AR57" s="711">
        <f>+AQ$31</f>
        <v>904932.23727272719</v>
      </c>
      <c r="AS57" s="711">
        <f t="shared" si="17"/>
        <v>35066124.19431819</v>
      </c>
      <c r="AT57" s="684">
        <f>+AQ$28*AS57+AR57</f>
        <v>8549448.5209022779</v>
      </c>
      <c r="AU57" s="702">
        <f>+AW56</f>
        <v>24625000</v>
      </c>
      <c r="AV57" s="470">
        <f>+AU$31</f>
        <v>750000</v>
      </c>
      <c r="AW57" s="470">
        <f t="shared" si="1"/>
        <v>23875000</v>
      </c>
      <c r="AX57" s="683">
        <f>+AU$28*AW57+AV57</f>
        <v>5954818.9089921815</v>
      </c>
      <c r="AY57" s="702">
        <f>+BA56</f>
        <v>16083333.333333332</v>
      </c>
      <c r="AZ57" s="470">
        <f>+AY$31</f>
        <v>500000</v>
      </c>
      <c r="BA57" s="470">
        <f t="shared" si="2"/>
        <v>15583333.333333332</v>
      </c>
      <c r="BB57" s="683">
        <f>+AY$28*BA57+AZ57</f>
        <v>3897211.6439146171</v>
      </c>
      <c r="BC57" s="702">
        <f>+BE56</f>
        <v>25000000</v>
      </c>
      <c r="BD57" s="470">
        <f>+BC$31</f>
        <v>750000</v>
      </c>
      <c r="BE57" s="470">
        <f t="shared" si="4"/>
        <v>24250000</v>
      </c>
      <c r="BF57" s="683">
        <f>+BC$28*BE57+BD57</f>
        <v>6036569.9913323727</v>
      </c>
      <c r="BG57" s="702">
        <f>+BI56</f>
        <v>16523809.523809526</v>
      </c>
      <c r="BH57" s="470">
        <f>+BG$31</f>
        <v>571428.57142857148</v>
      </c>
      <c r="BI57" s="470">
        <f t="shared" si="5"/>
        <v>15952380.952380955</v>
      </c>
      <c r="BJ57" s="683">
        <f>+BG$28*BI57+BH57</f>
        <v>2205898.434896288</v>
      </c>
      <c r="BK57" s="702">
        <f>+BM56</f>
        <v>23600000</v>
      </c>
      <c r="BL57" s="470">
        <f>+BK$31</f>
        <v>1200000</v>
      </c>
      <c r="BM57" s="470">
        <f t="shared" si="9"/>
        <v>22400000</v>
      </c>
      <c r="BN57" s="683">
        <f>+BK$28*BM57+BL57</f>
        <v>3495088.4291797425</v>
      </c>
      <c r="BO57" s="702">
        <f>+BQ56</f>
        <v>16499999.999999994</v>
      </c>
      <c r="BP57" s="470">
        <f>+BO$31</f>
        <v>666666.66666666663</v>
      </c>
      <c r="BQ57" s="470">
        <f t="shared" si="10"/>
        <v>15833333.333333328</v>
      </c>
      <c r="BR57" s="683">
        <f>+BO$28*BQ57+BP57</f>
        <v>4118379.0321414103</v>
      </c>
      <c r="BS57" s="710">
        <f>+BU56</f>
        <v>332435.45454545459</v>
      </c>
      <c r="BT57" s="711">
        <f>+BS$31</f>
        <v>8310.886363636364</v>
      </c>
      <c r="BU57" s="711">
        <f t="shared" si="18"/>
        <v>324124.56818181823</v>
      </c>
      <c r="BV57" s="684">
        <f>+BS$28*BU57+BT57</f>
        <v>78970.977728731785</v>
      </c>
      <c r="BW57" s="710">
        <f>+BY56</f>
        <v>23217859.397727273</v>
      </c>
      <c r="BX57" s="711">
        <f>+BW$31</f>
        <v>576841.22727272729</v>
      </c>
      <c r="BY57" s="711">
        <f t="shared" si="20"/>
        <v>22641018.170454547</v>
      </c>
      <c r="BZ57" s="684">
        <f>+BW$28*BY57+BX57</f>
        <v>5512648.5358556546</v>
      </c>
      <c r="CA57" s="710">
        <f>+CC56</f>
        <v>2190965.2800000003</v>
      </c>
      <c r="CB57" s="711">
        <f>+CA$31</f>
        <v>54433.919999999998</v>
      </c>
      <c r="CC57" s="711">
        <f t="shared" si="21"/>
        <v>2136531.3600000003</v>
      </c>
      <c r="CD57" s="684">
        <f>+CA$28*CC57+CB57</f>
        <v>520203.92302336259</v>
      </c>
      <c r="CE57" s="710">
        <f>+CG56</f>
        <v>190182.42090909093</v>
      </c>
      <c r="CF57" s="711">
        <f>+CE$31</f>
        <v>4725.0290909090909</v>
      </c>
      <c r="CG57" s="711">
        <f t="shared" si="22"/>
        <v>185457.39181818184</v>
      </c>
      <c r="CH57" s="684">
        <f>+CE$28*CG57+CF57</f>
        <v>45155.275781909913</v>
      </c>
      <c r="CI57" s="710">
        <f>+CK56</f>
        <v>509962.5</v>
      </c>
      <c r="CJ57" s="711">
        <f>+CI$31</f>
        <v>12362.727272727272</v>
      </c>
      <c r="CK57" s="711">
        <f t="shared" si="24"/>
        <v>497599.77272727271</v>
      </c>
      <c r="CL57" s="684">
        <f>+CI$28*CK57+CJ57</f>
        <v>120840.91391989464</v>
      </c>
      <c r="CM57" s="967">
        <f t="shared" si="25"/>
        <v>38659398.121619359</v>
      </c>
      <c r="CN57" s="543"/>
      <c r="CO57" s="707">
        <f>+CM57</f>
        <v>38659398.121619359</v>
      </c>
      <c r="CR57" s="710">
        <f>+CT56</f>
        <v>11648198.833333334</v>
      </c>
      <c r="CS57" s="711">
        <f>+CR$31</f>
        <v>1270712.6000000001</v>
      </c>
      <c r="CT57" s="711">
        <f t="shared" si="26"/>
        <v>10377486.233333334</v>
      </c>
      <c r="CU57" s="684">
        <f>+CR$28*CT57+CS57</f>
        <v>3583850.5129620037</v>
      </c>
    </row>
    <row r="58" spans="1:99">
      <c r="A58" s="514" t="s">
        <v>608</v>
      </c>
      <c r="B58" s="474">
        <f t="shared" si="0"/>
        <v>2015</v>
      </c>
      <c r="C58" s="470">
        <f>+C57</f>
        <v>16828647.399431817</v>
      </c>
      <c r="D58" s="470">
        <f>+D57</f>
        <v>445791.98409090913</v>
      </c>
      <c r="E58" s="470">
        <f t="shared" si="6"/>
        <v>16382855.415340908</v>
      </c>
      <c r="F58" s="683">
        <f>+C$29*E58+D58</f>
        <v>4147323.9945830461</v>
      </c>
      <c r="G58" s="470">
        <f>+G57</f>
        <v>4344028.1079545431</v>
      </c>
      <c r="H58" s="470">
        <f>+H57</f>
        <v>115840.74954545456</v>
      </c>
      <c r="I58" s="470">
        <f t="shared" si="7"/>
        <v>4228187.3584090881</v>
      </c>
      <c r="J58" s="683">
        <f>+G$29*I58+H58</f>
        <v>1071154.732164995</v>
      </c>
      <c r="K58" s="702">
        <f>+K57</f>
        <v>11224176.221761361</v>
      </c>
      <c r="L58" s="470">
        <f>+L57</f>
        <v>305419.76113636367</v>
      </c>
      <c r="M58" s="470">
        <f t="shared" si="8"/>
        <v>10918756.460624997</v>
      </c>
      <c r="N58" s="683">
        <f>+K$29*M58+L58</f>
        <v>2772396.7031366932</v>
      </c>
      <c r="O58" s="702">
        <f>+O57</f>
        <v>4633450.3560606055</v>
      </c>
      <c r="P58" s="470">
        <f>+P57</f>
        <v>119316.31818181818</v>
      </c>
      <c r="Q58" s="470">
        <f t="shared" si="11"/>
        <v>4514134.0378787871</v>
      </c>
      <c r="R58" s="683">
        <f>+O$29*Q58+P58</f>
        <v>1139236.9130503994</v>
      </c>
      <c r="S58" s="710">
        <f>+S57</f>
        <v>2167400.3860606048</v>
      </c>
      <c r="T58" s="711">
        <f>+T57</f>
        <v>58315.705454545445</v>
      </c>
      <c r="U58" s="711">
        <f t="shared" si="12"/>
        <v>2109084.6806060593</v>
      </c>
      <c r="V58" s="684">
        <f>+S$29*U58+T58</f>
        <v>534840.96678301832</v>
      </c>
      <c r="W58" s="710">
        <f>+W57</f>
        <v>26922901.996212121</v>
      </c>
      <c r="X58" s="711">
        <f>+X57</f>
        <v>693293.61363636365</v>
      </c>
      <c r="Y58" s="711">
        <f t="shared" si="13"/>
        <v>26229608.382575758</v>
      </c>
      <c r="Z58" s="684">
        <f>+W$29*Y58+X58</f>
        <v>6619594.7735588402</v>
      </c>
      <c r="AA58" s="710">
        <f>+AA57</f>
        <v>17544929.081439387</v>
      </c>
      <c r="AB58" s="711">
        <f>+AB57</f>
        <v>450833.29545454547</v>
      </c>
      <c r="AC58" s="711">
        <f t="shared" si="14"/>
        <v>17094095.78598484</v>
      </c>
      <c r="AD58" s="684">
        <f>+AA$29*AC58+AB58</f>
        <v>4313062.5063033169</v>
      </c>
      <c r="AE58" s="710">
        <f>+AE57</f>
        <v>177018.62500000006</v>
      </c>
      <c r="AF58" s="711">
        <f>+AF57</f>
        <v>4597.886363636364</v>
      </c>
      <c r="AG58" s="711">
        <f t="shared" si="15"/>
        <v>172420.73863636371</v>
      </c>
      <c r="AH58" s="684">
        <f>+AE$29*AG58+AF58</f>
        <v>43554.519206624682</v>
      </c>
      <c r="AI58" s="710">
        <f>+AI57</f>
        <v>11772639.367424242</v>
      </c>
      <c r="AJ58" s="711">
        <f>+AJ57</f>
        <v>295547.43181818182</v>
      </c>
      <c r="AK58" s="711">
        <f t="shared" si="19"/>
        <v>11477091.935606061</v>
      </c>
      <c r="AL58" s="684">
        <f>+AI$29*AK58+AJ58</f>
        <v>2888674.3385737692</v>
      </c>
      <c r="AM58" s="710">
        <f>+AM57</f>
        <v>4379243.1694318168</v>
      </c>
      <c r="AN58" s="711">
        <f>+AN57</f>
        <v>110866.91568181818</v>
      </c>
      <c r="AO58" s="711">
        <f t="shared" si="16"/>
        <v>4268376.2537499983</v>
      </c>
      <c r="AP58" s="684">
        <f>+AM$29*AO58+AN58</f>
        <v>1075261.15194453</v>
      </c>
      <c r="AQ58" s="710">
        <f>+AQ57</f>
        <v>35971056.431590915</v>
      </c>
      <c r="AR58" s="711">
        <f>+AR57</f>
        <v>904932.23727272719</v>
      </c>
      <c r="AS58" s="711">
        <f t="shared" si="17"/>
        <v>35066124.19431819</v>
      </c>
      <c r="AT58" s="684">
        <f>+AQ$29*AS58+AR58</f>
        <v>8827750.2014487609</v>
      </c>
      <c r="AU58" s="702">
        <f>+AU57</f>
        <v>24625000</v>
      </c>
      <c r="AV58" s="470">
        <f>+AV57</f>
        <v>750000</v>
      </c>
      <c r="AW58" s="470">
        <f t="shared" si="1"/>
        <v>23875000</v>
      </c>
      <c r="AX58" s="683">
        <f>+AU$29*AW58+AV58</f>
        <v>6239044.1880489932</v>
      </c>
      <c r="AY58" s="702">
        <f>+AY57</f>
        <v>16083333.333333332</v>
      </c>
      <c r="AZ58" s="470">
        <f>+AZ57</f>
        <v>500000</v>
      </c>
      <c r="BA58" s="470">
        <f t="shared" si="2"/>
        <v>15583333.333333332</v>
      </c>
      <c r="BB58" s="683">
        <f>+AY$29*BA58+AZ58</f>
        <v>4020888.4959998387</v>
      </c>
      <c r="BC58" s="702">
        <f>+BC57</f>
        <v>25000000</v>
      </c>
      <c r="BD58" s="470">
        <f>+BD57</f>
        <v>750000</v>
      </c>
      <c r="BE58" s="470">
        <f t="shared" si="4"/>
        <v>24250000</v>
      </c>
      <c r="BF58" s="683">
        <f>+BC$29*BE58+BD58</f>
        <v>6132799.8414842431</v>
      </c>
      <c r="BG58" s="702">
        <f>+BG57</f>
        <v>16523809.523809526</v>
      </c>
      <c r="BH58" s="470">
        <f>+BH57</f>
        <v>571428.57142857148</v>
      </c>
      <c r="BI58" s="470">
        <f t="shared" si="5"/>
        <v>15952380.952380955</v>
      </c>
      <c r="BJ58" s="683">
        <f>+BG$29*BI58+BH58</f>
        <v>2205898.434896288</v>
      </c>
      <c r="BK58" s="702">
        <f>+BK57</f>
        <v>23600000</v>
      </c>
      <c r="BL58" s="470">
        <f>+BL57</f>
        <v>1200000</v>
      </c>
      <c r="BM58" s="470">
        <f t="shared" si="9"/>
        <v>22400000</v>
      </c>
      <c r="BN58" s="683">
        <f>+BK$29*BM58+BL58</f>
        <v>3495088.4291797425</v>
      </c>
      <c r="BO58" s="702">
        <f>+BO57</f>
        <v>16499999.999999994</v>
      </c>
      <c r="BP58" s="470">
        <f>+BP57</f>
        <v>666666.66666666663</v>
      </c>
      <c r="BQ58" s="470">
        <f t="shared" si="10"/>
        <v>15833333.333333328</v>
      </c>
      <c r="BR58" s="683">
        <f>+BO$29*BQ58+BP58</f>
        <v>4181209.5184948654</v>
      </c>
      <c r="BS58" s="710">
        <f>+BS57</f>
        <v>332435.45454545459</v>
      </c>
      <c r="BT58" s="711">
        <f>+BT57</f>
        <v>8310.886363636364</v>
      </c>
      <c r="BU58" s="711">
        <f t="shared" si="18"/>
        <v>324124.56818181823</v>
      </c>
      <c r="BV58" s="684">
        <f>+BS$29*BU58+BT58</f>
        <v>81543.386687632898</v>
      </c>
      <c r="BW58" s="710">
        <f>+BW57</f>
        <v>23217859.397727273</v>
      </c>
      <c r="BX58" s="711">
        <f>+BX57</f>
        <v>576841.22727272729</v>
      </c>
      <c r="BY58" s="711">
        <f t="shared" si="20"/>
        <v>22641018.170454547</v>
      </c>
      <c r="BZ58" s="684">
        <f>+BW$29*BY58+BX58</f>
        <v>5512648.5358556546</v>
      </c>
      <c r="CA58" s="710">
        <f>+CA57</f>
        <v>2190965.2800000003</v>
      </c>
      <c r="CB58" s="711">
        <f>+CB57</f>
        <v>54433.919999999998</v>
      </c>
      <c r="CC58" s="711">
        <f t="shared" si="21"/>
        <v>2136531.3600000003</v>
      </c>
      <c r="CD58" s="684">
        <f>+CA$29*CC58+CB58</f>
        <v>537160.46674439951</v>
      </c>
      <c r="CE58" s="710">
        <f>+CE57</f>
        <v>190182.42090909093</v>
      </c>
      <c r="CF58" s="711">
        <f>+CF57</f>
        <v>4725.0290909090909</v>
      </c>
      <c r="CG58" s="711">
        <f t="shared" si="22"/>
        <v>185457.39181818184</v>
      </c>
      <c r="CH58" s="684">
        <f>+CE$29*CG58+CF58</f>
        <v>46627.155124113655</v>
      </c>
      <c r="CI58" s="710">
        <f>+CI57</f>
        <v>509962.5</v>
      </c>
      <c r="CJ58" s="711">
        <f>+CJ57</f>
        <v>12362.727272727272</v>
      </c>
      <c r="CK58" s="711">
        <f t="shared" si="24"/>
        <v>497599.77272727271</v>
      </c>
      <c r="CL58" s="684">
        <f>+CI$29*CK58+CJ58</f>
        <v>120840.91391989464</v>
      </c>
      <c r="CM58" s="967">
        <f t="shared" si="25"/>
        <v>39731671.259085692</v>
      </c>
      <c r="CN58" s="708">
        <f>+CM58</f>
        <v>39731671.259085692</v>
      </c>
      <c r="CO58" s="679"/>
      <c r="CR58" s="710">
        <f>+CR57</f>
        <v>11648198.833333334</v>
      </c>
      <c r="CS58" s="711">
        <f>+CS57</f>
        <v>1270712.6000000001</v>
      </c>
      <c r="CT58" s="711">
        <f t="shared" si="26"/>
        <v>10377486.233333334</v>
      </c>
      <c r="CU58" s="684">
        <f>+CR$29*CT58+CS58</f>
        <v>3583850.5129620037</v>
      </c>
    </row>
    <row r="59" spans="1:99">
      <c r="A59" s="514" t="s">
        <v>609</v>
      </c>
      <c r="B59" s="474">
        <f t="shared" si="0"/>
        <v>2016</v>
      </c>
      <c r="C59" s="470">
        <f>+E58</f>
        <v>16382855.415340908</v>
      </c>
      <c r="D59" s="470">
        <f>+C$31</f>
        <v>445791.98409090913</v>
      </c>
      <c r="E59" s="470">
        <f t="shared" si="6"/>
        <v>15937063.431249999</v>
      </c>
      <c r="F59" s="683">
        <f>+C$28*E59+D59</f>
        <v>3920117.8103014976</v>
      </c>
      <c r="G59" s="470">
        <f>+I58</f>
        <v>4228187.3584090881</v>
      </c>
      <c r="H59" s="470">
        <f>+G$31</f>
        <v>115840.74954545456</v>
      </c>
      <c r="I59" s="470">
        <f t="shared" si="7"/>
        <v>4112346.6088636336</v>
      </c>
      <c r="J59" s="683">
        <f>+G$28*I59+H59</f>
        <v>1012344.1794991011</v>
      </c>
      <c r="K59" s="702">
        <f>+M58</f>
        <v>10918756.460624997</v>
      </c>
      <c r="L59" s="470">
        <f>+K$31</f>
        <v>305419.76113636367</v>
      </c>
      <c r="M59" s="470">
        <f t="shared" si="8"/>
        <v>10613336.699488632</v>
      </c>
      <c r="N59" s="683">
        <f>+K$28*M59+L59</f>
        <v>2619157.7942672162</v>
      </c>
      <c r="O59" s="702">
        <f>+Q58</f>
        <v>4514134.0378787871</v>
      </c>
      <c r="P59" s="470">
        <f>+O$31</f>
        <v>119316.31818181818</v>
      </c>
      <c r="Q59" s="470">
        <f t="shared" si="11"/>
        <v>4394817.7196969688</v>
      </c>
      <c r="R59" s="683">
        <f>+O$28*Q59+P59</f>
        <v>1077399.2655766949</v>
      </c>
      <c r="S59" s="710">
        <f>+U58</f>
        <v>2109084.6806060593</v>
      </c>
      <c r="T59" s="711">
        <f>+S$31</f>
        <v>58315.705454545445</v>
      </c>
      <c r="U59" s="711">
        <f t="shared" si="12"/>
        <v>2050768.9751515137</v>
      </c>
      <c r="V59" s="684">
        <f>+S$28*U59+T59</f>
        <v>505389.2610500686</v>
      </c>
      <c r="W59" s="710">
        <f>+Y58</f>
        <v>26229608.382575758</v>
      </c>
      <c r="X59" s="711">
        <f>+W$31</f>
        <v>693293.61363636365</v>
      </c>
      <c r="Y59" s="711">
        <f t="shared" si="13"/>
        <v>25536314.768939395</v>
      </c>
      <c r="Z59" s="684">
        <f>+W$28*Y59+X59</f>
        <v>6260283.9372113189</v>
      </c>
      <c r="AA59" s="710">
        <f>+AC58</f>
        <v>17094095.78598484</v>
      </c>
      <c r="AB59" s="711">
        <f>+AA$31</f>
        <v>450833.29545454547</v>
      </c>
      <c r="AC59" s="711">
        <f t="shared" si="14"/>
        <v>16643262.490530295</v>
      </c>
      <c r="AD59" s="684">
        <f>+AA$28*AC59+AB59</f>
        <v>4079112.5548485718</v>
      </c>
      <c r="AE59" s="710">
        <f>+AG58</f>
        <v>172420.73863636371</v>
      </c>
      <c r="AF59" s="711">
        <f>+AE$31</f>
        <v>4597.886363636364</v>
      </c>
      <c r="AG59" s="711">
        <f t="shared" si="15"/>
        <v>167822.85227272735</v>
      </c>
      <c r="AH59" s="684">
        <f>+AE$28*AG59+AF59</f>
        <v>41183.752536205691</v>
      </c>
      <c r="AI59" s="710">
        <f>+AK58</f>
        <v>11477091.935606061</v>
      </c>
      <c r="AJ59" s="711">
        <f>+AI$31</f>
        <v>295547.43181818182</v>
      </c>
      <c r="AK59" s="711">
        <f t="shared" si="19"/>
        <v>11181544.503787879</v>
      </c>
      <c r="AL59" s="684">
        <f>+AI$28*AK59+AJ59</f>
        <v>2733156.4062706525</v>
      </c>
      <c r="AM59" s="710">
        <f>+AO58</f>
        <v>4268376.2537499983</v>
      </c>
      <c r="AN59" s="711">
        <f>+AM$31</f>
        <v>110866.91568181818</v>
      </c>
      <c r="AO59" s="711">
        <f t="shared" si="16"/>
        <v>4157509.3380681803</v>
      </c>
      <c r="AP59" s="684">
        <f>+AM$28*AO59+AN59</f>
        <v>1017215.9509525545</v>
      </c>
      <c r="AQ59" s="710">
        <f>+AS58</f>
        <v>35066124.19431819</v>
      </c>
      <c r="AR59" s="711">
        <f>+AQ$31</f>
        <v>904932.23727272719</v>
      </c>
      <c r="AS59" s="711">
        <f t="shared" si="17"/>
        <v>34161191.957045466</v>
      </c>
      <c r="AT59" s="684">
        <f>+AQ$28*AS59+AR59</f>
        <v>8352170.6813247418</v>
      </c>
      <c r="AU59" s="702">
        <f>+AW58</f>
        <v>23875000</v>
      </c>
      <c r="AV59" s="470">
        <f>+AU$31</f>
        <v>750000</v>
      </c>
      <c r="AW59" s="470">
        <f t="shared" si="1"/>
        <v>23125000</v>
      </c>
      <c r="AX59" s="683">
        <f>+AU$28*AW59+AV59</f>
        <v>5791316.7443117984</v>
      </c>
      <c r="AY59" s="702">
        <f>+BA58</f>
        <v>15583333.333333332</v>
      </c>
      <c r="AZ59" s="470">
        <f>+AY$31</f>
        <v>500000</v>
      </c>
      <c r="BA59" s="470">
        <f t="shared" si="2"/>
        <v>15083333.333333332</v>
      </c>
      <c r="BB59" s="683">
        <f>+AY$28*BA59+AZ59</f>
        <v>3788210.200794362</v>
      </c>
      <c r="BC59" s="702">
        <f>+BE58</f>
        <v>24250000</v>
      </c>
      <c r="BD59" s="470">
        <f>+BC$31</f>
        <v>750000</v>
      </c>
      <c r="BE59" s="470">
        <f t="shared" si="4"/>
        <v>23500000</v>
      </c>
      <c r="BF59" s="683">
        <f>+BC$28*BE59+BD59</f>
        <v>5873067.8266519895</v>
      </c>
      <c r="BG59" s="702">
        <f>+BI58</f>
        <v>15952380.952380955</v>
      </c>
      <c r="BH59" s="470">
        <f>+BG$31</f>
        <v>571428.57142857148</v>
      </c>
      <c r="BI59" s="470">
        <f t="shared" si="5"/>
        <v>15380952.380952384</v>
      </c>
      <c r="BJ59" s="683">
        <f>+BG$28*BI59+BH59</f>
        <v>2147350.2606825191</v>
      </c>
      <c r="BK59" s="702">
        <f>+BM58</f>
        <v>22400000</v>
      </c>
      <c r="BL59" s="470">
        <f>+BK$31</f>
        <v>1200000</v>
      </c>
      <c r="BM59" s="470">
        <f t="shared" si="9"/>
        <v>21200000</v>
      </c>
      <c r="BN59" s="683">
        <f>+BK$28*BM59+BL59</f>
        <v>3372137.2633308275</v>
      </c>
      <c r="BO59" s="702">
        <f>+BQ58</f>
        <v>15833333.333333328</v>
      </c>
      <c r="BP59" s="470">
        <f>+BO$31</f>
        <v>666666.66666666663</v>
      </c>
      <c r="BQ59" s="470">
        <f t="shared" si="10"/>
        <v>15166666.666666662</v>
      </c>
      <c r="BR59" s="683">
        <f>+BO$28*BQ59+BP59</f>
        <v>3973043.7746477369</v>
      </c>
      <c r="BS59" s="710">
        <f>+BU58</f>
        <v>324124.56818181823</v>
      </c>
      <c r="BT59" s="711">
        <f>+BS$31</f>
        <v>8310.886363636364</v>
      </c>
      <c r="BU59" s="711">
        <f t="shared" si="18"/>
        <v>315813.68181818188</v>
      </c>
      <c r="BV59" s="684">
        <f>+BS$28*BU59+BT59</f>
        <v>77159.180514242151</v>
      </c>
      <c r="BW59" s="710">
        <f>+BY58</f>
        <v>22641018.170454547</v>
      </c>
      <c r="BX59" s="711">
        <f>+BW$31</f>
        <v>576841.22727272729</v>
      </c>
      <c r="BY59" s="711">
        <f t="shared" si="20"/>
        <v>22064176.94318182</v>
      </c>
      <c r="BZ59" s="684">
        <f>+BW$28*BY59+BX59</f>
        <v>5386895.4834076818</v>
      </c>
      <c r="CA59" s="710">
        <f>+CC58</f>
        <v>2136531.3600000003</v>
      </c>
      <c r="CB59" s="711">
        <f>+CA$31</f>
        <v>54433.919999999998</v>
      </c>
      <c r="CC59" s="711">
        <f t="shared" si="21"/>
        <v>2082097.4400000004</v>
      </c>
      <c r="CD59" s="684">
        <f>+CA$28*CC59+CB59</f>
        <v>508337.17135397758</v>
      </c>
      <c r="CE59" s="710">
        <f>+CG58</f>
        <v>185457.39181818184</v>
      </c>
      <c r="CF59" s="711">
        <f>+CE$31</f>
        <v>4725.0290909090909</v>
      </c>
      <c r="CG59" s="711">
        <f t="shared" si="22"/>
        <v>180732.36272727276</v>
      </c>
      <c r="CH59" s="684">
        <f>+CE$28*CG59+CF59</f>
        <v>44125.205802521363</v>
      </c>
      <c r="CI59" s="710">
        <f>+CK58</f>
        <v>497599.77272727271</v>
      </c>
      <c r="CJ59" s="711">
        <f>+CI$31</f>
        <v>12362.727272727272</v>
      </c>
      <c r="CK59" s="711">
        <f t="shared" si="24"/>
        <v>485237.04545454541</v>
      </c>
      <c r="CL59" s="684">
        <f>+CI$28*CK59+CJ59</f>
        <v>118145.80369263582</v>
      </c>
      <c r="CM59" s="967">
        <f t="shared" si="25"/>
        <v>37752194.438609689</v>
      </c>
      <c r="CN59" s="543"/>
      <c r="CO59" s="707">
        <f>+CM59</f>
        <v>37752194.438609689</v>
      </c>
      <c r="CR59" s="710">
        <f>+CT58</f>
        <v>10377486.233333334</v>
      </c>
      <c r="CS59" s="711">
        <f>+CR$31</f>
        <v>1270712.6000000001</v>
      </c>
      <c r="CT59" s="711">
        <f t="shared" si="26"/>
        <v>9106773.6333333347</v>
      </c>
      <c r="CU59" s="684">
        <f>+CR$28*CT59+CS59</f>
        <v>3300609.1358646154</v>
      </c>
    </row>
    <row r="60" spans="1:99">
      <c r="A60" s="514" t="s">
        <v>608</v>
      </c>
      <c r="B60" s="474">
        <f t="shared" si="0"/>
        <v>2016</v>
      </c>
      <c r="C60" s="470">
        <f>+C59</f>
        <v>16382855.415340908</v>
      </c>
      <c r="D60" s="470">
        <f>+D59</f>
        <v>445791.98409090913</v>
      </c>
      <c r="E60" s="470">
        <f t="shared" si="6"/>
        <v>15937063.431249999</v>
      </c>
      <c r="F60" s="683">
        <f>+C$29*E60+D60</f>
        <v>4046602.035113872</v>
      </c>
      <c r="G60" s="470">
        <f>+G59</f>
        <v>4228187.3584090881</v>
      </c>
      <c r="H60" s="470">
        <f>+H59</f>
        <v>115840.74954545456</v>
      </c>
      <c r="I60" s="470">
        <f t="shared" si="7"/>
        <v>4112346.6088636336</v>
      </c>
      <c r="J60" s="683">
        <f>+G$29*I60+H60</f>
        <v>1044981.7463398022</v>
      </c>
      <c r="K60" s="702">
        <f>+K59</f>
        <v>10918756.460624997</v>
      </c>
      <c r="L60" s="470">
        <f>+L59</f>
        <v>305419.76113636367</v>
      </c>
      <c r="M60" s="470">
        <f t="shared" si="8"/>
        <v>10613336.699488632</v>
      </c>
      <c r="N60" s="683">
        <f>+K$29*M60+L60</f>
        <v>2703390.3551087119</v>
      </c>
      <c r="O60" s="702">
        <f>+O59</f>
        <v>4514134.0378787871</v>
      </c>
      <c r="P60" s="470">
        <f>+P59</f>
        <v>119316.31818181818</v>
      </c>
      <c r="Q60" s="470">
        <f t="shared" si="11"/>
        <v>4394817.7196969688</v>
      </c>
      <c r="R60" s="683">
        <f>+O$29*Q60+P60</f>
        <v>1112278.6594415382</v>
      </c>
      <c r="S60" s="710">
        <f>+S59</f>
        <v>2109084.6806060593</v>
      </c>
      <c r="T60" s="711">
        <f>+T59</f>
        <v>58315.705454545445</v>
      </c>
      <c r="U60" s="711">
        <f t="shared" si="12"/>
        <v>2050768.9751515137</v>
      </c>
      <c r="V60" s="684">
        <f>+S$29*U60+T60</f>
        <v>521665.15310573328</v>
      </c>
      <c r="W60" s="710">
        <f>+W59</f>
        <v>26229608.382575758</v>
      </c>
      <c r="X60" s="711">
        <f>+X59</f>
        <v>693293.61363636365</v>
      </c>
      <c r="Y60" s="711">
        <f t="shared" si="13"/>
        <v>25536314.768939395</v>
      </c>
      <c r="Z60" s="684">
        <f>+W$29*Y60+X60</f>
        <v>6462952.452151197</v>
      </c>
      <c r="AA60" s="710">
        <f>+AA59</f>
        <v>17094095.78598484</v>
      </c>
      <c r="AB60" s="711">
        <f>+AB59</f>
        <v>450833.29545454547</v>
      </c>
      <c r="AC60" s="711">
        <f t="shared" si="14"/>
        <v>16643262.490530295</v>
      </c>
      <c r="AD60" s="684">
        <f>+AA$29*AC60+AB60</f>
        <v>4211201.5161270853</v>
      </c>
      <c r="AE60" s="710">
        <f>+AE59</f>
        <v>172420.73863636371</v>
      </c>
      <c r="AF60" s="711">
        <f>+AF59</f>
        <v>4597.886363636364</v>
      </c>
      <c r="AG60" s="711">
        <f t="shared" si="15"/>
        <v>167822.85227272735</v>
      </c>
      <c r="AH60" s="684">
        <f>+AE$29*AG60+AF60</f>
        <v>42515.67566414499</v>
      </c>
      <c r="AI60" s="710">
        <f>+AI59</f>
        <v>11477091.935606061</v>
      </c>
      <c r="AJ60" s="711">
        <f>+AJ59</f>
        <v>295547.43181818182</v>
      </c>
      <c r="AK60" s="711">
        <f t="shared" si="19"/>
        <v>11181544.503787879</v>
      </c>
      <c r="AL60" s="684">
        <f>+AI$29*AK60+AJ60</f>
        <v>2821898.5383998053</v>
      </c>
      <c r="AM60" s="710">
        <f>+AM59</f>
        <v>4268376.2537499983</v>
      </c>
      <c r="AN60" s="711">
        <f>+AN59</f>
        <v>110866.91568181818</v>
      </c>
      <c r="AO60" s="711">
        <f t="shared" si="16"/>
        <v>4157509.3380681803</v>
      </c>
      <c r="AP60" s="684">
        <f>+AM$29*AO60+AN60</f>
        <v>1050211.9510026413</v>
      </c>
      <c r="AQ60" s="710">
        <f>+AQ59</f>
        <v>35066124.19431819</v>
      </c>
      <c r="AR60" s="711">
        <f>+AR59</f>
        <v>904932.23727272719</v>
      </c>
      <c r="AS60" s="711">
        <f t="shared" si="17"/>
        <v>34161191.957045466</v>
      </c>
      <c r="AT60" s="684">
        <f>+AQ$29*AS60+AR60</f>
        <v>8623290.3830184136</v>
      </c>
      <c r="AU60" s="702">
        <f>+AU59</f>
        <v>23875000</v>
      </c>
      <c r="AV60" s="470">
        <f>+AV59</f>
        <v>750000</v>
      </c>
      <c r="AW60" s="470">
        <f t="shared" si="1"/>
        <v>23125000</v>
      </c>
      <c r="AX60" s="683">
        <f>+AU$29*AW60+AV60</f>
        <v>6066613.4805710148</v>
      </c>
      <c r="AY60" s="702">
        <f>+AY59</f>
        <v>15583333.333333332</v>
      </c>
      <c r="AZ60" s="470">
        <f>+AZ59</f>
        <v>500000</v>
      </c>
      <c r="BA60" s="470">
        <f t="shared" si="2"/>
        <v>15083333.333333332</v>
      </c>
      <c r="BB60" s="683">
        <f>+AY$29*BA60+AZ60</f>
        <v>3907918.8116362076</v>
      </c>
      <c r="BC60" s="702">
        <f>+BC59</f>
        <v>24250000</v>
      </c>
      <c r="BD60" s="470">
        <f>+BD59</f>
        <v>750000</v>
      </c>
      <c r="BE60" s="470">
        <f t="shared" si="4"/>
        <v>23500000</v>
      </c>
      <c r="BF60" s="683">
        <f>+BC$29*BE60+BD60</f>
        <v>5966321.4958713287</v>
      </c>
      <c r="BG60" s="702">
        <f>+BG59</f>
        <v>15952380.952380955</v>
      </c>
      <c r="BH60" s="470">
        <f>+BH59</f>
        <v>571428.57142857148</v>
      </c>
      <c r="BI60" s="470">
        <f t="shared" si="5"/>
        <v>15380952.380952384</v>
      </c>
      <c r="BJ60" s="683">
        <f>+BG$29*BI60+BH60</f>
        <v>2147350.2606825191</v>
      </c>
      <c r="BK60" s="702">
        <f>+BK59</f>
        <v>22400000</v>
      </c>
      <c r="BL60" s="470">
        <f>+BL59</f>
        <v>1200000</v>
      </c>
      <c r="BM60" s="470">
        <f t="shared" si="9"/>
        <v>21200000</v>
      </c>
      <c r="BN60" s="683">
        <f>+BK$29*BM60+BL60</f>
        <v>3372137.2633308275</v>
      </c>
      <c r="BO60" s="702">
        <f>+BO59</f>
        <v>15833333.333333328</v>
      </c>
      <c r="BP60" s="470">
        <f>+BP59</f>
        <v>666666.66666666663</v>
      </c>
      <c r="BQ60" s="470">
        <f t="shared" si="10"/>
        <v>15166666.666666662</v>
      </c>
      <c r="BR60" s="683">
        <f>+BO$29*BQ60+BP60</f>
        <v>4033228.7668389413</v>
      </c>
      <c r="BS60" s="710">
        <f>+BS59</f>
        <v>324124.56818181823</v>
      </c>
      <c r="BT60" s="711">
        <f>+BT59</f>
        <v>8310.886363636364</v>
      </c>
      <c r="BU60" s="711">
        <f t="shared" si="18"/>
        <v>315813.68181818188</v>
      </c>
      <c r="BV60" s="684">
        <f>+BS$29*BU60+BT60</f>
        <v>79665.63026906889</v>
      </c>
      <c r="BW60" s="710">
        <f>+BW59</f>
        <v>22641018.170454547</v>
      </c>
      <c r="BX60" s="711">
        <f>+BX59</f>
        <v>576841.22727272729</v>
      </c>
      <c r="BY60" s="711">
        <f t="shared" si="20"/>
        <v>22064176.94318182</v>
      </c>
      <c r="BZ60" s="684">
        <f>+BW$29*BY60+BX60</f>
        <v>5386895.4834076818</v>
      </c>
      <c r="CA60" s="710">
        <f>+CA59</f>
        <v>2136531.3600000003</v>
      </c>
      <c r="CB60" s="711">
        <f>+CB59</f>
        <v>54433.919999999998</v>
      </c>
      <c r="CC60" s="711">
        <f t="shared" si="21"/>
        <v>2082097.4400000004</v>
      </c>
      <c r="CD60" s="684">
        <f>+CA$29*CC60+CB60</f>
        <v>524861.70122224919</v>
      </c>
      <c r="CE60" s="710">
        <f>+CE59</f>
        <v>185457.39181818184</v>
      </c>
      <c r="CF60" s="711">
        <f>+CF59</f>
        <v>4725.0290909090909</v>
      </c>
      <c r="CG60" s="711">
        <f t="shared" si="22"/>
        <v>180732.36272727276</v>
      </c>
      <c r="CH60" s="684">
        <f>+CE$29*CG60+CF60</f>
        <v>45559.585034095704</v>
      </c>
      <c r="CI60" s="710">
        <f>+CI59</f>
        <v>497599.77272727271</v>
      </c>
      <c r="CJ60" s="711">
        <f>+CJ59</f>
        <v>12362.727272727272</v>
      </c>
      <c r="CK60" s="711">
        <f t="shared" si="24"/>
        <v>485237.04545454541</v>
      </c>
      <c r="CL60" s="684">
        <f>+CI$29*CK60+CJ60</f>
        <v>118145.80369263582</v>
      </c>
      <c r="CM60" s="967">
        <f t="shared" si="25"/>
        <v>38796116.669098675</v>
      </c>
      <c r="CN60" s="708">
        <f>+CM60</f>
        <v>38796116.669098675</v>
      </c>
      <c r="CO60" s="679"/>
      <c r="CR60" s="710">
        <f>+CR59</f>
        <v>10377486.233333334</v>
      </c>
      <c r="CS60" s="711">
        <f>+CS59</f>
        <v>1270712.6000000001</v>
      </c>
      <c r="CT60" s="711">
        <f t="shared" si="26"/>
        <v>9106773.6333333347</v>
      </c>
      <c r="CU60" s="684">
        <f>+CR$29*CT60+CS60</f>
        <v>3300609.1358646154</v>
      </c>
    </row>
    <row r="61" spans="1:99">
      <c r="A61" s="514" t="s">
        <v>609</v>
      </c>
      <c r="B61" s="474">
        <f t="shared" si="0"/>
        <v>2017</v>
      </c>
      <c r="C61" s="470">
        <f>+E60</f>
        <v>15937063.431249999</v>
      </c>
      <c r="D61" s="470">
        <f>+C$31</f>
        <v>445791.98409090913</v>
      </c>
      <c r="E61" s="470">
        <f t="shared" si="6"/>
        <v>15491271.447159089</v>
      </c>
      <c r="F61" s="683">
        <f>+C$28*E61+D61</f>
        <v>3822933.871106796</v>
      </c>
      <c r="G61" s="470">
        <f>+I60</f>
        <v>4112346.6088636336</v>
      </c>
      <c r="H61" s="470">
        <f>+G$31</f>
        <v>115840.74954545456</v>
      </c>
      <c r="I61" s="470">
        <f t="shared" si="7"/>
        <v>3996505.8593181791</v>
      </c>
      <c r="J61" s="683">
        <f>+G$28*I61+H61</f>
        <v>987090.56175392796</v>
      </c>
      <c r="K61" s="702">
        <f>+M60</f>
        <v>10613336.699488632</v>
      </c>
      <c r="L61" s="470">
        <f>+K$31</f>
        <v>305419.76113636367</v>
      </c>
      <c r="M61" s="470">
        <f t="shared" si="8"/>
        <v>10307916.938352268</v>
      </c>
      <c r="N61" s="683">
        <f>+K$28*M61+L61</f>
        <v>2552575.4048246015</v>
      </c>
      <c r="O61" s="702">
        <f>+Q60</f>
        <v>4394817.7196969688</v>
      </c>
      <c r="P61" s="470">
        <f>+O$31</f>
        <v>119316.31818181818</v>
      </c>
      <c r="Q61" s="470">
        <f t="shared" si="11"/>
        <v>4275501.4015151504</v>
      </c>
      <c r="R61" s="683">
        <f>+O$28*Q61+P61</f>
        <v>1051387.9638374674</v>
      </c>
      <c r="S61" s="710">
        <f>+U60</f>
        <v>2050768.9751515137</v>
      </c>
      <c r="T61" s="711">
        <f>+S$31</f>
        <v>58315.705454545445</v>
      </c>
      <c r="U61" s="711">
        <f t="shared" si="12"/>
        <v>1992453.2696969681</v>
      </c>
      <c r="V61" s="684">
        <f>+S$28*U61+T61</f>
        <v>492676.26894782617</v>
      </c>
      <c r="W61" s="710">
        <f>+Y60</f>
        <v>25536314.768939395</v>
      </c>
      <c r="X61" s="711">
        <f>+W$31</f>
        <v>693293.61363636365</v>
      </c>
      <c r="Y61" s="711">
        <f t="shared" si="13"/>
        <v>24843021.155303031</v>
      </c>
      <c r="Z61" s="684">
        <f>+W$28*Y61+X61</f>
        <v>6109143.9284264781</v>
      </c>
      <c r="AA61" s="710">
        <f>+AC60</f>
        <v>16643262.490530295</v>
      </c>
      <c r="AB61" s="711">
        <f>+AA$31</f>
        <v>450833.29545454547</v>
      </c>
      <c r="AC61" s="711">
        <f t="shared" si="14"/>
        <v>16192429.19507575</v>
      </c>
      <c r="AD61" s="684">
        <f>+AA$28*AC61+AB61</f>
        <v>3980829.5952261603</v>
      </c>
      <c r="AE61" s="710">
        <f>+AG60</f>
        <v>167822.85227272735</v>
      </c>
      <c r="AF61" s="711">
        <f>+AE$31</f>
        <v>4597.886363636364</v>
      </c>
      <c r="AG61" s="711">
        <f t="shared" si="15"/>
        <v>163224.965909091</v>
      </c>
      <c r="AH61" s="684">
        <f>+AE$28*AG61+AF61</f>
        <v>40181.40003832709</v>
      </c>
      <c r="AI61" s="710">
        <f>+AK60</f>
        <v>11181544.503787879</v>
      </c>
      <c r="AJ61" s="711">
        <f>+AI$31</f>
        <v>295547.43181818182</v>
      </c>
      <c r="AK61" s="711">
        <f t="shared" si="19"/>
        <v>10885997.071969697</v>
      </c>
      <c r="AL61" s="684">
        <f>+AI$28*AK61+AJ61</f>
        <v>2668726.2131133187</v>
      </c>
      <c r="AM61" s="710">
        <f>+AO60</f>
        <v>4157509.3380681803</v>
      </c>
      <c r="AN61" s="711">
        <f>+AM$31</f>
        <v>110866.91568181818</v>
      </c>
      <c r="AO61" s="711">
        <f t="shared" si="16"/>
        <v>4046642.4223863622</v>
      </c>
      <c r="AP61" s="684">
        <f>+AM$28*AO61+AN61</f>
        <v>993046.64334533492</v>
      </c>
      <c r="AQ61" s="710">
        <f>+AS60</f>
        <v>34161191.957045466</v>
      </c>
      <c r="AR61" s="711">
        <f>+AQ$31</f>
        <v>904932.23727272719</v>
      </c>
      <c r="AS61" s="711">
        <f t="shared" si="17"/>
        <v>33256259.719772737</v>
      </c>
      <c r="AT61" s="684">
        <f>+AQ$28*AS61+AR61</f>
        <v>8154892.8417472048</v>
      </c>
      <c r="AU61" s="702">
        <f>+AW60</f>
        <v>23125000</v>
      </c>
      <c r="AV61" s="470">
        <f>+AU$31</f>
        <v>750000</v>
      </c>
      <c r="AW61" s="470">
        <f t="shared" si="1"/>
        <v>22375000</v>
      </c>
      <c r="AX61" s="683">
        <f>+AU$28*AW61+AV61</f>
        <v>5627814.5796314161</v>
      </c>
      <c r="AY61" s="702">
        <f>+BA60</f>
        <v>15083333.333333332</v>
      </c>
      <c r="AZ61" s="470">
        <f>+AY$31</f>
        <v>500000</v>
      </c>
      <c r="BA61" s="470">
        <f t="shared" si="2"/>
        <v>14583333.333333332</v>
      </c>
      <c r="BB61" s="683">
        <f>+AY$28*BA61+AZ61</f>
        <v>3679208.7576741069</v>
      </c>
      <c r="BC61" s="702">
        <f>+BE60</f>
        <v>23500000</v>
      </c>
      <c r="BD61" s="470">
        <f>+BC$31</f>
        <v>750000</v>
      </c>
      <c r="BE61" s="470">
        <f t="shared" si="4"/>
        <v>22750000</v>
      </c>
      <c r="BF61" s="683">
        <f>+BC$28*BE61+BD61</f>
        <v>5709565.6619716072</v>
      </c>
      <c r="BG61" s="702">
        <f>+BI60</f>
        <v>15380952.380952384</v>
      </c>
      <c r="BH61" s="470">
        <f>+BG$31</f>
        <v>571428.57142857148</v>
      </c>
      <c r="BI61" s="470">
        <f t="shared" si="5"/>
        <v>14809523.809523813</v>
      </c>
      <c r="BJ61" s="683">
        <f>+BG$28*BI61+BH61</f>
        <v>2088802.0864687501</v>
      </c>
      <c r="BK61" s="702">
        <f>+BM60</f>
        <v>21200000</v>
      </c>
      <c r="BL61" s="470">
        <f>+BK$31</f>
        <v>1200000</v>
      </c>
      <c r="BM61" s="470">
        <f t="shared" si="9"/>
        <v>20000000</v>
      </c>
      <c r="BN61" s="683">
        <f>+BK$28*BM61+BL61</f>
        <v>3249186.0974819129</v>
      </c>
      <c r="BO61" s="702">
        <f>+BQ60</f>
        <v>15166666.666666662</v>
      </c>
      <c r="BP61" s="470">
        <f>+BO$31</f>
        <v>666666.66666666663</v>
      </c>
      <c r="BQ61" s="470">
        <f t="shared" si="10"/>
        <v>14499999.999999996</v>
      </c>
      <c r="BR61" s="683">
        <f>+BO$28*BQ61+BP61</f>
        <v>3827708.5171540636</v>
      </c>
      <c r="BS61" s="710">
        <f>+BU60</f>
        <v>315813.68181818188</v>
      </c>
      <c r="BT61" s="711">
        <f>+BS$31</f>
        <v>8310.886363636364</v>
      </c>
      <c r="BU61" s="711">
        <f t="shared" si="18"/>
        <v>307502.79545454553</v>
      </c>
      <c r="BV61" s="684">
        <f>+BS$28*BU61+BT61</f>
        <v>75347.383299752531</v>
      </c>
      <c r="BW61" s="710">
        <f>+BY60</f>
        <v>22064176.94318182</v>
      </c>
      <c r="BX61" s="711">
        <f>+BW$31</f>
        <v>576841.22727272729</v>
      </c>
      <c r="BY61" s="711">
        <f t="shared" si="20"/>
        <v>21487335.715909094</v>
      </c>
      <c r="BZ61" s="684">
        <f>+BW$28*BY61+BX61</f>
        <v>5261142.4309597099</v>
      </c>
      <c r="CA61" s="710">
        <f>+CC60</f>
        <v>2082097.4400000004</v>
      </c>
      <c r="CB61" s="711">
        <f>+CA$31</f>
        <v>54433.919999999998</v>
      </c>
      <c r="CC61" s="711">
        <f t="shared" si="21"/>
        <v>2027663.5200000005</v>
      </c>
      <c r="CD61" s="684">
        <f>+CA$28*CC61+CB61</f>
        <v>496470.41968459258</v>
      </c>
      <c r="CE61" s="710">
        <f>+CG60</f>
        <v>180732.36272727276</v>
      </c>
      <c r="CF61" s="711">
        <f>+CE$31</f>
        <v>4725.0290909090909</v>
      </c>
      <c r="CG61" s="711">
        <f t="shared" si="22"/>
        <v>176007.33363636368</v>
      </c>
      <c r="CH61" s="684">
        <f>+CE$28*CG61+CF61</f>
        <v>43095.135823132805</v>
      </c>
      <c r="CI61" s="710">
        <f>+CK60</f>
        <v>485237.04545454541</v>
      </c>
      <c r="CJ61" s="711">
        <f>+CI$31</f>
        <v>12362.727272727272</v>
      </c>
      <c r="CK61" s="711">
        <f t="shared" si="24"/>
        <v>472874.31818181812</v>
      </c>
      <c r="CL61" s="684">
        <f>+CI$28*CK61+CJ61</f>
        <v>115450.693465377</v>
      </c>
      <c r="CM61" s="967">
        <f t="shared" si="25"/>
        <v>36844990.755600005</v>
      </c>
      <c r="CN61" s="543"/>
      <c r="CO61" s="707">
        <f>+CM61</f>
        <v>36844990.755600005</v>
      </c>
      <c r="CR61" s="710">
        <f>+CT60</f>
        <v>9106773.6333333347</v>
      </c>
      <c r="CS61" s="711">
        <f>+CS59</f>
        <v>1270712.6000000001</v>
      </c>
      <c r="CT61" s="711">
        <f t="shared" si="26"/>
        <v>7836061.0333333351</v>
      </c>
      <c r="CU61" s="684">
        <f>+CR$28*CT61+CS61</f>
        <v>3017367.7587672276</v>
      </c>
    </row>
    <row r="62" spans="1:99">
      <c r="A62" s="514" t="s">
        <v>608</v>
      </c>
      <c r="B62" s="474">
        <f t="shared" si="0"/>
        <v>2017</v>
      </c>
      <c r="C62" s="470">
        <f>+C61</f>
        <v>15937063.431249999</v>
      </c>
      <c r="D62" s="470">
        <f>+D61</f>
        <v>445791.98409090913</v>
      </c>
      <c r="E62" s="470">
        <f t="shared" si="6"/>
        <v>15491271.447159089</v>
      </c>
      <c r="F62" s="683">
        <f>+C$29*E62+D62</f>
        <v>3945880.075644698</v>
      </c>
      <c r="G62" s="470">
        <f>+G61</f>
        <v>4112346.6088636336</v>
      </c>
      <c r="H62" s="470">
        <f>+H61</f>
        <v>115840.74954545456</v>
      </c>
      <c r="I62" s="470">
        <f t="shared" si="7"/>
        <v>3996505.8593181791</v>
      </c>
      <c r="J62" s="683">
        <f>+G$29*I62+H62</f>
        <v>1018808.7605146092</v>
      </c>
      <c r="K62" s="702">
        <f>+K61</f>
        <v>10613336.699488632</v>
      </c>
      <c r="L62" s="470">
        <f>+L61</f>
        <v>305419.76113636367</v>
      </c>
      <c r="M62" s="470">
        <f t="shared" si="8"/>
        <v>10307916.938352268</v>
      </c>
      <c r="N62" s="683">
        <f>+K$29*M62+L62</f>
        <v>2634384.0070807305</v>
      </c>
      <c r="O62" s="702">
        <f>+O61</f>
        <v>4394817.7196969688</v>
      </c>
      <c r="P62" s="470">
        <f>+P61</f>
        <v>119316.31818181818</v>
      </c>
      <c r="Q62" s="470">
        <f t="shared" si="11"/>
        <v>4275501.4015151504</v>
      </c>
      <c r="R62" s="683">
        <f>+O$29*Q62+P62</f>
        <v>1085320.4058326769</v>
      </c>
      <c r="S62" s="710">
        <f>+S61</f>
        <v>2050768.9751515137</v>
      </c>
      <c r="T62" s="711">
        <f>+T61</f>
        <v>58315.705454545445</v>
      </c>
      <c r="U62" s="711">
        <f t="shared" si="12"/>
        <v>1992453.2696969681</v>
      </c>
      <c r="V62" s="684">
        <f>+S$29*U62+T62</f>
        <v>508489.33942844829</v>
      </c>
      <c r="W62" s="710">
        <f>+W61</f>
        <v>25536314.768939395</v>
      </c>
      <c r="X62" s="711">
        <f>+X61</f>
        <v>693293.61363636365</v>
      </c>
      <c r="Y62" s="711">
        <f t="shared" si="13"/>
        <v>24843021.155303031</v>
      </c>
      <c r="Z62" s="684">
        <f>+W$29*Y62+X62</f>
        <v>6306310.1307435548</v>
      </c>
      <c r="AA62" s="710">
        <f>+AA61</f>
        <v>16643262.490530295</v>
      </c>
      <c r="AB62" s="711">
        <f>+AB61</f>
        <v>450833.29545454547</v>
      </c>
      <c r="AC62" s="711">
        <f t="shared" si="14"/>
        <v>16192429.19507575</v>
      </c>
      <c r="AD62" s="684">
        <f>+AA$29*AC62+AB62</f>
        <v>4109340.5259508537</v>
      </c>
      <c r="AE62" s="710">
        <f>+AE61</f>
        <v>167822.85227272735</v>
      </c>
      <c r="AF62" s="711">
        <f>+AF61</f>
        <v>4597.886363636364</v>
      </c>
      <c r="AG62" s="711">
        <f t="shared" si="15"/>
        <v>163224.965909091</v>
      </c>
      <c r="AH62" s="684">
        <f>+AE$29*AG62+AF62</f>
        <v>41476.832121665313</v>
      </c>
      <c r="AI62" s="710">
        <f>+AI61</f>
        <v>11181544.503787879</v>
      </c>
      <c r="AJ62" s="711">
        <f>+AJ61</f>
        <v>295547.43181818182</v>
      </c>
      <c r="AK62" s="711">
        <f t="shared" si="19"/>
        <v>10885997.071969697</v>
      </c>
      <c r="AL62" s="684">
        <f>+AI$29*AK62+AJ62</f>
        <v>2755122.7382258419</v>
      </c>
      <c r="AM62" s="710">
        <f>+AM61</f>
        <v>4157509.3380681803</v>
      </c>
      <c r="AN62" s="711">
        <f>+AN61</f>
        <v>110866.91568181818</v>
      </c>
      <c r="AO62" s="711">
        <f t="shared" si="16"/>
        <v>4046642.4223863622</v>
      </c>
      <c r="AP62" s="684">
        <f>+AM$29*AO62+AN62</f>
        <v>1025162.7500607527</v>
      </c>
      <c r="AQ62" s="710">
        <f>+AQ61</f>
        <v>34161191.957045466</v>
      </c>
      <c r="AR62" s="711">
        <f>+AR61</f>
        <v>904932.23727272719</v>
      </c>
      <c r="AS62" s="711">
        <f t="shared" si="17"/>
        <v>33256259.719772737</v>
      </c>
      <c r="AT62" s="684">
        <f>+AQ$29*AS62+AR62</f>
        <v>8418830.5645880625</v>
      </c>
      <c r="AU62" s="702">
        <f>+AU61</f>
        <v>23125000</v>
      </c>
      <c r="AV62" s="470">
        <f>+AV61</f>
        <v>750000</v>
      </c>
      <c r="AW62" s="470">
        <f t="shared" si="1"/>
        <v>22375000</v>
      </c>
      <c r="AX62" s="683">
        <f>+AU$29*AW62+AV62</f>
        <v>5894182.7730930354</v>
      </c>
      <c r="AY62" s="702">
        <f>+AY61</f>
        <v>15083333.333333332</v>
      </c>
      <c r="AZ62" s="470">
        <f>+AZ61</f>
        <v>500000</v>
      </c>
      <c r="BA62" s="470">
        <f t="shared" si="2"/>
        <v>14583333.333333332</v>
      </c>
      <c r="BB62" s="683">
        <f>+AY$29*BA62+AZ62</f>
        <v>3794949.1272725761</v>
      </c>
      <c r="BC62" s="702">
        <f>+BC61</f>
        <v>23500000</v>
      </c>
      <c r="BD62" s="470">
        <f>+BD61</f>
        <v>750000</v>
      </c>
      <c r="BE62" s="470">
        <f t="shared" si="4"/>
        <v>22750000</v>
      </c>
      <c r="BF62" s="683">
        <f>+BC$29*BE62+BD62</f>
        <v>5799843.1502584135</v>
      </c>
      <c r="BG62" s="702">
        <f>+BG61</f>
        <v>15380952.380952384</v>
      </c>
      <c r="BH62" s="470">
        <f>+BH61</f>
        <v>571428.57142857148</v>
      </c>
      <c r="BI62" s="470">
        <f t="shared" si="5"/>
        <v>14809523.809523813</v>
      </c>
      <c r="BJ62" s="683">
        <f>+BG$29*BI62+BH62</f>
        <v>2088802.0864687501</v>
      </c>
      <c r="BK62" s="702">
        <f>+BK61</f>
        <v>21200000</v>
      </c>
      <c r="BL62" s="470">
        <f>+BL61</f>
        <v>1200000</v>
      </c>
      <c r="BM62" s="470">
        <f t="shared" si="9"/>
        <v>20000000</v>
      </c>
      <c r="BN62" s="683">
        <f>+BK$29*BM62+BL62</f>
        <v>3249186.0974819129</v>
      </c>
      <c r="BO62" s="702">
        <f>+BO61</f>
        <v>15166666.666666662</v>
      </c>
      <c r="BP62" s="470">
        <f>+BP61</f>
        <v>666666.66666666663</v>
      </c>
      <c r="BQ62" s="470">
        <f t="shared" si="10"/>
        <v>14499999.999999996</v>
      </c>
      <c r="BR62" s="683">
        <f>+BO$29*BQ62+BP62</f>
        <v>3885248.0151830171</v>
      </c>
      <c r="BS62" s="710">
        <f>+BS61</f>
        <v>315813.68181818188</v>
      </c>
      <c r="BT62" s="711">
        <f>+BT61</f>
        <v>8310.886363636364</v>
      </c>
      <c r="BU62" s="711">
        <f t="shared" si="18"/>
        <v>307502.79545454553</v>
      </c>
      <c r="BV62" s="684">
        <f>+BS$29*BU62+BT62</f>
        <v>77787.873850504882</v>
      </c>
      <c r="BW62" s="710">
        <f>+BW61</f>
        <v>22064176.94318182</v>
      </c>
      <c r="BX62" s="711">
        <f>+BX61</f>
        <v>576841.22727272729</v>
      </c>
      <c r="BY62" s="711">
        <f t="shared" si="20"/>
        <v>21487335.715909094</v>
      </c>
      <c r="BZ62" s="684">
        <f>+BW$29*BY62+BX62</f>
        <v>5261142.4309597099</v>
      </c>
      <c r="CA62" s="710">
        <f>+CA61</f>
        <v>2082097.4400000004</v>
      </c>
      <c r="CB62" s="711">
        <f>+CB61</f>
        <v>54433.919999999998</v>
      </c>
      <c r="CC62" s="711">
        <f t="shared" si="21"/>
        <v>2027663.5200000005</v>
      </c>
      <c r="CD62" s="684">
        <f>+CA$29*CC62+CB62</f>
        <v>512562.93570009887</v>
      </c>
      <c r="CE62" s="710">
        <f>+CE61</f>
        <v>180732.36272727276</v>
      </c>
      <c r="CF62" s="711">
        <f>+CF61</f>
        <v>4725.0290909090909</v>
      </c>
      <c r="CG62" s="711">
        <f t="shared" si="22"/>
        <v>176007.33363636368</v>
      </c>
      <c r="CH62" s="684">
        <f>+CE$29*CG62+CF62</f>
        <v>44492.014944077753</v>
      </c>
      <c r="CI62" s="710">
        <f>+CI61</f>
        <v>485237.04545454541</v>
      </c>
      <c r="CJ62" s="711">
        <f>+CJ61</f>
        <v>12362.727272727272</v>
      </c>
      <c r="CK62" s="711">
        <f t="shared" si="24"/>
        <v>472874.31818181812</v>
      </c>
      <c r="CL62" s="684">
        <f>+CI$29*CK62+CJ62</f>
        <v>115450.693465377</v>
      </c>
      <c r="CM62" s="967">
        <f t="shared" si="25"/>
        <v>37860562.079111658</v>
      </c>
      <c r="CN62" s="708">
        <f>+CM62</f>
        <v>37860562.079111658</v>
      </c>
      <c r="CO62" s="679"/>
      <c r="CR62" s="710">
        <f>+CR61</f>
        <v>9106773.6333333347</v>
      </c>
      <c r="CS62" s="711">
        <f>+CS61</f>
        <v>1270712.6000000001</v>
      </c>
      <c r="CT62" s="711">
        <f t="shared" si="26"/>
        <v>7836061.0333333351</v>
      </c>
      <c r="CU62" s="684">
        <f t="shared" ref="CU62:CU76" si="27">+CR$29*CT62+CS62</f>
        <v>3017367.7587672276</v>
      </c>
    </row>
    <row r="63" spans="1:99">
      <c r="A63" s="514" t="s">
        <v>609</v>
      </c>
      <c r="B63" s="474">
        <f t="shared" si="0"/>
        <v>2018</v>
      </c>
      <c r="C63" s="470">
        <f>+E62</f>
        <v>15491271.447159089</v>
      </c>
      <c r="D63" s="470">
        <f>+C$31</f>
        <v>445791.98409090913</v>
      </c>
      <c r="E63" s="470">
        <f t="shared" si="6"/>
        <v>15045479.46306818</v>
      </c>
      <c r="F63" s="683">
        <f>+C$28*E63+D63</f>
        <v>3725749.9319120944</v>
      </c>
      <c r="G63" s="470">
        <f>+I62</f>
        <v>3996505.8593181791</v>
      </c>
      <c r="H63" s="470">
        <f>+G$31</f>
        <v>115840.74954545456</v>
      </c>
      <c r="I63" s="470">
        <f t="shared" si="7"/>
        <v>3880665.1097727246</v>
      </c>
      <c r="J63" s="683">
        <f>+G$28*I63+H63</f>
        <v>961836.9440087548</v>
      </c>
      <c r="K63" s="702">
        <f>+M62</f>
        <v>10307916.938352268</v>
      </c>
      <c r="L63" s="470">
        <f>+K$31</f>
        <v>305419.76113636367</v>
      </c>
      <c r="M63" s="470">
        <f t="shared" si="8"/>
        <v>10002497.177215904</v>
      </c>
      <c r="N63" s="683">
        <f>+K$28*M63+L63</f>
        <v>2485993.0153819867</v>
      </c>
      <c r="O63" s="702">
        <f>+Q62</f>
        <v>4275501.4015151504</v>
      </c>
      <c r="P63" s="470">
        <f>+O$31</f>
        <v>119316.31818181818</v>
      </c>
      <c r="Q63" s="470">
        <f t="shared" si="11"/>
        <v>4156185.0833333321</v>
      </c>
      <c r="R63" s="683">
        <f>+O$28*Q63+P63</f>
        <v>1025376.6620982399</v>
      </c>
      <c r="S63" s="710">
        <f>+U62</f>
        <v>1992453.2696969681</v>
      </c>
      <c r="T63" s="711">
        <f>+S$31</f>
        <v>58315.705454545445</v>
      </c>
      <c r="U63" s="711">
        <f t="shared" si="12"/>
        <v>1934137.5642424226</v>
      </c>
      <c r="V63" s="684">
        <f>+S$28*U63+T63</f>
        <v>479963.27684558381</v>
      </c>
      <c r="W63" s="710">
        <f>+Y62</f>
        <v>24843021.155303031</v>
      </c>
      <c r="X63" s="711">
        <f>+W$31</f>
        <v>693293.61363636365</v>
      </c>
      <c r="Y63" s="711">
        <f t="shared" si="13"/>
        <v>24149727.541666668</v>
      </c>
      <c r="Z63" s="684">
        <f>+W$28*Y63+X63</f>
        <v>5958003.9196416382</v>
      </c>
      <c r="AA63" s="710">
        <f>+AC62</f>
        <v>16192429.19507575</v>
      </c>
      <c r="AB63" s="711">
        <f>+AA$31</f>
        <v>450833.29545454547</v>
      </c>
      <c r="AC63" s="711">
        <f t="shared" si="14"/>
        <v>15741595.899621205</v>
      </c>
      <c r="AD63" s="684">
        <f>+AA$28*AC63+AB63</f>
        <v>3882546.6356037487</v>
      </c>
      <c r="AE63" s="710">
        <f>+AG62</f>
        <v>163224.965909091</v>
      </c>
      <c r="AF63" s="711">
        <f>+AE$31</f>
        <v>4597.886363636364</v>
      </c>
      <c r="AG63" s="711">
        <f t="shared" si="15"/>
        <v>158627.07954545465</v>
      </c>
      <c r="AH63" s="684">
        <f>+AE$28*AG63+AF63</f>
        <v>39179.047540448475</v>
      </c>
      <c r="AI63" s="710">
        <f>+AK62</f>
        <v>10885997.071969697</v>
      </c>
      <c r="AJ63" s="711">
        <f>+AI$31</f>
        <v>295547.43181818182</v>
      </c>
      <c r="AK63" s="711">
        <f t="shared" si="19"/>
        <v>10590449.640151516</v>
      </c>
      <c r="AL63" s="684">
        <f>+AI$28*AK63+AJ63</f>
        <v>2604296.0199559848</v>
      </c>
      <c r="AM63" s="710">
        <f>+AO62</f>
        <v>4046642.4223863622</v>
      </c>
      <c r="AN63" s="711">
        <f>+AM$31</f>
        <v>110866.91568181818</v>
      </c>
      <c r="AO63" s="711">
        <f t="shared" si="16"/>
        <v>3935775.5067045442</v>
      </c>
      <c r="AP63" s="684">
        <f>+AM$28*AO63+AN63</f>
        <v>968877.33573811525</v>
      </c>
      <c r="AQ63" s="710">
        <f>+AS62</f>
        <v>33256259.719772737</v>
      </c>
      <c r="AR63" s="711">
        <f>+AQ$31</f>
        <v>904932.23727272719</v>
      </c>
      <c r="AS63" s="711">
        <f t="shared" si="17"/>
        <v>32351327.482500009</v>
      </c>
      <c r="AT63" s="684">
        <f>+AQ$28*AS63+AR63</f>
        <v>7957615.0021696677</v>
      </c>
      <c r="AU63" s="702">
        <f>+AW62</f>
        <v>22375000</v>
      </c>
      <c r="AV63" s="470">
        <f>+AU$31</f>
        <v>750000</v>
      </c>
      <c r="AW63" s="470">
        <f t="shared" si="1"/>
        <v>21625000</v>
      </c>
      <c r="AX63" s="683">
        <f>+AU$28*AW63+AV63</f>
        <v>5464312.414951033</v>
      </c>
      <c r="AY63" s="702">
        <f>+BA62</f>
        <v>14583333.333333332</v>
      </c>
      <c r="AZ63" s="470">
        <f>+AY$31</f>
        <v>500000</v>
      </c>
      <c r="BA63" s="470">
        <f t="shared" si="2"/>
        <v>14083333.333333332</v>
      </c>
      <c r="BB63" s="683">
        <f>+AY$28*BA63+AZ63</f>
        <v>3570207.3145538517</v>
      </c>
      <c r="BC63" s="702">
        <f>+BE62</f>
        <v>22750000</v>
      </c>
      <c r="BD63" s="470">
        <f>+BC$31</f>
        <v>750000</v>
      </c>
      <c r="BE63" s="470">
        <f t="shared" si="4"/>
        <v>22000000</v>
      </c>
      <c r="BF63" s="683">
        <f>+BC$28*BE63+BD63</f>
        <v>5546063.4972912241</v>
      </c>
      <c r="BG63" s="702">
        <f>+BI62</f>
        <v>14809523.809523813</v>
      </c>
      <c r="BH63" s="470">
        <f>+BG$31</f>
        <v>571428.57142857148</v>
      </c>
      <c r="BI63" s="470">
        <f t="shared" si="5"/>
        <v>14238095.238095243</v>
      </c>
      <c r="BJ63" s="683">
        <f>+BG$28*BI63+BH63</f>
        <v>2030253.9122549812</v>
      </c>
      <c r="BK63" s="702">
        <f>+BM62</f>
        <v>20000000</v>
      </c>
      <c r="BL63" s="470">
        <f>+BK$31</f>
        <v>1200000</v>
      </c>
      <c r="BM63" s="470">
        <f t="shared" si="9"/>
        <v>18800000</v>
      </c>
      <c r="BN63" s="683">
        <f>+BK$28*BM63+BL63</f>
        <v>3126234.9316329984</v>
      </c>
      <c r="BO63" s="702">
        <f>+BQ62</f>
        <v>14499999.999999996</v>
      </c>
      <c r="BP63" s="470">
        <f>+BO$31</f>
        <v>666666.66666666663</v>
      </c>
      <c r="BQ63" s="470">
        <f t="shared" si="10"/>
        <v>13833333.33333333</v>
      </c>
      <c r="BR63" s="683">
        <f>+BO$28*BQ63+BP63</f>
        <v>3682373.2596603902</v>
      </c>
      <c r="BS63" s="710">
        <f>+BU62</f>
        <v>307502.79545454553</v>
      </c>
      <c r="BT63" s="711">
        <f>+BS$31</f>
        <v>8310.886363636364</v>
      </c>
      <c r="BU63" s="711">
        <f t="shared" si="18"/>
        <v>299191.90909090918</v>
      </c>
      <c r="BV63" s="684">
        <f>+BS$28*BU63+BT63</f>
        <v>73535.586085262912</v>
      </c>
      <c r="BW63" s="710">
        <f>+BY62</f>
        <v>21487335.715909094</v>
      </c>
      <c r="BX63" s="711">
        <f>+BW$31</f>
        <v>576841.22727272729</v>
      </c>
      <c r="BY63" s="711">
        <f t="shared" si="20"/>
        <v>20910494.488636367</v>
      </c>
      <c r="BZ63" s="684">
        <f>+BW$28*BY63+BX63</f>
        <v>5135389.3785117371</v>
      </c>
      <c r="CA63" s="710">
        <f>+CC62</f>
        <v>2027663.5200000005</v>
      </c>
      <c r="CB63" s="711">
        <f>+CA$31</f>
        <v>54433.919999999998</v>
      </c>
      <c r="CC63" s="711">
        <f t="shared" si="21"/>
        <v>1973229.6000000006</v>
      </c>
      <c r="CD63" s="684">
        <f>+CA$28*CC63+CB63</f>
        <v>484603.66801520757</v>
      </c>
      <c r="CE63" s="710">
        <f>+CG62</f>
        <v>176007.33363636368</v>
      </c>
      <c r="CF63" s="711">
        <f>+CE$31</f>
        <v>4725.0290909090909</v>
      </c>
      <c r="CG63" s="711">
        <f t="shared" si="22"/>
        <v>171282.30454545459</v>
      </c>
      <c r="CH63" s="684">
        <f>+CE$28*CG63+CF63</f>
        <v>42065.065843744254</v>
      </c>
      <c r="CI63" s="710">
        <f>+CK62</f>
        <v>472874.31818181812</v>
      </c>
      <c r="CJ63" s="711">
        <f>+CI$31</f>
        <v>12362.727272727272</v>
      </c>
      <c r="CK63" s="711">
        <f t="shared" si="24"/>
        <v>460511.59090909082</v>
      </c>
      <c r="CL63" s="684">
        <f>+CI$28*CK63+CJ63</f>
        <v>112755.58323811818</v>
      </c>
      <c r="CM63" s="967">
        <f t="shared" si="25"/>
        <v>35937787.072590329</v>
      </c>
      <c r="CN63" s="543"/>
      <c r="CO63" s="707">
        <f>+CM63</f>
        <v>35937787.072590329</v>
      </c>
      <c r="CR63" s="710">
        <f>+CT62</f>
        <v>7836061.0333333351</v>
      </c>
      <c r="CS63" s="711">
        <f>+CS62</f>
        <v>1270712.6000000001</v>
      </c>
      <c r="CT63" s="711">
        <f t="shared" si="26"/>
        <v>6565348.4333333354</v>
      </c>
      <c r="CU63" s="684">
        <f t="shared" si="27"/>
        <v>2734126.3816698394</v>
      </c>
    </row>
    <row r="64" spans="1:99">
      <c r="A64" s="514" t="s">
        <v>608</v>
      </c>
      <c r="B64" s="474">
        <f t="shared" si="0"/>
        <v>2018</v>
      </c>
      <c r="C64" s="470">
        <f>+C63</f>
        <v>15491271.447159089</v>
      </c>
      <c r="D64" s="470">
        <f>+D63</f>
        <v>445791.98409090913</v>
      </c>
      <c r="E64" s="470">
        <f t="shared" si="6"/>
        <v>15045479.46306818</v>
      </c>
      <c r="F64" s="683">
        <f>+C$29*E64+D64</f>
        <v>3845158.116175524</v>
      </c>
      <c r="G64" s="470">
        <f>+G63</f>
        <v>3996505.8593181791</v>
      </c>
      <c r="H64" s="470">
        <f>+H63</f>
        <v>115840.74954545456</v>
      </c>
      <c r="I64" s="470">
        <f t="shared" si="7"/>
        <v>3880665.1097727246</v>
      </c>
      <c r="J64" s="683">
        <f>+G$29*I64+H64</f>
        <v>992635.77468941628</v>
      </c>
      <c r="K64" s="702">
        <f>+K63</f>
        <v>10307916.938352268</v>
      </c>
      <c r="L64" s="470">
        <f>+L63</f>
        <v>305419.76113636367</v>
      </c>
      <c r="M64" s="470">
        <f t="shared" si="8"/>
        <v>10002497.177215904</v>
      </c>
      <c r="N64" s="683">
        <f>+K$29*M64+L64</f>
        <v>2565377.6590527492</v>
      </c>
      <c r="O64" s="702">
        <f>+O63</f>
        <v>4275501.4015151504</v>
      </c>
      <c r="P64" s="470">
        <f>+P63</f>
        <v>119316.31818181818</v>
      </c>
      <c r="Q64" s="470">
        <f t="shared" si="11"/>
        <v>4156185.0833333321</v>
      </c>
      <c r="R64" s="683">
        <f>+O$29*Q64+P64</f>
        <v>1058362.1522238157</v>
      </c>
      <c r="S64" s="710">
        <f>+S63</f>
        <v>1992453.2696969681</v>
      </c>
      <c r="T64" s="711">
        <f>+T63</f>
        <v>58315.705454545445</v>
      </c>
      <c r="U64" s="711">
        <f t="shared" si="12"/>
        <v>1934137.5642424226</v>
      </c>
      <c r="V64" s="684">
        <f>+S$29*U64+T64</f>
        <v>495313.52575116331</v>
      </c>
      <c r="W64" s="710">
        <f>+W63</f>
        <v>24843021.155303031</v>
      </c>
      <c r="X64" s="711">
        <f>+X63</f>
        <v>693293.61363636365</v>
      </c>
      <c r="Y64" s="711">
        <f t="shared" si="13"/>
        <v>24149727.541666668</v>
      </c>
      <c r="Z64" s="684">
        <f>+W$29*Y64+X64</f>
        <v>6149667.8093359126</v>
      </c>
      <c r="AA64" s="710">
        <f>+AA63</f>
        <v>16192429.19507575</v>
      </c>
      <c r="AB64" s="711">
        <f>+AB63</f>
        <v>450833.29545454547</v>
      </c>
      <c r="AC64" s="711">
        <f t="shared" si="14"/>
        <v>15741595.899621205</v>
      </c>
      <c r="AD64" s="684">
        <f>+AA$29*AC64+AB64</f>
        <v>4007479.5357746226</v>
      </c>
      <c r="AE64" s="710">
        <f>+AE63</f>
        <v>163224.965909091</v>
      </c>
      <c r="AF64" s="711">
        <f>+AF63</f>
        <v>4597.886363636364</v>
      </c>
      <c r="AG64" s="711">
        <f t="shared" si="15"/>
        <v>158627.07954545465</v>
      </c>
      <c r="AH64" s="684">
        <f>+AE$29*AG64+AF64</f>
        <v>40437.988579185621</v>
      </c>
      <c r="AI64" s="710">
        <f>+AI63</f>
        <v>10885997.071969697</v>
      </c>
      <c r="AJ64" s="711">
        <f>+AJ63</f>
        <v>295547.43181818182</v>
      </c>
      <c r="AK64" s="711">
        <f t="shared" si="19"/>
        <v>10590449.640151516</v>
      </c>
      <c r="AL64" s="684">
        <f>+AI$29*AK64+AJ64</f>
        <v>2688346.938051878</v>
      </c>
      <c r="AM64" s="710">
        <f>+AM63</f>
        <v>4046642.4223863622</v>
      </c>
      <c r="AN64" s="711">
        <f>+AN63</f>
        <v>110866.91568181818</v>
      </c>
      <c r="AO64" s="711">
        <f t="shared" si="16"/>
        <v>3935775.5067045442</v>
      </c>
      <c r="AP64" s="684">
        <f>+AM$29*AO64+AN64</f>
        <v>1000113.5491188641</v>
      </c>
      <c r="AQ64" s="710">
        <f>+AQ63</f>
        <v>33256259.719772737</v>
      </c>
      <c r="AR64" s="711">
        <f>+AR63</f>
        <v>904932.23727272719</v>
      </c>
      <c r="AS64" s="711">
        <f t="shared" si="17"/>
        <v>32351327.482500009</v>
      </c>
      <c r="AT64" s="684">
        <f>+AQ$29*AS64+AR64</f>
        <v>8214370.7461577142</v>
      </c>
      <c r="AU64" s="702">
        <f>+AU63</f>
        <v>22375000</v>
      </c>
      <c r="AV64" s="470">
        <f>+AV63</f>
        <v>750000</v>
      </c>
      <c r="AW64" s="470">
        <f t="shared" si="1"/>
        <v>21625000</v>
      </c>
      <c r="AX64" s="683">
        <f>+AU$29*AW64+AV64</f>
        <v>5721752.065615057</v>
      </c>
      <c r="AY64" s="702">
        <f>+AY63</f>
        <v>14583333.333333332</v>
      </c>
      <c r="AZ64" s="470">
        <f>+AZ63</f>
        <v>500000</v>
      </c>
      <c r="BA64" s="470">
        <f t="shared" si="2"/>
        <v>14083333.333333332</v>
      </c>
      <c r="BB64" s="683">
        <f>+AY$29*BA64+AZ64</f>
        <v>3681979.442908945</v>
      </c>
      <c r="BC64" s="702">
        <f>+BC63</f>
        <v>22750000</v>
      </c>
      <c r="BD64" s="470">
        <f>+BD63</f>
        <v>750000</v>
      </c>
      <c r="BE64" s="470">
        <f t="shared" si="4"/>
        <v>22000000</v>
      </c>
      <c r="BF64" s="683">
        <f>+BC$29*BE64+BD64</f>
        <v>5633364.8046454992</v>
      </c>
      <c r="BG64" s="702">
        <f>+BG63</f>
        <v>14809523.809523813</v>
      </c>
      <c r="BH64" s="470">
        <f>+BH63</f>
        <v>571428.57142857148</v>
      </c>
      <c r="BI64" s="470">
        <f t="shared" si="5"/>
        <v>14238095.238095243</v>
      </c>
      <c r="BJ64" s="683">
        <f>+BG$29*BI64+BH64</f>
        <v>2030253.9122549812</v>
      </c>
      <c r="BK64" s="702">
        <f>+BK63</f>
        <v>20000000</v>
      </c>
      <c r="BL64" s="470">
        <f>+BL63</f>
        <v>1200000</v>
      </c>
      <c r="BM64" s="470">
        <f t="shared" si="9"/>
        <v>18800000</v>
      </c>
      <c r="BN64" s="683">
        <f>+BK$29*BM64+BL64</f>
        <v>3126234.9316329984</v>
      </c>
      <c r="BO64" s="702">
        <f>+BO63</f>
        <v>14499999.999999996</v>
      </c>
      <c r="BP64" s="470">
        <f>+BP63</f>
        <v>666666.66666666663</v>
      </c>
      <c r="BQ64" s="470">
        <f t="shared" si="10"/>
        <v>13833333.33333333</v>
      </c>
      <c r="BR64" s="683">
        <f>+BO$29*BQ64+BP64</f>
        <v>3737267.263527093</v>
      </c>
      <c r="BS64" s="710">
        <f>+BS63</f>
        <v>307502.79545454553</v>
      </c>
      <c r="BT64" s="711">
        <f>+BT63</f>
        <v>8310.886363636364</v>
      </c>
      <c r="BU64" s="711">
        <f t="shared" si="18"/>
        <v>299191.90909090918</v>
      </c>
      <c r="BV64" s="684">
        <f>+BS$29*BU64+BT64</f>
        <v>75910.11743194086</v>
      </c>
      <c r="BW64" s="710">
        <f>+BW63</f>
        <v>21487335.715909094</v>
      </c>
      <c r="BX64" s="711">
        <f>+BX63</f>
        <v>576841.22727272729</v>
      </c>
      <c r="BY64" s="711">
        <f t="shared" si="20"/>
        <v>20910494.488636367</v>
      </c>
      <c r="BZ64" s="684">
        <f>+BW$29*BY64+BX64</f>
        <v>5135389.3785117371</v>
      </c>
      <c r="CA64" s="710">
        <f>+CA63</f>
        <v>2027663.5200000005</v>
      </c>
      <c r="CB64" s="711">
        <f>+CB63</f>
        <v>54433.919999999998</v>
      </c>
      <c r="CC64" s="711">
        <f t="shared" si="21"/>
        <v>1973229.6000000006</v>
      </c>
      <c r="CD64" s="684">
        <f>+CA$29*CC64+CB64</f>
        <v>500264.1701779486</v>
      </c>
      <c r="CE64" s="710">
        <f>+CE63</f>
        <v>176007.33363636368</v>
      </c>
      <c r="CF64" s="711">
        <f>+CF63</f>
        <v>4725.0290909090909</v>
      </c>
      <c r="CG64" s="711">
        <f t="shared" si="22"/>
        <v>171282.30454545459</v>
      </c>
      <c r="CH64" s="684">
        <f>+CE$29*CG64+CF64</f>
        <v>43424.44485405981</v>
      </c>
      <c r="CI64" s="710">
        <f>+CI63</f>
        <v>472874.31818181812</v>
      </c>
      <c r="CJ64" s="711">
        <f>+CJ63</f>
        <v>12362.727272727272</v>
      </c>
      <c r="CK64" s="711">
        <f t="shared" si="24"/>
        <v>460511.59090909082</v>
      </c>
      <c r="CL64" s="684">
        <f>+CI$29*CK64+CJ64</f>
        <v>112755.58323811818</v>
      </c>
      <c r="CM64" s="967">
        <f t="shared" si="25"/>
        <v>36925007.489124648</v>
      </c>
      <c r="CN64" s="708">
        <f>+CM64</f>
        <v>36925007.489124648</v>
      </c>
      <c r="CO64" s="679"/>
      <c r="CR64" s="710">
        <f>+CR63</f>
        <v>7836061.0333333351</v>
      </c>
      <c r="CS64" s="711">
        <f>+CS63</f>
        <v>1270712.6000000001</v>
      </c>
      <c r="CT64" s="711">
        <f t="shared" si="26"/>
        <v>6565348.4333333354</v>
      </c>
      <c r="CU64" s="684">
        <f t="shared" si="27"/>
        <v>2734126.3816698394</v>
      </c>
    </row>
    <row r="65" spans="1:99" ht="12.75" customHeight="1">
      <c r="A65" s="514" t="s">
        <v>609</v>
      </c>
      <c r="B65" s="474">
        <f t="shared" si="0"/>
        <v>2019</v>
      </c>
      <c r="C65" s="470">
        <f>+E64</f>
        <v>15045479.46306818</v>
      </c>
      <c r="D65" s="470">
        <f>+C$31</f>
        <v>445791.98409090913</v>
      </c>
      <c r="E65" s="470">
        <f t="shared" si="6"/>
        <v>14599687.47897727</v>
      </c>
      <c r="F65" s="683">
        <f>+C$28*E65+D65</f>
        <v>3628565.9927173918</v>
      </c>
      <c r="G65" s="470">
        <f>+I64</f>
        <v>3880665.1097727246</v>
      </c>
      <c r="H65" s="470">
        <f>+G$31</f>
        <v>115840.74954545456</v>
      </c>
      <c r="I65" s="470">
        <f t="shared" si="7"/>
        <v>3764824.3602272701</v>
      </c>
      <c r="J65" s="683">
        <f>+G$28*I65+H65</f>
        <v>936583.32626358164</v>
      </c>
      <c r="K65" s="702">
        <f>+M64</f>
        <v>10002497.177215904</v>
      </c>
      <c r="L65" s="470">
        <f>+K$31</f>
        <v>305419.76113636367</v>
      </c>
      <c r="M65" s="470">
        <f t="shared" si="8"/>
        <v>9697077.4160795398</v>
      </c>
      <c r="N65" s="683">
        <f>+K$28*M65+L65</f>
        <v>2419410.6259393725</v>
      </c>
      <c r="O65" s="702">
        <f>+Q64</f>
        <v>4156185.0833333321</v>
      </c>
      <c r="P65" s="470">
        <f>+O$31</f>
        <v>119316.31818181818</v>
      </c>
      <c r="Q65" s="470">
        <f t="shared" si="11"/>
        <v>4036868.7651515137</v>
      </c>
      <c r="R65" s="683">
        <f>+O$28*Q65+P65</f>
        <v>999365.36035901261</v>
      </c>
      <c r="S65" s="710">
        <f>+U64</f>
        <v>1934137.5642424226</v>
      </c>
      <c r="T65" s="711">
        <f>+S$31</f>
        <v>58315.705454545445</v>
      </c>
      <c r="U65" s="711">
        <f t="shared" si="12"/>
        <v>1875821.858787877</v>
      </c>
      <c r="V65" s="684">
        <f>+S$28*U65+T65</f>
        <v>467250.28474334138</v>
      </c>
      <c r="W65" s="710">
        <f>+Y64</f>
        <v>24149727.541666668</v>
      </c>
      <c r="X65" s="711">
        <f>+W$31</f>
        <v>693293.61363636365</v>
      </c>
      <c r="Y65" s="711">
        <f t="shared" si="13"/>
        <v>23456433.928030305</v>
      </c>
      <c r="Z65" s="684">
        <f>+W$28*Y65+X65</f>
        <v>5806863.9108567974</v>
      </c>
      <c r="AA65" s="710">
        <f>+AC64</f>
        <v>15741595.899621205</v>
      </c>
      <c r="AB65" s="711">
        <f>+AA$31</f>
        <v>450833.29545454547</v>
      </c>
      <c r="AC65" s="711">
        <f t="shared" si="14"/>
        <v>15290762.60416666</v>
      </c>
      <c r="AD65" s="684">
        <f>+AA$28*AC65+AB65</f>
        <v>3784263.6759813372</v>
      </c>
      <c r="AE65" s="710">
        <f>+AG64</f>
        <v>158627.07954545465</v>
      </c>
      <c r="AF65" s="711">
        <f>+AE$31</f>
        <v>4597.886363636364</v>
      </c>
      <c r="AG65" s="711">
        <f t="shared" si="15"/>
        <v>154029.19318181829</v>
      </c>
      <c r="AH65" s="684">
        <f>+AE$28*AG65+AF65</f>
        <v>38176.69504256986</v>
      </c>
      <c r="AI65" s="710">
        <f>+AK64</f>
        <v>10590449.640151516</v>
      </c>
      <c r="AJ65" s="711">
        <f>+AI$31</f>
        <v>295547.43181818182</v>
      </c>
      <c r="AK65" s="711">
        <f t="shared" si="19"/>
        <v>10294902.208333334</v>
      </c>
      <c r="AL65" s="684">
        <f>+AI$28*AK65+AJ65</f>
        <v>2539865.8267986509</v>
      </c>
      <c r="AM65" s="710">
        <f>+AO64</f>
        <v>3935775.5067045442</v>
      </c>
      <c r="AN65" s="711">
        <f>+AM$31</f>
        <v>110866.91568181818</v>
      </c>
      <c r="AO65" s="711">
        <f t="shared" si="16"/>
        <v>3824908.5910227261</v>
      </c>
      <c r="AP65" s="684">
        <f>+AM$28*AO65+AN65</f>
        <v>944708.02813089569</v>
      </c>
      <c r="AQ65" s="710">
        <f>+AS64</f>
        <v>32351327.482500009</v>
      </c>
      <c r="AR65" s="711">
        <f>+AQ$31</f>
        <v>904932.23727272719</v>
      </c>
      <c r="AS65" s="711">
        <f t="shared" si="17"/>
        <v>31446395.245227281</v>
      </c>
      <c r="AT65" s="684">
        <f>+AQ$28*AS65+AR65</f>
        <v>7760337.1625921307</v>
      </c>
      <c r="AU65" s="702">
        <f>+AW64</f>
        <v>21625000</v>
      </c>
      <c r="AV65" s="470">
        <f>+AU$31</f>
        <v>750000</v>
      </c>
      <c r="AW65" s="470">
        <f t="shared" si="1"/>
        <v>20875000</v>
      </c>
      <c r="AX65" s="683">
        <f>+AU$28*AW65+AV65</f>
        <v>5300810.2502706507</v>
      </c>
      <c r="AY65" s="702">
        <f>+BA64</f>
        <v>14083333.333333332</v>
      </c>
      <c r="AZ65" s="470">
        <f>+AY$31</f>
        <v>500000</v>
      </c>
      <c r="BA65" s="470">
        <f t="shared" si="2"/>
        <v>13583333.333333332</v>
      </c>
      <c r="BB65" s="683">
        <f>+AY$28*BA65+AZ65</f>
        <v>3461205.8714335966</v>
      </c>
      <c r="BC65" s="702">
        <f>+BE64</f>
        <v>22000000</v>
      </c>
      <c r="BD65" s="470">
        <f>+BC$31</f>
        <v>750000</v>
      </c>
      <c r="BE65" s="470">
        <f t="shared" si="4"/>
        <v>21250000</v>
      </c>
      <c r="BF65" s="683">
        <f>+BC$28*BE65+BD65</f>
        <v>5382561.3326108418</v>
      </c>
      <c r="BG65" s="702">
        <f>+BI64</f>
        <v>14238095.238095243</v>
      </c>
      <c r="BH65" s="470">
        <f>+BG$31</f>
        <v>571428.57142857148</v>
      </c>
      <c r="BI65" s="470">
        <f t="shared" si="5"/>
        <v>13666666.666666672</v>
      </c>
      <c r="BJ65" s="683">
        <f>+BG$28*BI65+BH65</f>
        <v>1971705.7380412123</v>
      </c>
      <c r="BK65" s="702">
        <f>+BM64</f>
        <v>18800000</v>
      </c>
      <c r="BL65" s="470">
        <f>+BK$31</f>
        <v>1200000</v>
      </c>
      <c r="BM65" s="470">
        <f t="shared" si="9"/>
        <v>17600000</v>
      </c>
      <c r="BN65" s="683">
        <f>+BK$28*BM65+BL65</f>
        <v>3003283.7657840834</v>
      </c>
      <c r="BO65" s="702">
        <f>+BQ64</f>
        <v>13833333.33333333</v>
      </c>
      <c r="BP65" s="470">
        <f>+BO$31</f>
        <v>666666.66666666663</v>
      </c>
      <c r="BQ65" s="470">
        <f t="shared" si="10"/>
        <v>13166666.666666664</v>
      </c>
      <c r="BR65" s="683">
        <f>+BO$28*BQ65+BP65</f>
        <v>3537038.0021667168</v>
      </c>
      <c r="BS65" s="710">
        <f>+BU64</f>
        <v>299191.90909090918</v>
      </c>
      <c r="BT65" s="711">
        <f>+BS$31</f>
        <v>8310.886363636364</v>
      </c>
      <c r="BU65" s="711">
        <f t="shared" si="18"/>
        <v>290881.02272727282</v>
      </c>
      <c r="BV65" s="684">
        <f>+BS$28*BU65+BT65</f>
        <v>71723.788870773278</v>
      </c>
      <c r="BW65" s="710">
        <f>+BY64</f>
        <v>20910494.488636367</v>
      </c>
      <c r="BX65" s="711">
        <f>+BW$31</f>
        <v>576841.22727272729</v>
      </c>
      <c r="BY65" s="711">
        <f t="shared" si="20"/>
        <v>20333653.26136364</v>
      </c>
      <c r="BZ65" s="684">
        <f>+BW$28*BY65+BX65</f>
        <v>5009636.3260637643</v>
      </c>
      <c r="CA65" s="710">
        <f>+CC64</f>
        <v>1973229.6000000006</v>
      </c>
      <c r="CB65" s="711">
        <f>+CA$31</f>
        <v>54433.919999999998</v>
      </c>
      <c r="CC65" s="711">
        <f t="shared" si="21"/>
        <v>1918795.6800000006</v>
      </c>
      <c r="CD65" s="684">
        <f>+CA$28*CC65+CB65</f>
        <v>472736.91634582257</v>
      </c>
      <c r="CE65" s="710">
        <f>+CG64</f>
        <v>171282.30454545459</v>
      </c>
      <c r="CF65" s="711">
        <f>+CE$31</f>
        <v>4725.0290909090909</v>
      </c>
      <c r="CG65" s="711">
        <f t="shared" si="22"/>
        <v>166557.27545454551</v>
      </c>
      <c r="CH65" s="684">
        <f>+CE$28*CG65+CF65</f>
        <v>41034.995864355697</v>
      </c>
      <c r="CI65" s="710">
        <f>+CK64</f>
        <v>460511.59090909082</v>
      </c>
      <c r="CJ65" s="711">
        <f>+CI$31</f>
        <v>12362.727272727272</v>
      </c>
      <c r="CK65" s="711">
        <f t="shared" si="24"/>
        <v>448148.86363636353</v>
      </c>
      <c r="CL65" s="684">
        <f>+CI$28*CK65+CJ65</f>
        <v>110060.47301085934</v>
      </c>
      <c r="CM65" s="967">
        <f t="shared" si="25"/>
        <v>35030583.389580652</v>
      </c>
      <c r="CN65" s="543"/>
      <c r="CO65" s="707">
        <f>+CM65</f>
        <v>35030583.389580652</v>
      </c>
      <c r="CR65" s="710">
        <f>+CT64</f>
        <v>6565348.4333333354</v>
      </c>
      <c r="CS65" s="711">
        <f>+CS63</f>
        <v>1270712.6000000001</v>
      </c>
      <c r="CT65" s="711">
        <f t="shared" si="26"/>
        <v>5294635.8333333358</v>
      </c>
      <c r="CU65" s="684">
        <f t="shared" si="27"/>
        <v>2450885.0045724511</v>
      </c>
    </row>
    <row r="66" spans="1:99">
      <c r="A66" s="514" t="s">
        <v>608</v>
      </c>
      <c r="B66" s="474">
        <f t="shared" si="0"/>
        <v>2019</v>
      </c>
      <c r="C66" s="470">
        <f>+C65</f>
        <v>15045479.46306818</v>
      </c>
      <c r="D66" s="470">
        <f>+D65</f>
        <v>445791.98409090913</v>
      </c>
      <c r="E66" s="470">
        <f t="shared" si="6"/>
        <v>14599687.47897727</v>
      </c>
      <c r="F66" s="683">
        <f>+C$29*E66+D66</f>
        <v>3744436.1567063509</v>
      </c>
      <c r="G66" s="470">
        <f>+G65</f>
        <v>3880665.1097727246</v>
      </c>
      <c r="H66" s="470">
        <f>+H65</f>
        <v>115840.74954545456</v>
      </c>
      <c r="I66" s="470">
        <f t="shared" si="7"/>
        <v>3764824.3602272701</v>
      </c>
      <c r="J66" s="683">
        <f>+G$29*I66+H66</f>
        <v>966462.7888642234</v>
      </c>
      <c r="K66" s="702">
        <f>+K65</f>
        <v>10002497.177215904</v>
      </c>
      <c r="L66" s="470">
        <f>+L65</f>
        <v>305419.76113636367</v>
      </c>
      <c r="M66" s="470">
        <f t="shared" si="8"/>
        <v>9697077.4160795398</v>
      </c>
      <c r="N66" s="683">
        <f>+K$29*M66+L66</f>
        <v>2496371.3110247678</v>
      </c>
      <c r="O66" s="702">
        <f>+O65</f>
        <v>4156185.0833333321</v>
      </c>
      <c r="P66" s="470">
        <f>+P65</f>
        <v>119316.31818181818</v>
      </c>
      <c r="Q66" s="470">
        <f t="shared" si="11"/>
        <v>4036868.7651515137</v>
      </c>
      <c r="R66" s="683">
        <f>+O$29*Q66+P66</f>
        <v>1031403.8986149544</v>
      </c>
      <c r="S66" s="710">
        <f>+S65</f>
        <v>1934137.5642424226</v>
      </c>
      <c r="T66" s="711">
        <f>+T65</f>
        <v>58315.705454545445</v>
      </c>
      <c r="U66" s="711">
        <f t="shared" si="12"/>
        <v>1875821.858787877</v>
      </c>
      <c r="V66" s="684">
        <f>+S$29*U66+T66</f>
        <v>482137.71207387833</v>
      </c>
      <c r="W66" s="710">
        <f>+W65</f>
        <v>24149727.541666668</v>
      </c>
      <c r="X66" s="711">
        <f>+X65</f>
        <v>693293.61363636365</v>
      </c>
      <c r="Y66" s="711">
        <f t="shared" si="13"/>
        <v>23456433.928030305</v>
      </c>
      <c r="Z66" s="684">
        <f>+W$29*Y66+X66</f>
        <v>5993025.4879282704</v>
      </c>
      <c r="AA66" s="710">
        <f>+AA65</f>
        <v>15741595.899621205</v>
      </c>
      <c r="AB66" s="711">
        <f>+AB65</f>
        <v>450833.29545454547</v>
      </c>
      <c r="AC66" s="711">
        <f t="shared" si="14"/>
        <v>15290762.60416666</v>
      </c>
      <c r="AD66" s="684">
        <f>+AA$29*AC66+AB66</f>
        <v>3905618.5455983914</v>
      </c>
      <c r="AE66" s="710">
        <f>+AE65</f>
        <v>158627.07954545465</v>
      </c>
      <c r="AF66" s="711">
        <f>+AF65</f>
        <v>4597.886363636364</v>
      </c>
      <c r="AG66" s="711">
        <f t="shared" si="15"/>
        <v>154029.19318181829</v>
      </c>
      <c r="AH66" s="684">
        <f>+AE$29*AG66+AF66</f>
        <v>39399.145036705944</v>
      </c>
      <c r="AI66" s="710">
        <f>+AI65</f>
        <v>10590449.640151516</v>
      </c>
      <c r="AJ66" s="711">
        <f>+AJ65</f>
        <v>295547.43181818182</v>
      </c>
      <c r="AK66" s="711">
        <f t="shared" si="19"/>
        <v>10294902.208333334</v>
      </c>
      <c r="AL66" s="684">
        <f>+AI$29*AK66+AJ66</f>
        <v>2621571.1378779146</v>
      </c>
      <c r="AM66" s="710">
        <f>+AM65</f>
        <v>3935775.5067045442</v>
      </c>
      <c r="AN66" s="711">
        <f>+AN65</f>
        <v>110866.91568181818</v>
      </c>
      <c r="AO66" s="711">
        <f t="shared" si="16"/>
        <v>3824908.5910227261</v>
      </c>
      <c r="AP66" s="684">
        <f>+AM$29*AO66+AN66</f>
        <v>975064.3481769755</v>
      </c>
      <c r="AQ66" s="710">
        <f>+AQ65</f>
        <v>32351327.482500009</v>
      </c>
      <c r="AR66" s="711">
        <f>+AR65</f>
        <v>904932.23727272719</v>
      </c>
      <c r="AS66" s="711">
        <f t="shared" si="17"/>
        <v>31446395.245227281</v>
      </c>
      <c r="AT66" s="684">
        <f>+AQ$29*AS66+AR66</f>
        <v>8009910.9277273649</v>
      </c>
      <c r="AU66" s="702">
        <f>+AU65</f>
        <v>21625000</v>
      </c>
      <c r="AV66" s="470">
        <f>+AV65</f>
        <v>750000</v>
      </c>
      <c r="AW66" s="470">
        <f t="shared" si="1"/>
        <v>20875000</v>
      </c>
      <c r="AX66" s="683">
        <f>+AU$29*AW66+AV66</f>
        <v>5549321.3581370777</v>
      </c>
      <c r="AY66" s="702">
        <f>+AY65</f>
        <v>14083333.333333332</v>
      </c>
      <c r="AZ66" s="470">
        <f>+AZ65</f>
        <v>500000</v>
      </c>
      <c r="BA66" s="470">
        <f t="shared" si="2"/>
        <v>13583333.333333332</v>
      </c>
      <c r="BB66" s="683">
        <f>+AY$29*BA66+AZ66</f>
        <v>3569009.758545314</v>
      </c>
      <c r="BC66" s="702">
        <f>+BC65</f>
        <v>22000000</v>
      </c>
      <c r="BD66" s="470">
        <f>+BD65</f>
        <v>750000</v>
      </c>
      <c r="BE66" s="470">
        <f t="shared" si="4"/>
        <v>21250000</v>
      </c>
      <c r="BF66" s="683">
        <f>+BC$29*BE66+BD66</f>
        <v>5466886.459032584</v>
      </c>
      <c r="BG66" s="702">
        <f>+BG65</f>
        <v>14238095.238095243</v>
      </c>
      <c r="BH66" s="470">
        <f>+BH65</f>
        <v>571428.57142857148</v>
      </c>
      <c r="BI66" s="470">
        <f t="shared" si="5"/>
        <v>13666666.666666672</v>
      </c>
      <c r="BJ66" s="683">
        <f>+BG$29*BI66+BH66</f>
        <v>1971705.7380412123</v>
      </c>
      <c r="BK66" s="702">
        <f>+BK65</f>
        <v>18800000</v>
      </c>
      <c r="BL66" s="470">
        <f>+BL65</f>
        <v>1200000</v>
      </c>
      <c r="BM66" s="470">
        <f t="shared" si="9"/>
        <v>17600000</v>
      </c>
      <c r="BN66" s="683">
        <f>+BK$29*BM66+BL66</f>
        <v>3003283.7657840834</v>
      </c>
      <c r="BO66" s="702">
        <f>+BO65</f>
        <v>13833333.33333333</v>
      </c>
      <c r="BP66" s="470">
        <f>+BP65</f>
        <v>666666.66666666663</v>
      </c>
      <c r="BQ66" s="470">
        <f t="shared" si="10"/>
        <v>13166666.666666664</v>
      </c>
      <c r="BR66" s="683">
        <f>+BO$29*BQ66+BP66</f>
        <v>3589286.5118711689</v>
      </c>
      <c r="BS66" s="710">
        <f>+BS65</f>
        <v>299191.90909090918</v>
      </c>
      <c r="BT66" s="711">
        <f>+BT65</f>
        <v>8310.886363636364</v>
      </c>
      <c r="BU66" s="711">
        <f t="shared" si="18"/>
        <v>290881.02272727282</v>
      </c>
      <c r="BV66" s="684">
        <f>+BS$29*BU66+BT66</f>
        <v>74032.361013376852</v>
      </c>
      <c r="BW66" s="710">
        <f>+BW65</f>
        <v>20910494.488636367</v>
      </c>
      <c r="BX66" s="711">
        <f>+BX65</f>
        <v>576841.22727272729</v>
      </c>
      <c r="BY66" s="711">
        <f t="shared" si="20"/>
        <v>20333653.26136364</v>
      </c>
      <c r="BZ66" s="684">
        <f>+BW$29*BY66+BX66</f>
        <v>5009636.3260637643</v>
      </c>
      <c r="CA66" s="710">
        <f>+CA65</f>
        <v>1973229.6000000006</v>
      </c>
      <c r="CB66" s="711">
        <f>+CB65</f>
        <v>54433.919999999998</v>
      </c>
      <c r="CC66" s="711">
        <f t="shared" si="21"/>
        <v>1918795.6800000006</v>
      </c>
      <c r="CD66" s="684">
        <f>+CA$29*CC66+CB66</f>
        <v>487965.40465579828</v>
      </c>
      <c r="CE66" s="710">
        <f>+CE65</f>
        <v>171282.30454545459</v>
      </c>
      <c r="CF66" s="711">
        <f>+CF65</f>
        <v>4725.0290909090909</v>
      </c>
      <c r="CG66" s="711">
        <f t="shared" si="22"/>
        <v>166557.27545454551</v>
      </c>
      <c r="CH66" s="684">
        <f>+CE$29*CG66+CF66</f>
        <v>42356.874764041859</v>
      </c>
      <c r="CI66" s="710">
        <f>+CI65</f>
        <v>460511.59090909082</v>
      </c>
      <c r="CJ66" s="711">
        <f>+CJ65</f>
        <v>12362.727272727272</v>
      </c>
      <c r="CK66" s="711">
        <f t="shared" si="24"/>
        <v>448148.86363636353</v>
      </c>
      <c r="CL66" s="684">
        <f>+CI$29*CK66+CJ66</f>
        <v>110060.47301085934</v>
      </c>
      <c r="CM66" s="967">
        <f t="shared" si="25"/>
        <v>35989452.899137639</v>
      </c>
      <c r="CN66" s="708">
        <f>+CM66</f>
        <v>35989452.899137639</v>
      </c>
      <c r="CO66" s="679"/>
      <c r="CR66" s="710">
        <f>+CR65</f>
        <v>6565348.4333333354</v>
      </c>
      <c r="CS66" s="711">
        <f>+CS65</f>
        <v>1270712.6000000001</v>
      </c>
      <c r="CT66" s="711">
        <f t="shared" si="26"/>
        <v>5294635.8333333358</v>
      </c>
      <c r="CU66" s="684">
        <f t="shared" si="27"/>
        <v>2450885.0045724511</v>
      </c>
    </row>
    <row r="67" spans="1:99">
      <c r="A67" s="514" t="s">
        <v>609</v>
      </c>
      <c r="B67" s="474">
        <f t="shared" si="0"/>
        <v>2020</v>
      </c>
      <c r="C67" s="470">
        <f>+E66</f>
        <v>14599687.47897727</v>
      </c>
      <c r="D67" s="470">
        <f>+C$31</f>
        <v>445791.98409090913</v>
      </c>
      <c r="E67" s="470">
        <f t="shared" si="6"/>
        <v>14153895.494886361</v>
      </c>
      <c r="F67" s="683">
        <f>+C$28*E67+D67</f>
        <v>3531382.0535226902</v>
      </c>
      <c r="G67" s="470">
        <f>+I66</f>
        <v>3764824.3602272701</v>
      </c>
      <c r="H67" s="470">
        <f>+G$31</f>
        <v>115840.74954545456</v>
      </c>
      <c r="I67" s="470">
        <f t="shared" si="7"/>
        <v>3648983.6106818155</v>
      </c>
      <c r="J67" s="683">
        <f>+G$28*I67+H67</f>
        <v>911329.70851840847</v>
      </c>
      <c r="K67" s="702">
        <f>+M66</f>
        <v>9697077.4160795398</v>
      </c>
      <c r="L67" s="470">
        <f>+K$31</f>
        <v>305419.76113636367</v>
      </c>
      <c r="M67" s="470">
        <f t="shared" si="8"/>
        <v>9391657.6549431756</v>
      </c>
      <c r="N67" s="683">
        <f>+K$28*M67+L67</f>
        <v>2352828.2364967577</v>
      </c>
      <c r="O67" s="702">
        <f>+Q66</f>
        <v>4036868.7651515137</v>
      </c>
      <c r="P67" s="470">
        <f>+O$31</f>
        <v>119316.31818181818</v>
      </c>
      <c r="Q67" s="470">
        <f t="shared" si="11"/>
        <v>3917552.4469696954</v>
      </c>
      <c r="R67" s="683">
        <f>+O$28*Q67+P67</f>
        <v>973354.05861978512</v>
      </c>
      <c r="S67" s="710">
        <f>+U66</f>
        <v>1875821.858787877</v>
      </c>
      <c r="T67" s="711">
        <f>+S$31</f>
        <v>58315.705454545445</v>
      </c>
      <c r="U67" s="711">
        <f t="shared" si="12"/>
        <v>1817506.1533333315</v>
      </c>
      <c r="V67" s="684">
        <f>+S$28*U67+T67</f>
        <v>454537.29264109902</v>
      </c>
      <c r="W67" s="710">
        <f>+Y66</f>
        <v>23456433.928030305</v>
      </c>
      <c r="X67" s="711">
        <f>+W$31</f>
        <v>693293.61363636365</v>
      </c>
      <c r="Y67" s="711">
        <f t="shared" si="13"/>
        <v>22763140.314393941</v>
      </c>
      <c r="Z67" s="684">
        <f>+W$28*Y67+X67</f>
        <v>5655723.9020719575</v>
      </c>
      <c r="AA67" s="710">
        <f>+AC66</f>
        <v>15290762.60416666</v>
      </c>
      <c r="AB67" s="711">
        <f>+AA$31</f>
        <v>450833.29545454547</v>
      </c>
      <c r="AC67" s="711">
        <f t="shared" si="14"/>
        <v>14839929.308712116</v>
      </c>
      <c r="AD67" s="684">
        <f>+AA$28*AC67+AB67</f>
        <v>3685980.7163589261</v>
      </c>
      <c r="AE67" s="710">
        <f>+AG66</f>
        <v>154029.19318181829</v>
      </c>
      <c r="AF67" s="711">
        <f>+AE$31</f>
        <v>4597.886363636364</v>
      </c>
      <c r="AG67" s="711">
        <f t="shared" si="15"/>
        <v>149431.30681818194</v>
      </c>
      <c r="AH67" s="684">
        <f>+AE$28*AG67+AF67</f>
        <v>37174.342544691259</v>
      </c>
      <c r="AI67" s="710">
        <f>+AK66</f>
        <v>10294902.208333334</v>
      </c>
      <c r="AJ67" s="711">
        <f>+AI$31</f>
        <v>295547.43181818182</v>
      </c>
      <c r="AK67" s="711">
        <f t="shared" si="19"/>
        <v>9999354.7765151523</v>
      </c>
      <c r="AL67" s="684">
        <f>+AI$28*AK67+AJ67</f>
        <v>2475435.6336413166</v>
      </c>
      <c r="AM67" s="710">
        <f>+AO66</f>
        <v>3824908.5910227261</v>
      </c>
      <c r="AN67" s="711">
        <f>+AM$31</f>
        <v>110866.91568181818</v>
      </c>
      <c r="AO67" s="711">
        <f t="shared" si="16"/>
        <v>3714041.6753409081</v>
      </c>
      <c r="AP67" s="684">
        <f>+AM$28*AO67+AN67</f>
        <v>920538.72052367602</v>
      </c>
      <c r="AQ67" s="710">
        <f>+AS66</f>
        <v>31446395.245227281</v>
      </c>
      <c r="AR67" s="711">
        <f>+AQ$31</f>
        <v>904932.23727272719</v>
      </c>
      <c r="AS67" s="711">
        <f t="shared" si="17"/>
        <v>30541463.007954553</v>
      </c>
      <c r="AT67" s="684">
        <f>+AQ$28*AS67+AR67</f>
        <v>7563059.3230145946</v>
      </c>
      <c r="AU67" s="702">
        <f>+AW66</f>
        <v>20875000</v>
      </c>
      <c r="AV67" s="470">
        <f>+AU$31</f>
        <v>750000</v>
      </c>
      <c r="AW67" s="470">
        <f t="shared" si="1"/>
        <v>20125000</v>
      </c>
      <c r="AX67" s="683">
        <f>+AU$28*AW67+AV67</f>
        <v>5137308.0855902676</v>
      </c>
      <c r="AY67" s="702">
        <f>+BA66</f>
        <v>13583333.333333332</v>
      </c>
      <c r="AZ67" s="470">
        <f>+AY$31</f>
        <v>500000</v>
      </c>
      <c r="BA67" s="470">
        <f t="shared" si="2"/>
        <v>13083333.333333332</v>
      </c>
      <c r="BB67" s="683">
        <f>+AY$28*BA67+AZ67</f>
        <v>3352204.4283133415</v>
      </c>
      <c r="BC67" s="702">
        <f>+BE66</f>
        <v>21250000</v>
      </c>
      <c r="BD67" s="470">
        <f>+BC$31</f>
        <v>750000</v>
      </c>
      <c r="BE67" s="470">
        <f t="shared" si="4"/>
        <v>20500000</v>
      </c>
      <c r="BF67" s="683">
        <f>+BC$28*BE67+BD67</f>
        <v>5219059.1679304596</v>
      </c>
      <c r="BG67" s="702">
        <f>+BI66</f>
        <v>13666666.666666672</v>
      </c>
      <c r="BH67" s="470">
        <f>+BG$31</f>
        <v>571428.57142857148</v>
      </c>
      <c r="BI67" s="470">
        <f t="shared" si="5"/>
        <v>13095238.095238101</v>
      </c>
      <c r="BJ67" s="683">
        <f>+BG$28*BI67+BH67</f>
        <v>1913157.5638274434</v>
      </c>
      <c r="BK67" s="702">
        <f>+BM66</f>
        <v>17600000</v>
      </c>
      <c r="BL67" s="470">
        <f>+BK$31</f>
        <v>1200000</v>
      </c>
      <c r="BM67" s="470">
        <f t="shared" si="9"/>
        <v>16400000</v>
      </c>
      <c r="BN67" s="683">
        <f>+BK$28*BM67+BL67</f>
        <v>2880332.5999351684</v>
      </c>
      <c r="BO67" s="702">
        <f>+BQ66</f>
        <v>13166666.666666664</v>
      </c>
      <c r="BP67" s="470">
        <f>+BO$31</f>
        <v>666666.66666666663</v>
      </c>
      <c r="BQ67" s="470">
        <f t="shared" si="10"/>
        <v>12499999.999999998</v>
      </c>
      <c r="BR67" s="683">
        <f>+BO$28*BQ67+BP67</f>
        <v>3391702.7446730435</v>
      </c>
      <c r="BS67" s="710">
        <f>+BU66</f>
        <v>290881.02272727282</v>
      </c>
      <c r="BT67" s="711">
        <f>+BS$31</f>
        <v>8310.886363636364</v>
      </c>
      <c r="BU67" s="711">
        <f t="shared" si="18"/>
        <v>282570.13636363647</v>
      </c>
      <c r="BV67" s="684">
        <f>+BS$28*BU67+BT67</f>
        <v>69911.991656283659</v>
      </c>
      <c r="BW67" s="710">
        <f>+BY66</f>
        <v>20333653.26136364</v>
      </c>
      <c r="BX67" s="711">
        <f>+BW$31</f>
        <v>576841.22727272729</v>
      </c>
      <c r="BY67" s="711">
        <f t="shared" si="20"/>
        <v>19756812.034090914</v>
      </c>
      <c r="BZ67" s="684">
        <f>+BW$28*BY67+BX67</f>
        <v>4883883.2736157924</v>
      </c>
      <c r="CA67" s="710">
        <f>+CC66</f>
        <v>1918795.6800000006</v>
      </c>
      <c r="CB67" s="711">
        <f>+CA$31</f>
        <v>54433.919999999998</v>
      </c>
      <c r="CC67" s="711">
        <f t="shared" si="21"/>
        <v>1864361.7600000007</v>
      </c>
      <c r="CD67" s="684">
        <f>+CA$28*CC67+CB67</f>
        <v>460870.1646764375</v>
      </c>
      <c r="CE67" s="710">
        <f>+CG66</f>
        <v>166557.27545454551</v>
      </c>
      <c r="CF67" s="711">
        <f>+CE$31</f>
        <v>4725.0290909090909</v>
      </c>
      <c r="CG67" s="711">
        <f t="shared" si="22"/>
        <v>161832.24636363643</v>
      </c>
      <c r="CH67" s="684">
        <f>+CE$28*CG67+CF67</f>
        <v>40004.925884967146</v>
      </c>
      <c r="CI67" s="710">
        <f>+CK66</f>
        <v>448148.86363636353</v>
      </c>
      <c r="CJ67" s="711">
        <f>+CI$31</f>
        <v>12362.727272727272</v>
      </c>
      <c r="CK67" s="711">
        <f t="shared" si="24"/>
        <v>435786.13636363624</v>
      </c>
      <c r="CL67" s="684">
        <f>+CI$28*CK67+CJ67</f>
        <v>107365.36278360052</v>
      </c>
      <c r="CM67" s="967">
        <f t="shared" si="25"/>
        <v>34123379.70657099</v>
      </c>
      <c r="CN67" s="543"/>
      <c r="CO67" s="707">
        <f>+CM67</f>
        <v>34123379.70657099</v>
      </c>
      <c r="CR67" s="710">
        <f>+CT66</f>
        <v>5294635.8333333358</v>
      </c>
      <c r="CS67" s="711">
        <f t="shared" ref="CS67:CS74" si="28">+CS66</f>
        <v>1270712.6000000001</v>
      </c>
      <c r="CT67" s="711">
        <f t="shared" si="26"/>
        <v>4023923.2333333357</v>
      </c>
      <c r="CU67" s="684">
        <f t="shared" si="27"/>
        <v>2167643.6274750633</v>
      </c>
    </row>
    <row r="68" spans="1:99">
      <c r="A68" s="514" t="s">
        <v>608</v>
      </c>
      <c r="B68" s="474">
        <f t="shared" si="0"/>
        <v>2020</v>
      </c>
      <c r="C68" s="470">
        <f>+C67</f>
        <v>14599687.47897727</v>
      </c>
      <c r="D68" s="470">
        <f>+D67</f>
        <v>445791.98409090913</v>
      </c>
      <c r="E68" s="470">
        <f t="shared" si="6"/>
        <v>14153895.494886361</v>
      </c>
      <c r="F68" s="683">
        <f>+C$29*E68+D68</f>
        <v>3643714.1972371768</v>
      </c>
      <c r="G68" s="470">
        <f>+G67</f>
        <v>3764824.3602272701</v>
      </c>
      <c r="H68" s="470">
        <f>+H67</f>
        <v>115840.74954545456</v>
      </c>
      <c r="I68" s="470">
        <f t="shared" si="7"/>
        <v>3648983.6106818155</v>
      </c>
      <c r="J68" s="683">
        <f>+G$29*I68+H68</f>
        <v>940289.80303903052</v>
      </c>
      <c r="K68" s="702">
        <f>+K67</f>
        <v>9697077.4160795398</v>
      </c>
      <c r="L68" s="470">
        <f>+L67</f>
        <v>305419.76113636367</v>
      </c>
      <c r="M68" s="470">
        <f t="shared" si="8"/>
        <v>9391657.6549431756</v>
      </c>
      <c r="N68" s="683">
        <f>+K$29*M68+L68</f>
        <v>2427364.9629967865</v>
      </c>
      <c r="O68" s="702">
        <f>+O67</f>
        <v>4036868.7651515137</v>
      </c>
      <c r="P68" s="470">
        <f>+P67</f>
        <v>119316.31818181818</v>
      </c>
      <c r="Q68" s="470">
        <f t="shared" si="11"/>
        <v>3917552.4469696954</v>
      </c>
      <c r="R68" s="683">
        <f>+O$29*Q68+P68</f>
        <v>1004445.6450060932</v>
      </c>
      <c r="S68" s="710">
        <f>+S67</f>
        <v>1875821.858787877</v>
      </c>
      <c r="T68" s="711">
        <f>+T67</f>
        <v>58315.705454545445</v>
      </c>
      <c r="U68" s="711">
        <f t="shared" si="12"/>
        <v>1817506.1533333315</v>
      </c>
      <c r="V68" s="684">
        <f>+S$29*U68+T68</f>
        <v>468961.89839659334</v>
      </c>
      <c r="W68" s="710">
        <f>+W67</f>
        <v>23456433.928030305</v>
      </c>
      <c r="X68" s="711">
        <f>+X67</f>
        <v>693293.61363636365</v>
      </c>
      <c r="Y68" s="711">
        <f t="shared" si="13"/>
        <v>22763140.314393941</v>
      </c>
      <c r="Z68" s="684">
        <f>+W$29*Y68+X68</f>
        <v>5836383.1665206272</v>
      </c>
      <c r="AA68" s="710">
        <f>+AA67</f>
        <v>15290762.60416666</v>
      </c>
      <c r="AB68" s="711">
        <f>+AB67</f>
        <v>450833.29545454547</v>
      </c>
      <c r="AC68" s="711">
        <f t="shared" si="14"/>
        <v>14839929.308712116</v>
      </c>
      <c r="AD68" s="684">
        <f>+AA$29*AC68+AB68</f>
        <v>3803757.5554221603</v>
      </c>
      <c r="AE68" s="710">
        <f>+AE67</f>
        <v>154029.19318181829</v>
      </c>
      <c r="AF68" s="711">
        <f>+AF67</f>
        <v>4597.886363636364</v>
      </c>
      <c r="AG68" s="711">
        <f t="shared" si="15"/>
        <v>149431.30681818194</v>
      </c>
      <c r="AH68" s="684">
        <f>+AE$29*AG68+AF68</f>
        <v>38360.301494226253</v>
      </c>
      <c r="AI68" s="710">
        <f>+AI67</f>
        <v>10294902.208333334</v>
      </c>
      <c r="AJ68" s="711">
        <f>+AJ67</f>
        <v>295547.43181818182</v>
      </c>
      <c r="AK68" s="711">
        <f t="shared" si="19"/>
        <v>9999354.7765151523</v>
      </c>
      <c r="AL68" s="684">
        <f>+AI$29*AK68+AJ68</f>
        <v>2554795.3377039512</v>
      </c>
      <c r="AM68" s="710">
        <f>+AM67</f>
        <v>3824908.5910227261</v>
      </c>
      <c r="AN68" s="711">
        <f>+AN67</f>
        <v>110866.91568181818</v>
      </c>
      <c r="AO68" s="711">
        <f t="shared" si="16"/>
        <v>3714041.6753409081</v>
      </c>
      <c r="AP68" s="684">
        <f>+AM$29*AO68+AN68</f>
        <v>950015.14723508689</v>
      </c>
      <c r="AQ68" s="710">
        <f>+AQ67</f>
        <v>31446395.245227281</v>
      </c>
      <c r="AR68" s="711">
        <f>+AR67</f>
        <v>904932.23727272719</v>
      </c>
      <c r="AS68" s="711">
        <f t="shared" si="17"/>
        <v>30541463.007954553</v>
      </c>
      <c r="AT68" s="684">
        <f>+AQ$29*AS68+AR68</f>
        <v>7805451.1092970157</v>
      </c>
      <c r="AU68" s="702">
        <f>+AU67</f>
        <v>20875000</v>
      </c>
      <c r="AV68" s="470">
        <f>+AV67</f>
        <v>750000</v>
      </c>
      <c r="AW68" s="470">
        <f t="shared" si="1"/>
        <v>20125000</v>
      </c>
      <c r="AX68" s="683">
        <f>+AU$29*AW68+AV68</f>
        <v>5376890.6506590992</v>
      </c>
      <c r="AY68" s="702">
        <f>+AY67</f>
        <v>13583333.333333332</v>
      </c>
      <c r="AZ68" s="470">
        <f>+AZ67</f>
        <v>500000</v>
      </c>
      <c r="BA68" s="470">
        <f t="shared" si="2"/>
        <v>13083333.333333332</v>
      </c>
      <c r="BB68" s="683">
        <f>+AY$29*BA68+AZ68</f>
        <v>3456040.0741816829</v>
      </c>
      <c r="BC68" s="702">
        <f>+BC67</f>
        <v>21250000</v>
      </c>
      <c r="BD68" s="470">
        <f>+BD67</f>
        <v>750000</v>
      </c>
      <c r="BE68" s="470">
        <f t="shared" si="4"/>
        <v>20500000</v>
      </c>
      <c r="BF68" s="683">
        <f>+BC$29*BE68+BD68</f>
        <v>5300408.1134196697</v>
      </c>
      <c r="BG68" s="702">
        <f>+BG67</f>
        <v>13666666.666666672</v>
      </c>
      <c r="BH68" s="470">
        <f>+BH67</f>
        <v>571428.57142857148</v>
      </c>
      <c r="BI68" s="470">
        <f t="shared" si="5"/>
        <v>13095238.095238101</v>
      </c>
      <c r="BJ68" s="683">
        <f>+BG$29*BI68+BH68</f>
        <v>1913157.5638274434</v>
      </c>
      <c r="BK68" s="702">
        <f>+BK67</f>
        <v>17600000</v>
      </c>
      <c r="BL68" s="470">
        <f>+BL67</f>
        <v>1200000</v>
      </c>
      <c r="BM68" s="470">
        <f t="shared" si="9"/>
        <v>16400000</v>
      </c>
      <c r="BN68" s="683">
        <f>+BK$29*BM68+BL68</f>
        <v>2880332.5999351684</v>
      </c>
      <c r="BO68" s="702">
        <f>+BO67</f>
        <v>13166666.666666664</v>
      </c>
      <c r="BP68" s="470">
        <f>+BP67</f>
        <v>666666.66666666663</v>
      </c>
      <c r="BQ68" s="470">
        <f t="shared" si="10"/>
        <v>12499999.999999998</v>
      </c>
      <c r="BR68" s="683">
        <f>+BO$29*BQ68+BP68</f>
        <v>3441305.7602152452</v>
      </c>
      <c r="BS68" s="710">
        <f>+BS67</f>
        <v>290881.02272727282</v>
      </c>
      <c r="BT68" s="711">
        <f>+BT67</f>
        <v>8310.886363636364</v>
      </c>
      <c r="BU68" s="711">
        <f t="shared" si="18"/>
        <v>282570.13636363647</v>
      </c>
      <c r="BV68" s="684">
        <f>+BS$29*BU68+BT68</f>
        <v>72154.604594812845</v>
      </c>
      <c r="BW68" s="710">
        <f>+BW67</f>
        <v>20333653.26136364</v>
      </c>
      <c r="BX68" s="711">
        <f>+BX67</f>
        <v>576841.22727272729</v>
      </c>
      <c r="BY68" s="711">
        <f t="shared" si="20"/>
        <v>19756812.034090914</v>
      </c>
      <c r="BZ68" s="684">
        <f>+BW$29*BY68+BX68</f>
        <v>4883883.2736157924</v>
      </c>
      <c r="CA68" s="710">
        <f>+CA67</f>
        <v>1918795.6800000006</v>
      </c>
      <c r="CB68" s="711">
        <f>+CB67</f>
        <v>54433.919999999998</v>
      </c>
      <c r="CC68" s="711">
        <f t="shared" si="21"/>
        <v>1864361.7600000007</v>
      </c>
      <c r="CD68" s="684">
        <f>+CA$29*CC68+CB68</f>
        <v>475666.63913364802</v>
      </c>
      <c r="CE68" s="710">
        <f>+CE67</f>
        <v>166557.27545454551</v>
      </c>
      <c r="CF68" s="711">
        <f>+CF67</f>
        <v>4725.0290909090909</v>
      </c>
      <c r="CG68" s="711">
        <f t="shared" si="22"/>
        <v>161832.24636363643</v>
      </c>
      <c r="CH68" s="684">
        <f>+CE$29*CG68+CF68</f>
        <v>41289.304674023908</v>
      </c>
      <c r="CI68" s="710">
        <f>+CI67</f>
        <v>448148.86363636353</v>
      </c>
      <c r="CJ68" s="711">
        <f>+CJ67</f>
        <v>12362.727272727272</v>
      </c>
      <c r="CK68" s="711">
        <f t="shared" si="24"/>
        <v>435786.13636363624</v>
      </c>
      <c r="CL68" s="684">
        <f>+CI$29*CK68+CJ68</f>
        <v>107365.36278360052</v>
      </c>
      <c r="CM68" s="967">
        <f t="shared" si="25"/>
        <v>35053898.309150621</v>
      </c>
      <c r="CN68" s="708">
        <f>+CM68</f>
        <v>35053898.309150621</v>
      </c>
      <c r="CO68" s="679"/>
      <c r="CR68" s="710">
        <f>+CR67</f>
        <v>5294635.8333333358</v>
      </c>
      <c r="CS68" s="711">
        <f t="shared" si="28"/>
        <v>1270712.6000000001</v>
      </c>
      <c r="CT68" s="711">
        <f t="shared" si="26"/>
        <v>4023923.2333333357</v>
      </c>
      <c r="CU68" s="684">
        <f t="shared" si="27"/>
        <v>2167643.6274750633</v>
      </c>
    </row>
    <row r="69" spans="1:99">
      <c r="A69" s="514" t="s">
        <v>609</v>
      </c>
      <c r="B69" s="474">
        <f t="shared" si="0"/>
        <v>2021</v>
      </c>
      <c r="C69" s="470">
        <f>+E68</f>
        <v>14153895.494886361</v>
      </c>
      <c r="D69" s="470">
        <f>+C$31</f>
        <v>445791.98409090913</v>
      </c>
      <c r="E69" s="470">
        <f t="shared" si="6"/>
        <v>13708103.510795452</v>
      </c>
      <c r="F69" s="683">
        <f>+C$28*E69+D69</f>
        <v>3434198.1143279886</v>
      </c>
      <c r="G69" s="470">
        <f>+I68</f>
        <v>3648983.6106818155</v>
      </c>
      <c r="H69" s="470">
        <f>+G$31</f>
        <v>115840.74954545456</v>
      </c>
      <c r="I69" s="470">
        <f t="shared" si="7"/>
        <v>3533142.861136361</v>
      </c>
      <c r="J69" s="683">
        <f>+G$28*I69+H69</f>
        <v>886076.09077323531</v>
      </c>
      <c r="K69" s="702">
        <f>+M68</f>
        <v>9391657.6549431756</v>
      </c>
      <c r="L69" s="470">
        <f>+K$31</f>
        <v>305419.76113636367</v>
      </c>
      <c r="M69" s="470">
        <f t="shared" si="8"/>
        <v>9086237.8938068114</v>
      </c>
      <c r="N69" s="683">
        <f>+K$28*M69+L69</f>
        <v>2286245.847054143</v>
      </c>
      <c r="O69" s="702">
        <f>+Q68</f>
        <v>3917552.4469696954</v>
      </c>
      <c r="P69" s="470">
        <f>+O$31</f>
        <v>119316.31818181818</v>
      </c>
      <c r="Q69" s="470">
        <f t="shared" si="11"/>
        <v>3798236.128787877</v>
      </c>
      <c r="R69" s="683">
        <f>+O$28*Q69+P69</f>
        <v>947342.75688055763</v>
      </c>
      <c r="S69" s="710">
        <f>+U68</f>
        <v>1817506.1533333315</v>
      </c>
      <c r="T69" s="711">
        <f>+S$31</f>
        <v>58315.705454545445</v>
      </c>
      <c r="U69" s="711">
        <f t="shared" si="12"/>
        <v>1759190.4478787859</v>
      </c>
      <c r="V69" s="684">
        <f>+S$28*U69+T69</f>
        <v>441824.30053885659</v>
      </c>
      <c r="W69" s="710">
        <f>+Y68</f>
        <v>22763140.314393941</v>
      </c>
      <c r="X69" s="711">
        <f>+W$31</f>
        <v>693293.61363636365</v>
      </c>
      <c r="Y69" s="711">
        <f t="shared" si="13"/>
        <v>22069846.700757578</v>
      </c>
      <c r="Z69" s="684">
        <f>+W$28*Y69+X69</f>
        <v>5504583.8932871167</v>
      </c>
      <c r="AA69" s="710">
        <f>+AC68</f>
        <v>14839929.308712116</v>
      </c>
      <c r="AB69" s="711">
        <f>+AA$31</f>
        <v>450833.29545454547</v>
      </c>
      <c r="AC69" s="711">
        <f t="shared" si="14"/>
        <v>14389096.013257571</v>
      </c>
      <c r="AD69" s="684">
        <f>+AA$28*AC69+AB69</f>
        <v>3587697.7567365146</v>
      </c>
      <c r="AE69" s="710">
        <f>+AG68</f>
        <v>149431.30681818194</v>
      </c>
      <c r="AF69" s="711">
        <f>+AE$31</f>
        <v>4597.886363636364</v>
      </c>
      <c r="AG69" s="711">
        <f t="shared" si="15"/>
        <v>144833.42045454559</v>
      </c>
      <c r="AH69" s="684">
        <f>+AE$28*AG69+AF69</f>
        <v>36171.990046812651</v>
      </c>
      <c r="AI69" s="710">
        <f>+AK68</f>
        <v>9999354.7765151523</v>
      </c>
      <c r="AJ69" s="711">
        <f>+AI$31</f>
        <v>295547.43181818182</v>
      </c>
      <c r="AK69" s="711">
        <f t="shared" si="19"/>
        <v>9703807.3446969707</v>
      </c>
      <c r="AL69" s="684">
        <f>+AI$28*AK69+AJ69</f>
        <v>2411005.4404839827</v>
      </c>
      <c r="AM69" s="710">
        <f>+AO68</f>
        <v>3714041.6753409081</v>
      </c>
      <c r="AN69" s="711">
        <f>+AM$31</f>
        <v>110866.91568181818</v>
      </c>
      <c r="AO69" s="711">
        <f t="shared" si="16"/>
        <v>3603174.7596590901</v>
      </c>
      <c r="AP69" s="684">
        <f>+AM$28*AO69+AN69</f>
        <v>896369.41291645647</v>
      </c>
      <c r="AQ69" s="710">
        <f>+AS68</f>
        <v>30541463.007954553</v>
      </c>
      <c r="AR69" s="711">
        <f>+AQ$31</f>
        <v>904932.23727272719</v>
      </c>
      <c r="AS69" s="711">
        <f t="shared" si="17"/>
        <v>29636530.770681825</v>
      </c>
      <c r="AT69" s="684">
        <f>+AQ$28*AS69+AR69</f>
        <v>7365781.4834370576</v>
      </c>
      <c r="AU69" s="702">
        <f>+AW68</f>
        <v>20125000</v>
      </c>
      <c r="AV69" s="470">
        <f>+AU$31</f>
        <v>750000</v>
      </c>
      <c r="AW69" s="470">
        <f t="shared" si="1"/>
        <v>19375000</v>
      </c>
      <c r="AX69" s="683">
        <f>+AU$28*AW69+AV69</f>
        <v>4973805.9209098853</v>
      </c>
      <c r="AY69" s="702">
        <f>+BA68</f>
        <v>13083333.333333332</v>
      </c>
      <c r="AZ69" s="470">
        <f>+AY$31</f>
        <v>500000</v>
      </c>
      <c r="BA69" s="470">
        <f t="shared" si="2"/>
        <v>12583333.333333332</v>
      </c>
      <c r="BB69" s="683">
        <f>+AY$28*BA69+AZ69</f>
        <v>3243202.9851930863</v>
      </c>
      <c r="BC69" s="702">
        <f>+BE68</f>
        <v>20500000</v>
      </c>
      <c r="BD69" s="470">
        <f>+BC$31</f>
        <v>750000</v>
      </c>
      <c r="BE69" s="470">
        <f t="shared" si="4"/>
        <v>19750000</v>
      </c>
      <c r="BF69" s="683">
        <f>+BC$28*BE69+BD69</f>
        <v>5055557.0032500764</v>
      </c>
      <c r="BG69" s="702">
        <f>+BI68</f>
        <v>13095238.095238101</v>
      </c>
      <c r="BH69" s="470">
        <f>+BG$31</f>
        <v>571428.57142857148</v>
      </c>
      <c r="BI69" s="470">
        <f t="shared" si="5"/>
        <v>12523809.52380953</v>
      </c>
      <c r="BJ69" s="683">
        <f>+BG$28*BI69+BH69</f>
        <v>1854609.3896136745</v>
      </c>
      <c r="BK69" s="702">
        <f>+BM68</f>
        <v>16400000</v>
      </c>
      <c r="BL69" s="470">
        <f>+BK$31</f>
        <v>1200000</v>
      </c>
      <c r="BM69" s="470">
        <f t="shared" si="9"/>
        <v>15200000</v>
      </c>
      <c r="BN69" s="683">
        <f>+BK$28*BM69+BL69</f>
        <v>2757381.4340862539</v>
      </c>
      <c r="BO69" s="702">
        <f>+BQ68</f>
        <v>12499999.999999998</v>
      </c>
      <c r="BP69" s="470">
        <f>+BO$31</f>
        <v>666666.66666666663</v>
      </c>
      <c r="BQ69" s="470">
        <f t="shared" si="10"/>
        <v>11833333.333333332</v>
      </c>
      <c r="BR69" s="683">
        <f>+BO$28*BQ69+BP69</f>
        <v>3246367.4871793701</v>
      </c>
      <c r="BS69" s="710">
        <f>+BU68</f>
        <v>282570.13636363647</v>
      </c>
      <c r="BT69" s="711">
        <f>+BS$31</f>
        <v>8310.886363636364</v>
      </c>
      <c r="BU69" s="711">
        <f t="shared" si="18"/>
        <v>274259.25000000012</v>
      </c>
      <c r="BV69" s="684">
        <f>+BS$28*BU69+BT69</f>
        <v>68100.194441794039</v>
      </c>
      <c r="BW69" s="710">
        <f>+BY68</f>
        <v>19756812.034090914</v>
      </c>
      <c r="BX69" s="711">
        <f>+BW$31</f>
        <v>576841.22727272729</v>
      </c>
      <c r="BY69" s="711">
        <f t="shared" si="20"/>
        <v>19179970.806818187</v>
      </c>
      <c r="BZ69" s="684">
        <f>+BW$28*BY69+BX69</f>
        <v>4758130.2211678196</v>
      </c>
      <c r="CA69" s="710">
        <f>+CC68</f>
        <v>1864361.7600000007</v>
      </c>
      <c r="CB69" s="711">
        <f>+CA$31</f>
        <v>54433.919999999998</v>
      </c>
      <c r="CC69" s="711">
        <f t="shared" si="21"/>
        <v>1809927.8400000008</v>
      </c>
      <c r="CD69" s="684">
        <f>+CA$28*CC69+CB69</f>
        <v>449003.4130070525</v>
      </c>
      <c r="CE69" s="710">
        <f>+CG68</f>
        <v>161832.24636363643</v>
      </c>
      <c r="CF69" s="711">
        <f>+CE$31</f>
        <v>4725.0290909090909</v>
      </c>
      <c r="CG69" s="711">
        <f t="shared" si="22"/>
        <v>157107.21727272734</v>
      </c>
      <c r="CH69" s="684">
        <f>+CE$28*CG69+CF69</f>
        <v>38974.855905578588</v>
      </c>
      <c r="CI69" s="710">
        <f>+CK68</f>
        <v>435786.13636363624</v>
      </c>
      <c r="CJ69" s="711">
        <f>+CI$31</f>
        <v>12362.727272727272</v>
      </c>
      <c r="CK69" s="711">
        <f t="shared" si="24"/>
        <v>423423.40909090894</v>
      </c>
      <c r="CL69" s="684">
        <f>+CI$28*CK69+CJ69</f>
        <v>104670.2525563417</v>
      </c>
      <c r="CM69" s="967">
        <f t="shared" si="25"/>
        <v>33216176.02356131</v>
      </c>
      <c r="CN69" s="543"/>
      <c r="CO69" s="707">
        <f>+CM69</f>
        <v>33216176.02356131</v>
      </c>
      <c r="CR69" s="710">
        <f>+CT68</f>
        <v>4023923.2333333357</v>
      </c>
      <c r="CS69" s="711">
        <f t="shared" si="28"/>
        <v>1270712.6000000001</v>
      </c>
      <c r="CT69" s="711">
        <f t="shared" si="26"/>
        <v>2753210.6333333356</v>
      </c>
      <c r="CU69" s="684">
        <f t="shared" si="27"/>
        <v>1884402.2503776751</v>
      </c>
    </row>
    <row r="70" spans="1:99">
      <c r="A70" s="514" t="s">
        <v>608</v>
      </c>
      <c r="B70" s="474">
        <f t="shared" si="0"/>
        <v>2021</v>
      </c>
      <c r="C70" s="470">
        <f>+C69</f>
        <v>14153895.494886361</v>
      </c>
      <c r="D70" s="470">
        <f>+D69</f>
        <v>445791.98409090913</v>
      </c>
      <c r="E70" s="470">
        <f t="shared" si="6"/>
        <v>13708103.510795452</v>
      </c>
      <c r="F70" s="683">
        <f>+C$29*E70+D70</f>
        <v>3542992.2377680028</v>
      </c>
      <c r="G70" s="470">
        <f>+G69</f>
        <v>3648983.6106818155</v>
      </c>
      <c r="H70" s="470">
        <f>+H69</f>
        <v>115840.74954545456</v>
      </c>
      <c r="I70" s="470">
        <f t="shared" si="7"/>
        <v>3533142.861136361</v>
      </c>
      <c r="J70" s="683">
        <f>+G$29*I70+H70</f>
        <v>914116.81721383764</v>
      </c>
      <c r="K70" s="702">
        <f>+K69</f>
        <v>9391657.6549431756</v>
      </c>
      <c r="L70" s="470">
        <f>+L69</f>
        <v>305419.76113636367</v>
      </c>
      <c r="M70" s="470">
        <f t="shared" si="8"/>
        <v>9086237.8938068114</v>
      </c>
      <c r="N70" s="683">
        <f>+K$29*M70+L70</f>
        <v>2358358.6149688046</v>
      </c>
      <c r="O70" s="702">
        <f>+O69</f>
        <v>3917552.4469696954</v>
      </c>
      <c r="P70" s="470">
        <f>+P69</f>
        <v>119316.31818181818</v>
      </c>
      <c r="Q70" s="470">
        <f t="shared" si="11"/>
        <v>3798236.128787877</v>
      </c>
      <c r="R70" s="683">
        <f>+O$29*Q70+P70</f>
        <v>977487.39139723196</v>
      </c>
      <c r="S70" s="710">
        <f>+S69</f>
        <v>1817506.1533333315</v>
      </c>
      <c r="T70" s="711">
        <f>+T69</f>
        <v>58315.705454545445</v>
      </c>
      <c r="U70" s="711">
        <f t="shared" si="12"/>
        <v>1759190.4478787859</v>
      </c>
      <c r="V70" s="684">
        <f>+S$29*U70+T70</f>
        <v>455786.0847193083</v>
      </c>
      <c r="W70" s="710">
        <f>+W69</f>
        <v>22763140.314393941</v>
      </c>
      <c r="X70" s="711">
        <f>+X69</f>
        <v>693293.61363636365</v>
      </c>
      <c r="Y70" s="711">
        <f t="shared" si="13"/>
        <v>22069846.700757578</v>
      </c>
      <c r="Z70" s="684">
        <f>+W$29*Y70+X70</f>
        <v>5679740.845112985</v>
      </c>
      <c r="AA70" s="710">
        <f>+AA69</f>
        <v>14839929.308712116</v>
      </c>
      <c r="AB70" s="711">
        <f>+AB69</f>
        <v>450833.29545454547</v>
      </c>
      <c r="AC70" s="711">
        <f t="shared" si="14"/>
        <v>14389096.013257571</v>
      </c>
      <c r="AD70" s="684">
        <f>+AA$29*AC70+AB70</f>
        <v>3701896.5652459287</v>
      </c>
      <c r="AE70" s="710">
        <f>+AE69</f>
        <v>149431.30681818194</v>
      </c>
      <c r="AF70" s="711">
        <f>+AF69</f>
        <v>4597.886363636364</v>
      </c>
      <c r="AG70" s="711">
        <f t="shared" si="15"/>
        <v>144833.42045454559</v>
      </c>
      <c r="AH70" s="684">
        <f>+AE$29*AG70+AF70</f>
        <v>37321.457951746561</v>
      </c>
      <c r="AI70" s="710">
        <f>+AI69</f>
        <v>9999354.7765151523</v>
      </c>
      <c r="AJ70" s="711">
        <f>+AJ69</f>
        <v>295547.43181818182</v>
      </c>
      <c r="AK70" s="711">
        <f t="shared" si="19"/>
        <v>9703807.3446969707</v>
      </c>
      <c r="AL70" s="684">
        <f>+AI$29*AK70+AJ70</f>
        <v>2488019.5375299873</v>
      </c>
      <c r="AM70" s="710">
        <f>+AM69</f>
        <v>3714041.6753409081</v>
      </c>
      <c r="AN70" s="711">
        <f>+AN69</f>
        <v>110866.91568181818</v>
      </c>
      <c r="AO70" s="711">
        <f t="shared" si="16"/>
        <v>3603174.7596590901</v>
      </c>
      <c r="AP70" s="684">
        <f>+AM$29*AO70+AN70</f>
        <v>924965.94629319839</v>
      </c>
      <c r="AQ70" s="710">
        <f>+AQ69</f>
        <v>30541463.007954553</v>
      </c>
      <c r="AR70" s="711">
        <f>+AR69</f>
        <v>904932.23727272719</v>
      </c>
      <c r="AS70" s="711">
        <f t="shared" si="17"/>
        <v>29636530.770681825</v>
      </c>
      <c r="AT70" s="684">
        <f>+AQ$29*AS70+AR70</f>
        <v>7600991.2908666655</v>
      </c>
      <c r="AU70" s="702">
        <f>+AU69</f>
        <v>20125000</v>
      </c>
      <c r="AV70" s="470">
        <f>+AV69</f>
        <v>750000</v>
      </c>
      <c r="AW70" s="470">
        <f t="shared" si="1"/>
        <v>19375000</v>
      </c>
      <c r="AX70" s="683">
        <f>+AU$29*AW70+AV70</f>
        <v>5204459.9431811208</v>
      </c>
      <c r="AY70" s="702">
        <f>+AY69</f>
        <v>13083333.333333332</v>
      </c>
      <c r="AZ70" s="470">
        <f>+AZ69</f>
        <v>500000</v>
      </c>
      <c r="BA70" s="470">
        <f t="shared" si="2"/>
        <v>12583333.333333332</v>
      </c>
      <c r="BB70" s="683">
        <f>+AY$29*BA70+AZ70</f>
        <v>3343070.3898180514</v>
      </c>
      <c r="BC70" s="702">
        <f>+BC69</f>
        <v>20500000</v>
      </c>
      <c r="BD70" s="470">
        <f>+BD69</f>
        <v>750000</v>
      </c>
      <c r="BE70" s="470">
        <f t="shared" si="4"/>
        <v>19750000</v>
      </c>
      <c r="BF70" s="683">
        <f>+BC$29*BE70+BD70</f>
        <v>5133929.7678067544</v>
      </c>
      <c r="BG70" s="702">
        <f>+BG69</f>
        <v>13095238.095238101</v>
      </c>
      <c r="BH70" s="470">
        <f>+BH69</f>
        <v>571428.57142857148</v>
      </c>
      <c r="BI70" s="470">
        <f t="shared" si="5"/>
        <v>12523809.52380953</v>
      </c>
      <c r="BJ70" s="683">
        <f>+BG$29*BI70+BH70</f>
        <v>1854609.3896136745</v>
      </c>
      <c r="BK70" s="702">
        <f>+BK69</f>
        <v>16400000</v>
      </c>
      <c r="BL70" s="470">
        <f>+BL69</f>
        <v>1200000</v>
      </c>
      <c r="BM70" s="470">
        <f t="shared" si="9"/>
        <v>15200000</v>
      </c>
      <c r="BN70" s="683">
        <f>+BK$29*BM70+BL70</f>
        <v>2757381.4340862539</v>
      </c>
      <c r="BO70" s="702">
        <f>+BO69</f>
        <v>12499999.999999998</v>
      </c>
      <c r="BP70" s="470">
        <f>+BP69</f>
        <v>666666.66666666663</v>
      </c>
      <c r="BQ70" s="470">
        <f t="shared" si="10"/>
        <v>11833333.333333332</v>
      </c>
      <c r="BR70" s="683">
        <f>+BO$29*BQ70+BP70</f>
        <v>3293325.0085593211</v>
      </c>
      <c r="BS70" s="710">
        <f>+BS69</f>
        <v>282570.13636363647</v>
      </c>
      <c r="BT70" s="711">
        <f>+BT69</f>
        <v>8310.886363636364</v>
      </c>
      <c r="BU70" s="711">
        <f t="shared" si="18"/>
        <v>274259.25000000012</v>
      </c>
      <c r="BV70" s="684">
        <f>+BS$29*BU70+BT70</f>
        <v>70276.848176248823</v>
      </c>
      <c r="BW70" s="710">
        <f>+BW69</f>
        <v>19756812.034090914</v>
      </c>
      <c r="BX70" s="711">
        <f>+BX69</f>
        <v>576841.22727272729</v>
      </c>
      <c r="BY70" s="711">
        <f t="shared" si="20"/>
        <v>19179970.806818187</v>
      </c>
      <c r="BZ70" s="684">
        <f>+BW$29*BY70+BX70</f>
        <v>4758130.2211678196</v>
      </c>
      <c r="CA70" s="710">
        <f>+CA69</f>
        <v>1864361.7600000007</v>
      </c>
      <c r="CB70" s="711">
        <f>+CB69</f>
        <v>54433.919999999998</v>
      </c>
      <c r="CC70" s="711">
        <f t="shared" si="21"/>
        <v>1809927.8400000008</v>
      </c>
      <c r="CD70" s="684">
        <f>+CA$29*CC70+CB70</f>
        <v>463367.87361149775</v>
      </c>
      <c r="CE70" s="710">
        <f>+CE69</f>
        <v>161832.24636363643</v>
      </c>
      <c r="CF70" s="711">
        <f>+CF69</f>
        <v>4725.0290909090909</v>
      </c>
      <c r="CG70" s="711">
        <f t="shared" si="22"/>
        <v>157107.21727272734</v>
      </c>
      <c r="CH70" s="684">
        <f>+CE$29*CG70+CF70</f>
        <v>40221.734584005964</v>
      </c>
      <c r="CI70" s="710">
        <f>+CI69</f>
        <v>435786.13636363624</v>
      </c>
      <c r="CJ70" s="711">
        <f>+CJ69</f>
        <v>12362.727272727272</v>
      </c>
      <c r="CK70" s="711">
        <f t="shared" si="24"/>
        <v>423423.40909090894</v>
      </c>
      <c r="CL70" s="684">
        <f>+CI$29*CK70+CJ70</f>
        <v>104670.2525563417</v>
      </c>
      <c r="CM70" s="967">
        <f t="shared" si="25"/>
        <v>34118343.719163604</v>
      </c>
      <c r="CN70" s="708">
        <f>+CM70</f>
        <v>34118343.719163604</v>
      </c>
      <c r="CO70" s="679"/>
      <c r="CR70" s="710">
        <f>+CR69</f>
        <v>4023923.2333333357</v>
      </c>
      <c r="CS70" s="711">
        <f t="shared" si="28"/>
        <v>1270712.6000000001</v>
      </c>
      <c r="CT70" s="711">
        <f t="shared" si="26"/>
        <v>2753210.6333333356</v>
      </c>
      <c r="CU70" s="684">
        <f t="shared" si="27"/>
        <v>1884402.2503776751</v>
      </c>
    </row>
    <row r="71" spans="1:99">
      <c r="A71" s="514" t="s">
        <v>609</v>
      </c>
      <c r="B71" s="474">
        <f t="shared" si="0"/>
        <v>2022</v>
      </c>
      <c r="C71" s="470">
        <f>+E70</f>
        <v>13708103.510795452</v>
      </c>
      <c r="D71" s="470">
        <f>+C$31</f>
        <v>445791.98409090913</v>
      </c>
      <c r="E71" s="470">
        <f t="shared" si="6"/>
        <v>13262311.526704542</v>
      </c>
      <c r="F71" s="683">
        <f>+C$28*E71+D71</f>
        <v>3337014.175133287</v>
      </c>
      <c r="G71" s="470">
        <f>+I70</f>
        <v>3533142.861136361</v>
      </c>
      <c r="H71" s="470">
        <f>+G$31</f>
        <v>115840.74954545456</v>
      </c>
      <c r="I71" s="470">
        <f t="shared" si="7"/>
        <v>3417302.1115909065</v>
      </c>
      <c r="J71" s="683">
        <f>+G$28*I71+H71</f>
        <v>860822.47302806226</v>
      </c>
      <c r="K71" s="702">
        <f>+M70</f>
        <v>9086237.8938068114</v>
      </c>
      <c r="L71" s="470">
        <f>+K$31</f>
        <v>305419.76113636367</v>
      </c>
      <c r="M71" s="470">
        <f t="shared" si="8"/>
        <v>8780818.1326704472</v>
      </c>
      <c r="N71" s="683">
        <f>+K$28*M71+L71</f>
        <v>2219663.4576115282</v>
      </c>
      <c r="O71" s="702">
        <f>+Q70</f>
        <v>3798236.128787877</v>
      </c>
      <c r="P71" s="470">
        <f>+O$31</f>
        <v>119316.31818181818</v>
      </c>
      <c r="Q71" s="470">
        <f t="shared" si="11"/>
        <v>3678919.8106060587</v>
      </c>
      <c r="R71" s="683">
        <f>+O$28*Q71+P71</f>
        <v>921331.45514133014</v>
      </c>
      <c r="S71" s="710">
        <f>+U70</f>
        <v>1759190.4478787859</v>
      </c>
      <c r="T71" s="711">
        <f>+S$31</f>
        <v>58315.705454545445</v>
      </c>
      <c r="U71" s="711">
        <f t="shared" si="12"/>
        <v>1700874.7424242403</v>
      </c>
      <c r="V71" s="684">
        <f>+S$28*U71+T71</f>
        <v>429111.30843661423</v>
      </c>
      <c r="W71" s="710">
        <f>+Y70</f>
        <v>22069846.700757578</v>
      </c>
      <c r="X71" s="711">
        <f>+W$31</f>
        <v>693293.61363636365</v>
      </c>
      <c r="Y71" s="711">
        <f t="shared" si="13"/>
        <v>21376553.087121215</v>
      </c>
      <c r="Z71" s="684">
        <f>+W$28*Y71+X71</f>
        <v>5353443.8845022768</v>
      </c>
      <c r="AA71" s="710">
        <f>+AC70</f>
        <v>14389096.013257571</v>
      </c>
      <c r="AB71" s="711">
        <f>+AA$31</f>
        <v>450833.29545454547</v>
      </c>
      <c r="AC71" s="711">
        <f t="shared" si="14"/>
        <v>13938262.717803026</v>
      </c>
      <c r="AD71" s="684">
        <f>+AA$28*AC71+AB71</f>
        <v>3489414.7971141031</v>
      </c>
      <c r="AE71" s="710">
        <f>+AG70</f>
        <v>144833.42045454559</v>
      </c>
      <c r="AF71" s="711">
        <f>+AE$31</f>
        <v>4597.886363636364</v>
      </c>
      <c r="AG71" s="711">
        <f t="shared" si="15"/>
        <v>140235.53409090923</v>
      </c>
      <c r="AH71" s="684">
        <f>+AE$28*AG71+AF71</f>
        <v>35169.637548934043</v>
      </c>
      <c r="AI71" s="710">
        <f>+AK70</f>
        <v>9703807.3446969707</v>
      </c>
      <c r="AJ71" s="711">
        <f>+AI$31</f>
        <v>295547.43181818182</v>
      </c>
      <c r="AK71" s="711">
        <f t="shared" si="19"/>
        <v>9408259.912878789</v>
      </c>
      <c r="AL71" s="684">
        <f>+AI$28*AK71+AJ71</f>
        <v>2346575.2473266488</v>
      </c>
      <c r="AM71" s="710">
        <f>+AO70</f>
        <v>3603174.7596590901</v>
      </c>
      <c r="AN71" s="711">
        <f>+AM$31</f>
        <v>110866.91568181818</v>
      </c>
      <c r="AO71" s="711">
        <f t="shared" si="16"/>
        <v>3492307.843977272</v>
      </c>
      <c r="AP71" s="684">
        <f>+AM$28*AO71+AN71</f>
        <v>872200.10530923679</v>
      </c>
      <c r="AQ71" s="710">
        <f>+AS70</f>
        <v>29636530.770681825</v>
      </c>
      <c r="AR71" s="711">
        <f>+AQ$31</f>
        <v>904932.23727272719</v>
      </c>
      <c r="AS71" s="711">
        <f t="shared" si="17"/>
        <v>28731598.533409096</v>
      </c>
      <c r="AT71" s="684">
        <f>+AQ$28*AS71+AR71</f>
        <v>7168503.6438595206</v>
      </c>
      <c r="AU71" s="702">
        <f>+AW70</f>
        <v>19375000</v>
      </c>
      <c r="AV71" s="470">
        <f>+AU$31</f>
        <v>750000</v>
      </c>
      <c r="AW71" s="470">
        <f t="shared" si="1"/>
        <v>18625000</v>
      </c>
      <c r="AX71" s="683">
        <f>+AU$28*AW71+AV71</f>
        <v>4810303.7562295031</v>
      </c>
      <c r="AY71" s="702">
        <f>+BA70</f>
        <v>12583333.333333332</v>
      </c>
      <c r="AZ71" s="470">
        <f>+AY$31</f>
        <v>500000</v>
      </c>
      <c r="BA71" s="470">
        <f t="shared" si="2"/>
        <v>12083333.333333332</v>
      </c>
      <c r="BB71" s="683">
        <f>+AY$28*BA71+AZ71</f>
        <v>3134201.5420728312</v>
      </c>
      <c r="BC71" s="702">
        <f>+BE70</f>
        <v>19750000</v>
      </c>
      <c r="BD71" s="470">
        <f>+BC$31</f>
        <v>750000</v>
      </c>
      <c r="BE71" s="470">
        <f t="shared" si="4"/>
        <v>19000000</v>
      </c>
      <c r="BF71" s="683">
        <f>+BC$28*BE71+BD71</f>
        <v>4892054.8385696933</v>
      </c>
      <c r="BG71" s="702">
        <f>+BI70</f>
        <v>12523809.52380953</v>
      </c>
      <c r="BH71" s="470">
        <f>+BG$31</f>
        <v>571428.57142857148</v>
      </c>
      <c r="BI71" s="470">
        <f t="shared" si="5"/>
        <v>11952380.952380959</v>
      </c>
      <c r="BJ71" s="683">
        <f>+BG$28*BI71+BH71</f>
        <v>1796061.2153999056</v>
      </c>
      <c r="BK71" s="702">
        <f>+BM70</f>
        <v>15200000</v>
      </c>
      <c r="BL71" s="470">
        <f>+BK$31</f>
        <v>1200000</v>
      </c>
      <c r="BM71" s="470">
        <f t="shared" si="9"/>
        <v>14000000</v>
      </c>
      <c r="BN71" s="683">
        <f>+BK$28*BM71+BL71</f>
        <v>2634430.2682373393</v>
      </c>
      <c r="BO71" s="702">
        <f>+BQ70</f>
        <v>11833333.333333332</v>
      </c>
      <c r="BP71" s="470">
        <f>+BO$31</f>
        <v>666666.66666666663</v>
      </c>
      <c r="BQ71" s="470">
        <f t="shared" si="10"/>
        <v>11166666.666666666</v>
      </c>
      <c r="BR71" s="683">
        <f>+BO$28*BQ71+BP71</f>
        <v>3101032.2296856968</v>
      </c>
      <c r="BS71" s="710">
        <f>+BU70</f>
        <v>274259.25000000012</v>
      </c>
      <c r="BT71" s="711">
        <f>+BS$31</f>
        <v>8310.886363636364</v>
      </c>
      <c r="BU71" s="711">
        <f t="shared" si="18"/>
        <v>265948.36363636376</v>
      </c>
      <c r="BV71" s="684">
        <f>+BS$28*BU71+BT71</f>
        <v>66288.39722730442</v>
      </c>
      <c r="BW71" s="710">
        <f>+BY70</f>
        <v>19179970.806818187</v>
      </c>
      <c r="BX71" s="711">
        <f>+BW$31</f>
        <v>576841.22727272729</v>
      </c>
      <c r="BY71" s="711">
        <f t="shared" si="20"/>
        <v>18603129.579545461</v>
      </c>
      <c r="BZ71" s="684">
        <f>+BW$28*BY71+BX71</f>
        <v>4632377.1687198468</v>
      </c>
      <c r="CA71" s="710">
        <f>+CC70</f>
        <v>1809927.8400000008</v>
      </c>
      <c r="CB71" s="711">
        <f>+CA$31</f>
        <v>54433.919999999998</v>
      </c>
      <c r="CC71" s="711">
        <f t="shared" si="21"/>
        <v>1755493.9200000009</v>
      </c>
      <c r="CD71" s="684">
        <f>+CA$28*CC71+CB71</f>
        <v>437136.66133766749</v>
      </c>
      <c r="CE71" s="710">
        <f>+CG70</f>
        <v>157107.21727272734</v>
      </c>
      <c r="CF71" s="711">
        <f>+CE$31</f>
        <v>4725.0290909090909</v>
      </c>
      <c r="CG71" s="711">
        <f t="shared" si="22"/>
        <v>152382.18818181826</v>
      </c>
      <c r="CH71" s="684">
        <f>+CE$28*CG71+CF71</f>
        <v>37944.785926190038</v>
      </c>
      <c r="CI71" s="710">
        <f>+CK70</f>
        <v>423423.40909090894</v>
      </c>
      <c r="CJ71" s="711">
        <f>+CI$31</f>
        <v>12362.727272727272</v>
      </c>
      <c r="CK71" s="711">
        <f t="shared" si="24"/>
        <v>411060.68181818165</v>
      </c>
      <c r="CL71" s="684">
        <f>+CI$28*CK71+CJ71</f>
        <v>101975.14232908288</v>
      </c>
      <c r="CM71" s="967">
        <f t="shared" si="25"/>
        <v>32308972.340551633</v>
      </c>
      <c r="CN71" s="543"/>
      <c r="CO71" s="707">
        <f>+CM71</f>
        <v>32308972.340551633</v>
      </c>
      <c r="CR71" s="710">
        <f>+CT70</f>
        <v>2753210.6333333356</v>
      </c>
      <c r="CS71" s="711">
        <f t="shared" si="28"/>
        <v>1270712.6000000001</v>
      </c>
      <c r="CT71" s="711">
        <f t="shared" si="26"/>
        <v>1482498.0333333355</v>
      </c>
      <c r="CU71" s="684">
        <f t="shared" si="27"/>
        <v>1601160.8732802868</v>
      </c>
    </row>
    <row r="72" spans="1:99">
      <c r="A72" s="514" t="s">
        <v>608</v>
      </c>
      <c r="B72" s="474">
        <f t="shared" si="0"/>
        <v>2022</v>
      </c>
      <c r="C72" s="470">
        <f>+C71</f>
        <v>13708103.510795452</v>
      </c>
      <c r="D72" s="470">
        <f>+D71</f>
        <v>445791.98409090913</v>
      </c>
      <c r="E72" s="470">
        <f t="shared" si="6"/>
        <v>13262311.526704542</v>
      </c>
      <c r="F72" s="683">
        <f>+C$29*E72+D72</f>
        <v>3442270.2782988288</v>
      </c>
      <c r="G72" s="470">
        <f>+G71</f>
        <v>3533142.861136361</v>
      </c>
      <c r="H72" s="470">
        <f>+H71</f>
        <v>115840.74954545456</v>
      </c>
      <c r="I72" s="470">
        <f t="shared" si="7"/>
        <v>3417302.1115909065</v>
      </c>
      <c r="J72" s="683">
        <f>+G$29*I72+H72</f>
        <v>887943.83138864476</v>
      </c>
      <c r="K72" s="702">
        <f>+K71</f>
        <v>9086237.8938068114</v>
      </c>
      <c r="L72" s="470">
        <f>+L71</f>
        <v>305419.76113636367</v>
      </c>
      <c r="M72" s="470">
        <f t="shared" si="8"/>
        <v>8780818.1326704472</v>
      </c>
      <c r="N72" s="683">
        <f>+K$29*M72+L72</f>
        <v>2289352.2669408233</v>
      </c>
      <c r="O72" s="702">
        <f>+O71</f>
        <v>3798236.128787877</v>
      </c>
      <c r="P72" s="470">
        <f>+P71</f>
        <v>119316.31818181818</v>
      </c>
      <c r="Q72" s="470">
        <f t="shared" si="11"/>
        <v>3678919.8106060587</v>
      </c>
      <c r="R72" s="683">
        <f>+O$29*Q72+P72</f>
        <v>950529.13778837072</v>
      </c>
      <c r="S72" s="710">
        <f>+S71</f>
        <v>1759190.4478787859</v>
      </c>
      <c r="T72" s="711">
        <f>+T71</f>
        <v>58315.705454545445</v>
      </c>
      <c r="U72" s="711">
        <f t="shared" si="12"/>
        <v>1700874.7424242403</v>
      </c>
      <c r="V72" s="684">
        <f>+S$29*U72+T72</f>
        <v>442610.27104202332</v>
      </c>
      <c r="W72" s="710">
        <f>+W71</f>
        <v>22069846.700757578</v>
      </c>
      <c r="X72" s="711">
        <f>+X71</f>
        <v>693293.61363636365</v>
      </c>
      <c r="Y72" s="711">
        <f t="shared" si="13"/>
        <v>21376553.087121215</v>
      </c>
      <c r="Z72" s="684">
        <f>+W$29*Y72+X72</f>
        <v>5523098.5237053428</v>
      </c>
      <c r="AA72" s="710">
        <f>+AA71</f>
        <v>14389096.013257571</v>
      </c>
      <c r="AB72" s="711">
        <f>+AB71</f>
        <v>450833.29545454547</v>
      </c>
      <c r="AC72" s="711">
        <f t="shared" si="14"/>
        <v>13938262.717803026</v>
      </c>
      <c r="AD72" s="684">
        <f>+AA$29*AC72+AB72</f>
        <v>3600035.5750696976</v>
      </c>
      <c r="AE72" s="710">
        <f>+AE71</f>
        <v>144833.42045454559</v>
      </c>
      <c r="AF72" s="711">
        <f>+AF71</f>
        <v>4597.886363636364</v>
      </c>
      <c r="AG72" s="711">
        <f t="shared" si="15"/>
        <v>140235.53409090923</v>
      </c>
      <c r="AH72" s="684">
        <f>+AE$29*AG72+AF72</f>
        <v>36282.614409266884</v>
      </c>
      <c r="AI72" s="710">
        <f>+AI71</f>
        <v>9703807.3446969707</v>
      </c>
      <c r="AJ72" s="711">
        <f>+AJ71</f>
        <v>295547.43181818182</v>
      </c>
      <c r="AK72" s="711">
        <f t="shared" si="19"/>
        <v>9408259.912878789</v>
      </c>
      <c r="AL72" s="684">
        <f>+AI$29*AK72+AJ72</f>
        <v>2421243.7373560239</v>
      </c>
      <c r="AM72" s="710">
        <f>+AM71</f>
        <v>3603174.7596590901</v>
      </c>
      <c r="AN72" s="711">
        <f>+AN71</f>
        <v>110866.91568181818</v>
      </c>
      <c r="AO72" s="711">
        <f t="shared" si="16"/>
        <v>3492307.843977272</v>
      </c>
      <c r="AP72" s="684">
        <f>+AM$29*AO72+AN72</f>
        <v>899916.74535130977</v>
      </c>
      <c r="AQ72" s="710">
        <f>+AQ71</f>
        <v>29636530.770681825</v>
      </c>
      <c r="AR72" s="711">
        <f>+AR71</f>
        <v>904932.23727272719</v>
      </c>
      <c r="AS72" s="711">
        <f t="shared" si="17"/>
        <v>28731598.533409096</v>
      </c>
      <c r="AT72" s="684">
        <f>+AQ$29*AS72+AR72</f>
        <v>7396531.4724363163</v>
      </c>
      <c r="AU72" s="702">
        <f>+AU71</f>
        <v>19375000</v>
      </c>
      <c r="AV72" s="470">
        <f>+AV71</f>
        <v>750000</v>
      </c>
      <c r="AW72" s="470">
        <f t="shared" si="1"/>
        <v>18625000</v>
      </c>
      <c r="AX72" s="683">
        <f>+AU$29*AW72+AV72</f>
        <v>5032029.2357031414</v>
      </c>
      <c r="AY72" s="702">
        <f>+AY71</f>
        <v>12583333.333333332</v>
      </c>
      <c r="AZ72" s="470">
        <f>+AZ71</f>
        <v>500000</v>
      </c>
      <c r="BA72" s="470">
        <f t="shared" si="2"/>
        <v>12083333.333333332</v>
      </c>
      <c r="BB72" s="683">
        <f>+AY$29*BA72+AZ72</f>
        <v>3230100.7054544203</v>
      </c>
      <c r="BC72" s="702">
        <f>+BC71</f>
        <v>19750000</v>
      </c>
      <c r="BD72" s="470">
        <f>+BD71</f>
        <v>750000</v>
      </c>
      <c r="BE72" s="470">
        <f t="shared" si="4"/>
        <v>19000000</v>
      </c>
      <c r="BF72" s="683">
        <f>+BC$29*BE72+BD72</f>
        <v>4967451.4221938401</v>
      </c>
      <c r="BG72" s="702">
        <f>+BG71</f>
        <v>12523809.52380953</v>
      </c>
      <c r="BH72" s="470">
        <f>+BH71</f>
        <v>571428.57142857148</v>
      </c>
      <c r="BI72" s="470">
        <f t="shared" si="5"/>
        <v>11952380.952380959</v>
      </c>
      <c r="BJ72" s="683">
        <f>+BG$29*BI72+BH72</f>
        <v>1796061.2153999056</v>
      </c>
      <c r="BK72" s="702">
        <f>+BK71</f>
        <v>15200000</v>
      </c>
      <c r="BL72" s="470">
        <f>+BL71</f>
        <v>1200000</v>
      </c>
      <c r="BM72" s="470">
        <f t="shared" si="9"/>
        <v>14000000</v>
      </c>
      <c r="BN72" s="683">
        <f>+BK$29*BM72+BL72</f>
        <v>2634430.2682373393</v>
      </c>
      <c r="BO72" s="702">
        <f>+BO71</f>
        <v>11833333.333333332</v>
      </c>
      <c r="BP72" s="470">
        <f>+BP71</f>
        <v>666666.66666666663</v>
      </c>
      <c r="BQ72" s="470">
        <f t="shared" si="10"/>
        <v>11166666.666666666</v>
      </c>
      <c r="BR72" s="683">
        <f>+BO$29*BQ72+BP72</f>
        <v>3145344.2569033969</v>
      </c>
      <c r="BS72" s="710">
        <f>+BS71</f>
        <v>274259.25000000012</v>
      </c>
      <c r="BT72" s="711">
        <f>+BT71</f>
        <v>8310.886363636364</v>
      </c>
      <c r="BU72" s="711">
        <f t="shared" si="18"/>
        <v>265948.36363636376</v>
      </c>
      <c r="BV72" s="684">
        <f>+BS$29*BU72+BT72</f>
        <v>68399.091757684815</v>
      </c>
      <c r="BW72" s="710">
        <f>+BW71</f>
        <v>19179970.806818187</v>
      </c>
      <c r="BX72" s="711">
        <f>+BX71</f>
        <v>576841.22727272729</v>
      </c>
      <c r="BY72" s="711">
        <f t="shared" si="20"/>
        <v>18603129.579545461</v>
      </c>
      <c r="BZ72" s="684">
        <f>+BW$29*BY72+BX72</f>
        <v>4632377.1687198468</v>
      </c>
      <c r="CA72" s="710">
        <f>+CA71</f>
        <v>1809927.8400000008</v>
      </c>
      <c r="CB72" s="711">
        <f>+CB71</f>
        <v>54433.919999999998</v>
      </c>
      <c r="CC72" s="711">
        <f t="shared" si="21"/>
        <v>1755493.9200000009</v>
      </c>
      <c r="CD72" s="684">
        <f>+CA$29*CC72+CB72</f>
        <v>451069.10808934743</v>
      </c>
      <c r="CE72" s="710">
        <f>+CE71</f>
        <v>157107.21727272734</v>
      </c>
      <c r="CF72" s="711">
        <f>+CF71</f>
        <v>4725.0290909090909</v>
      </c>
      <c r="CG72" s="711">
        <f t="shared" si="22"/>
        <v>152382.18818181826</v>
      </c>
      <c r="CH72" s="684">
        <f>+CE$29*CG72+CF72</f>
        <v>39154.164493988013</v>
      </c>
      <c r="CI72" s="710">
        <f>+CI71</f>
        <v>423423.40909090894</v>
      </c>
      <c r="CJ72" s="711">
        <f>+CJ71</f>
        <v>12362.727272727272</v>
      </c>
      <c r="CK72" s="711">
        <f t="shared" si="24"/>
        <v>411060.68181818165</v>
      </c>
      <c r="CL72" s="684">
        <f>+CI$29*CK72+CJ72</f>
        <v>101975.14232908288</v>
      </c>
      <c r="CM72" s="967">
        <f t="shared" si="25"/>
        <v>33182789.129176594</v>
      </c>
      <c r="CN72" s="708">
        <f>+CM72</f>
        <v>33182789.129176594</v>
      </c>
      <c r="CO72" s="679"/>
      <c r="CR72" s="710">
        <f>+CR71</f>
        <v>2753210.6333333356</v>
      </c>
      <c r="CS72" s="711">
        <f t="shared" si="28"/>
        <v>1270712.6000000001</v>
      </c>
      <c r="CT72" s="711">
        <f t="shared" si="26"/>
        <v>1482498.0333333355</v>
      </c>
      <c r="CU72" s="684">
        <f t="shared" si="27"/>
        <v>1601160.8732802868</v>
      </c>
    </row>
    <row r="73" spans="1:99">
      <c r="A73" s="514" t="s">
        <v>609</v>
      </c>
      <c r="B73" s="474">
        <v>2023</v>
      </c>
      <c r="C73" s="470">
        <f>+E72</f>
        <v>13262311.526704542</v>
      </c>
      <c r="D73" s="470">
        <f>+C$31</f>
        <v>445791.98409090913</v>
      </c>
      <c r="E73" s="470">
        <f t="shared" si="6"/>
        <v>12816519.542613633</v>
      </c>
      <c r="F73" s="683">
        <f>+C$28*E73+D73</f>
        <v>3239830.2359385844</v>
      </c>
      <c r="G73" s="470">
        <f>+I72</f>
        <v>3417302.1115909065</v>
      </c>
      <c r="H73" s="470">
        <f>+G$31</f>
        <v>115840.74954545456</v>
      </c>
      <c r="I73" s="470">
        <f t="shared" si="7"/>
        <v>3301461.362045452</v>
      </c>
      <c r="J73" s="683">
        <f>+G$28*I73+H73</f>
        <v>835568.8552828891</v>
      </c>
      <c r="K73" s="702">
        <f>+M72</f>
        <v>8780818.1326704472</v>
      </c>
      <c r="L73" s="470">
        <f>+K$31</f>
        <v>305419.76113636367</v>
      </c>
      <c r="M73" s="470">
        <f t="shared" si="8"/>
        <v>8475398.371534083</v>
      </c>
      <c r="N73" s="683">
        <f>+K$28*M73+L73</f>
        <v>2153081.0681689139</v>
      </c>
      <c r="O73" s="702">
        <f>+Q72</f>
        <v>3678919.8106060587</v>
      </c>
      <c r="P73" s="470">
        <f>+O$31</f>
        <v>119316.31818181818</v>
      </c>
      <c r="Q73" s="470">
        <f t="shared" si="11"/>
        <v>3559603.4924242403</v>
      </c>
      <c r="R73" s="683">
        <f>+O$28*Q73+P73</f>
        <v>895320.15340210265</v>
      </c>
      <c r="S73" s="710">
        <f>+U72</f>
        <v>1700874.7424242403</v>
      </c>
      <c r="T73" s="711">
        <f>+S$31</f>
        <v>58315.705454545445</v>
      </c>
      <c r="U73" s="711">
        <f t="shared" si="12"/>
        <v>1642559.0369696948</v>
      </c>
      <c r="V73" s="684">
        <f>+S$28*U73+T73</f>
        <v>416398.3163343718</v>
      </c>
      <c r="W73" s="710">
        <f>+Y72</f>
        <v>21376553.087121215</v>
      </c>
      <c r="X73" s="711">
        <f>+W$31</f>
        <v>693293.61363636365</v>
      </c>
      <c r="Y73" s="711">
        <f t="shared" si="13"/>
        <v>20683259.473484851</v>
      </c>
      <c r="Z73" s="684">
        <f>+W$28*Y73+X73</f>
        <v>5202303.875717436</v>
      </c>
      <c r="AA73" s="710">
        <f>+AC72</f>
        <v>13938262.717803026</v>
      </c>
      <c r="AB73" s="711">
        <f>+AA$31</f>
        <v>450833.29545454547</v>
      </c>
      <c r="AC73" s="711">
        <f t="shared" si="14"/>
        <v>13487429.422348481</v>
      </c>
      <c r="AD73" s="684">
        <f>+AA$28*AC73+AB73</f>
        <v>3391131.8374916916</v>
      </c>
      <c r="AE73" s="710">
        <f>+AG72</f>
        <v>140235.53409090923</v>
      </c>
      <c r="AF73" s="711">
        <f>+AE$31</f>
        <v>4597.886363636364</v>
      </c>
      <c r="AG73" s="711">
        <f t="shared" si="15"/>
        <v>135637.64772727288</v>
      </c>
      <c r="AH73" s="684">
        <f>+AE$28*AG73+AF73</f>
        <v>34167.285051055427</v>
      </c>
      <c r="AI73" s="710">
        <f>+AK72</f>
        <v>9408259.912878789</v>
      </c>
      <c r="AJ73" s="711">
        <f>+AI$31</f>
        <v>295547.43181818182</v>
      </c>
      <c r="AK73" s="711">
        <f t="shared" si="19"/>
        <v>9112712.4810606074</v>
      </c>
      <c r="AL73" s="684">
        <f>+AI$28*AK73+AJ73</f>
        <v>2282145.0541693149</v>
      </c>
      <c r="AM73" s="710">
        <f>+AO72</f>
        <v>3492307.843977272</v>
      </c>
      <c r="AN73" s="711">
        <f>+AM$31</f>
        <v>110866.91568181818</v>
      </c>
      <c r="AO73" s="711">
        <f t="shared" si="16"/>
        <v>3381440.928295454</v>
      </c>
      <c r="AP73" s="684">
        <f>+AM$28*AO73+AN73</f>
        <v>848030.79770201724</v>
      </c>
      <c r="AQ73" s="710">
        <f>+AS72</f>
        <v>28731598.533409096</v>
      </c>
      <c r="AR73" s="711">
        <f>+AQ$31</f>
        <v>904932.23727272719</v>
      </c>
      <c r="AS73" s="711">
        <f t="shared" si="17"/>
        <v>27826666.296136368</v>
      </c>
      <c r="AT73" s="684">
        <f>+AQ$28*AS73+AR73</f>
        <v>6971225.8042819835</v>
      </c>
      <c r="AU73" s="702">
        <f>+AW72</f>
        <v>18625000</v>
      </c>
      <c r="AV73" s="470">
        <f>+AU$31</f>
        <v>750000</v>
      </c>
      <c r="AW73" s="470">
        <f t="shared" si="1"/>
        <v>17875000</v>
      </c>
      <c r="AX73" s="683">
        <f>+AU$28*AW73+AV73</f>
        <v>4646801.5915491199</v>
      </c>
      <c r="AY73" s="702">
        <f>+BA72</f>
        <v>12083333.333333332</v>
      </c>
      <c r="AZ73" s="470">
        <f>+AY$31</f>
        <v>500000</v>
      </c>
      <c r="BA73" s="470">
        <f t="shared" si="2"/>
        <v>11583333.333333332</v>
      </c>
      <c r="BB73" s="683">
        <f>+AY$28*BA73+AZ73</f>
        <v>3025200.0989525761</v>
      </c>
      <c r="BC73" s="702">
        <f>+BE72</f>
        <v>19000000</v>
      </c>
      <c r="BD73" s="470">
        <f>+BC$31</f>
        <v>750000</v>
      </c>
      <c r="BE73" s="470">
        <f t="shared" si="4"/>
        <v>18250000</v>
      </c>
      <c r="BF73" s="683">
        <f>+BC$28*BE73+BD73</f>
        <v>4728552.673889311</v>
      </c>
      <c r="BG73" s="702">
        <f>+BI72</f>
        <v>11952380.952380959</v>
      </c>
      <c r="BH73" s="470">
        <f>+BG$31</f>
        <v>571428.57142857148</v>
      </c>
      <c r="BI73" s="470">
        <f t="shared" si="5"/>
        <v>11380952.380952388</v>
      </c>
      <c r="BJ73" s="683">
        <f>+BG$28*BI73+BH73</f>
        <v>1737513.0411861371</v>
      </c>
      <c r="BK73" s="702">
        <f>+BM72</f>
        <v>14000000</v>
      </c>
      <c r="BL73" s="470">
        <f>+BK$31</f>
        <v>1200000</v>
      </c>
      <c r="BM73" s="470">
        <f t="shared" si="9"/>
        <v>12800000</v>
      </c>
      <c r="BN73" s="683">
        <f>+BK$28*BM73+BL73</f>
        <v>2511479.1023884243</v>
      </c>
      <c r="BO73" s="702">
        <f>+BQ72</f>
        <v>11166666.666666666</v>
      </c>
      <c r="BP73" s="470">
        <f>+BO$31</f>
        <v>666666.66666666663</v>
      </c>
      <c r="BQ73" s="470">
        <f t="shared" si="10"/>
        <v>10500000</v>
      </c>
      <c r="BR73" s="683">
        <f>+BO$28*BQ73+BP73</f>
        <v>2955696.9721920234</v>
      </c>
      <c r="BS73" s="710">
        <f>+BU72</f>
        <v>265948.36363636376</v>
      </c>
      <c r="BT73" s="711">
        <f>+BS$31</f>
        <v>8310.886363636364</v>
      </c>
      <c r="BU73" s="711">
        <f t="shared" si="18"/>
        <v>257637.47727272741</v>
      </c>
      <c r="BV73" s="684">
        <f>+BS$28*BU73+BT73</f>
        <v>64476.600012814786</v>
      </c>
      <c r="BW73" s="710">
        <f>+BY72</f>
        <v>18603129.579545461</v>
      </c>
      <c r="BX73" s="711">
        <f>+BW$31</f>
        <v>576841.22727272729</v>
      </c>
      <c r="BY73" s="711">
        <f t="shared" si="20"/>
        <v>18026288.352272734</v>
      </c>
      <c r="BZ73" s="684">
        <f>+BW$28*BY73+BX73</f>
        <v>4506624.1162718739</v>
      </c>
      <c r="CA73" s="710">
        <f>+CC72</f>
        <v>1755493.9200000009</v>
      </c>
      <c r="CB73" s="711">
        <f>+CA$31</f>
        <v>54433.919999999998</v>
      </c>
      <c r="CC73" s="711">
        <f t="shared" si="21"/>
        <v>1701060.0000000009</v>
      </c>
      <c r="CD73" s="684">
        <f>+CA$28*CC73+CB73</f>
        <v>425269.90966828249</v>
      </c>
      <c r="CE73" s="710">
        <f>+CG72</f>
        <v>152382.18818181826</v>
      </c>
      <c r="CF73" s="711">
        <f>+CE$31</f>
        <v>4725.0290909090909</v>
      </c>
      <c r="CG73" s="711">
        <f t="shared" si="22"/>
        <v>147657.15909090918</v>
      </c>
      <c r="CH73" s="684">
        <f>+CE$28*CG73+CF73</f>
        <v>36914.71594680148</v>
      </c>
      <c r="CI73" s="710">
        <f>+CK72</f>
        <v>411060.68181818165</v>
      </c>
      <c r="CJ73" s="711">
        <f>+CI$31</f>
        <v>12362.727272727272</v>
      </c>
      <c r="CK73" s="711">
        <f t="shared" si="24"/>
        <v>398697.95454545435</v>
      </c>
      <c r="CL73" s="684">
        <f>+CI$28*CK73+CJ73</f>
        <v>99280.032101824065</v>
      </c>
      <c r="CM73" s="967">
        <f t="shared" si="25"/>
        <v>31401768.65754196</v>
      </c>
      <c r="CN73" s="543"/>
      <c r="CO73" s="707">
        <f>+CM73</f>
        <v>31401768.65754196</v>
      </c>
      <c r="CR73" s="710">
        <f>+CT72</f>
        <v>1482498.0333333355</v>
      </c>
      <c r="CS73" s="711">
        <f t="shared" si="28"/>
        <v>1270712.6000000001</v>
      </c>
      <c r="CT73" s="711">
        <f t="shared" si="26"/>
        <v>211785.43333333544</v>
      </c>
      <c r="CU73" s="684">
        <f t="shared" si="27"/>
        <v>1317919.4961828985</v>
      </c>
    </row>
    <row r="74" spans="1:99">
      <c r="A74" s="514" t="s">
        <v>608</v>
      </c>
      <c r="B74" s="474">
        <v>2023</v>
      </c>
      <c r="C74" s="470">
        <f>+C73</f>
        <v>13262311.526704542</v>
      </c>
      <c r="D74" s="470">
        <f>+D73</f>
        <v>445791.98409090913</v>
      </c>
      <c r="E74" s="470">
        <f t="shared" si="6"/>
        <v>12816519.542613633</v>
      </c>
      <c r="F74" s="683">
        <f>+C$29*E74+D74</f>
        <v>3341548.3188296547</v>
      </c>
      <c r="G74" s="470">
        <f>+G73</f>
        <v>3417302.1115909065</v>
      </c>
      <c r="H74" s="470">
        <f>+H73</f>
        <v>115840.74954545456</v>
      </c>
      <c r="I74" s="470">
        <f t="shared" si="7"/>
        <v>3301461.362045452</v>
      </c>
      <c r="J74" s="683">
        <f>+G$29*I74+H74</f>
        <v>861770.84556345176</v>
      </c>
      <c r="K74" s="702">
        <f>+K73</f>
        <v>8780818.1326704472</v>
      </c>
      <c r="L74" s="470">
        <f>+L73</f>
        <v>305419.76113636367</v>
      </c>
      <c r="M74" s="470">
        <f t="shared" si="8"/>
        <v>8475398.371534083</v>
      </c>
      <c r="N74" s="683">
        <f>+K$29*M74+L74</f>
        <v>2220345.9189128419</v>
      </c>
      <c r="O74" s="702">
        <f>+O73</f>
        <v>3678919.8106060587</v>
      </c>
      <c r="P74" s="470">
        <f>+P73</f>
        <v>119316.31818181818</v>
      </c>
      <c r="Q74" s="470">
        <f t="shared" si="11"/>
        <v>3559603.4924242403</v>
      </c>
      <c r="R74" s="683">
        <f>+O$29*Q74+P74</f>
        <v>923570.88417950948</v>
      </c>
      <c r="S74" s="710">
        <f>+S73</f>
        <v>1700874.7424242403</v>
      </c>
      <c r="T74" s="711">
        <f>+T73</f>
        <v>58315.705454545445</v>
      </c>
      <c r="U74" s="711">
        <f t="shared" si="12"/>
        <v>1642559.0369696948</v>
      </c>
      <c r="V74" s="684">
        <f>+S$29*U74+T74</f>
        <v>429434.45736473834</v>
      </c>
      <c r="W74" s="710">
        <f>+W73</f>
        <v>21376553.087121215</v>
      </c>
      <c r="X74" s="711">
        <f>+X73</f>
        <v>693293.61363636365</v>
      </c>
      <c r="Y74" s="711">
        <f t="shared" si="13"/>
        <v>20683259.473484851</v>
      </c>
      <c r="Z74" s="684">
        <f>+W$29*Y74+X74</f>
        <v>5366456.2022977006</v>
      </c>
      <c r="AA74" s="710">
        <f>+AA73</f>
        <v>13938262.717803026</v>
      </c>
      <c r="AB74" s="711">
        <f>+AB73</f>
        <v>450833.29545454547</v>
      </c>
      <c r="AC74" s="711">
        <f t="shared" si="14"/>
        <v>13487429.422348481</v>
      </c>
      <c r="AD74" s="684">
        <f>+AA$29*AC74+AB74</f>
        <v>3498174.5848934664</v>
      </c>
      <c r="AE74" s="710">
        <f>+AE73</f>
        <v>140235.53409090923</v>
      </c>
      <c r="AF74" s="711">
        <f>+AF73</f>
        <v>4597.886363636364</v>
      </c>
      <c r="AG74" s="711">
        <f t="shared" si="15"/>
        <v>135637.64772727288</v>
      </c>
      <c r="AH74" s="684">
        <f>+AE$29*AG74+AF74</f>
        <v>35243.770866787192</v>
      </c>
      <c r="AI74" s="710">
        <f>+AI73</f>
        <v>9408259.912878789</v>
      </c>
      <c r="AJ74" s="711">
        <f>+AJ73</f>
        <v>295547.43181818182</v>
      </c>
      <c r="AK74" s="711">
        <f t="shared" si="19"/>
        <v>9112712.4810606074</v>
      </c>
      <c r="AL74" s="684">
        <f>+AI$29*AK74+AJ74</f>
        <v>2354467.9371820604</v>
      </c>
      <c r="AM74" s="710">
        <f>+AM73</f>
        <v>3492307.843977272</v>
      </c>
      <c r="AN74" s="711">
        <f>+AN73</f>
        <v>110866.91568181818</v>
      </c>
      <c r="AO74" s="711">
        <f t="shared" si="16"/>
        <v>3381440.928295454</v>
      </c>
      <c r="AP74" s="684">
        <f>+AM$29*AO74+AN74</f>
        <v>874867.54440942116</v>
      </c>
      <c r="AQ74" s="710">
        <f>+AQ73</f>
        <v>28731598.533409096</v>
      </c>
      <c r="AR74" s="711">
        <f>+AR73</f>
        <v>904932.23727272719</v>
      </c>
      <c r="AS74" s="711">
        <f t="shared" si="17"/>
        <v>27826666.296136368</v>
      </c>
      <c r="AT74" s="684">
        <f>+AQ$29*AS74+AR74</f>
        <v>7192071.6540059671</v>
      </c>
      <c r="AU74" s="702">
        <f>+AU73</f>
        <v>18625000</v>
      </c>
      <c r="AV74" s="470">
        <f>+AV73</f>
        <v>750000</v>
      </c>
      <c r="AW74" s="470">
        <f t="shared" si="1"/>
        <v>17875000</v>
      </c>
      <c r="AX74" s="683">
        <f>+AU$29*AW74+AV74</f>
        <v>4859598.528225163</v>
      </c>
      <c r="AY74" s="702">
        <f>+AY73</f>
        <v>12083333.333333332</v>
      </c>
      <c r="AZ74" s="470">
        <f>+AZ73</f>
        <v>500000</v>
      </c>
      <c r="BA74" s="470">
        <f t="shared" si="2"/>
        <v>11583333.333333332</v>
      </c>
      <c r="BB74" s="683">
        <f>+AY$29*BA74+AZ74</f>
        <v>3117131.0210907892</v>
      </c>
      <c r="BC74" s="702">
        <f>+BC73</f>
        <v>19000000</v>
      </c>
      <c r="BD74" s="470">
        <f>+BD73</f>
        <v>750000</v>
      </c>
      <c r="BE74" s="470">
        <f t="shared" si="4"/>
        <v>18250000</v>
      </c>
      <c r="BF74" s="683">
        <f>+BC$29*BE74+BD74</f>
        <v>4800973.0765809249</v>
      </c>
      <c r="BG74" s="702">
        <f>+BG73</f>
        <v>11952380.952380959</v>
      </c>
      <c r="BH74" s="470">
        <f>+BH73</f>
        <v>571428.57142857148</v>
      </c>
      <c r="BI74" s="470">
        <f t="shared" si="5"/>
        <v>11380952.380952388</v>
      </c>
      <c r="BJ74" s="683">
        <f>+BG$29*BI74+BH74</f>
        <v>1737513.0411861371</v>
      </c>
      <c r="BK74" s="702">
        <f>+BK73</f>
        <v>14000000</v>
      </c>
      <c r="BL74" s="470">
        <f>+BL73</f>
        <v>1200000</v>
      </c>
      <c r="BM74" s="470">
        <f t="shared" si="9"/>
        <v>12800000</v>
      </c>
      <c r="BN74" s="683">
        <f>+BK$29*BM74+BL74</f>
        <v>2511479.1023884243</v>
      </c>
      <c r="BO74" s="702">
        <f>+BO73</f>
        <v>11166666.666666666</v>
      </c>
      <c r="BP74" s="470">
        <f>+BP73</f>
        <v>666666.66666666663</v>
      </c>
      <c r="BQ74" s="470">
        <f t="shared" si="10"/>
        <v>10500000</v>
      </c>
      <c r="BR74" s="683">
        <f>+BO$29*BQ74+BP74</f>
        <v>2997363.5052474728</v>
      </c>
      <c r="BS74" s="710">
        <f>+BS73</f>
        <v>265948.36363636376</v>
      </c>
      <c r="BT74" s="711">
        <f>+BT73</f>
        <v>8310.886363636364</v>
      </c>
      <c r="BU74" s="711">
        <f t="shared" si="18"/>
        <v>257637.47727272741</v>
      </c>
      <c r="BV74" s="684">
        <f>+BS$29*BU74+BT74</f>
        <v>66521.335339120807</v>
      </c>
      <c r="BW74" s="710">
        <f>+BW73</f>
        <v>18603129.579545461</v>
      </c>
      <c r="BX74" s="711">
        <f>+BX73</f>
        <v>576841.22727272729</v>
      </c>
      <c r="BY74" s="711">
        <f t="shared" si="20"/>
        <v>18026288.352272734</v>
      </c>
      <c r="BZ74" s="684">
        <f>+BW$29*BY74+BX74</f>
        <v>4506624.1162718739</v>
      </c>
      <c r="CA74" s="710">
        <f>+CA73</f>
        <v>1755493.9200000009</v>
      </c>
      <c r="CB74" s="711">
        <f>+CB73</f>
        <v>54433.919999999998</v>
      </c>
      <c r="CC74" s="711">
        <f t="shared" si="21"/>
        <v>1701060.0000000009</v>
      </c>
      <c r="CD74" s="684">
        <f>+CA$29*CC74+CB74</f>
        <v>438770.34256719716</v>
      </c>
      <c r="CE74" s="710">
        <f>+CE73</f>
        <v>152382.18818181826</v>
      </c>
      <c r="CF74" s="711">
        <f>+CF73</f>
        <v>4725.0290909090909</v>
      </c>
      <c r="CG74" s="711">
        <f t="shared" si="22"/>
        <v>147657.15909090918</v>
      </c>
      <c r="CH74" s="684">
        <f>+CE$29*CG74+CF74</f>
        <v>38086.594403970063</v>
      </c>
      <c r="CI74" s="710">
        <f>+CI73</f>
        <v>411060.68181818165</v>
      </c>
      <c r="CJ74" s="711">
        <f>+CJ73</f>
        <v>12362.727272727272</v>
      </c>
      <c r="CK74" s="711">
        <f t="shared" si="24"/>
        <v>398697.95454545435</v>
      </c>
      <c r="CL74" s="684">
        <f>+CI$29*CK74+CJ74</f>
        <v>99280.032101824065</v>
      </c>
      <c r="CM74" s="967">
        <f t="shared" si="25"/>
        <v>32247234.539189588</v>
      </c>
      <c r="CN74" s="708">
        <f>+CM74</f>
        <v>32247234.539189588</v>
      </c>
      <c r="CO74" s="679"/>
      <c r="CR74" s="710">
        <f>+CR73</f>
        <v>1482498.0333333355</v>
      </c>
      <c r="CS74" s="711">
        <f t="shared" si="28"/>
        <v>1270712.6000000001</v>
      </c>
      <c r="CT74" s="711">
        <f t="shared" si="26"/>
        <v>211785.43333333544</v>
      </c>
      <c r="CU74" s="684">
        <f t="shared" si="27"/>
        <v>1317919.4961828985</v>
      </c>
    </row>
    <row r="75" spans="1:99">
      <c r="A75" s="514" t="s">
        <v>609</v>
      </c>
      <c r="B75" s="474">
        <v>2024</v>
      </c>
      <c r="C75" s="470">
        <f>+E74</f>
        <v>12816519.542613633</v>
      </c>
      <c r="D75" s="470">
        <f>+C$31</f>
        <v>445791.98409090913</v>
      </c>
      <c r="E75" s="470">
        <f t="shared" si="6"/>
        <v>12370727.558522724</v>
      </c>
      <c r="F75" s="683">
        <f>+C$28*E75+D75</f>
        <v>3142646.2967438828</v>
      </c>
      <c r="G75" s="470">
        <f>+I74</f>
        <v>3301461.362045452</v>
      </c>
      <c r="H75" s="470">
        <f>+G$31</f>
        <v>115840.74954545456</v>
      </c>
      <c r="I75" s="470">
        <f t="shared" si="7"/>
        <v>3185620.6124999975</v>
      </c>
      <c r="J75" s="683">
        <f>+G$28*I75+H75</f>
        <v>810315.23753771593</v>
      </c>
      <c r="K75" s="702">
        <f>+M74</f>
        <v>8475398.371534083</v>
      </c>
      <c r="L75" s="470">
        <f>+K$31</f>
        <v>305419.76113636367</v>
      </c>
      <c r="M75" s="470">
        <f t="shared" si="8"/>
        <v>8169978.6103977198</v>
      </c>
      <c r="N75" s="683">
        <f>+K$28*M75+L75</f>
        <v>2086498.6787262994</v>
      </c>
      <c r="O75" s="702">
        <f>+Q74</f>
        <v>3559603.4924242403</v>
      </c>
      <c r="P75" s="470">
        <f>+O$31</f>
        <v>119316.31818181818</v>
      </c>
      <c r="Q75" s="470">
        <f t="shared" si="11"/>
        <v>3440287.174242422</v>
      </c>
      <c r="R75" s="683">
        <f>+O$28*Q75+P75</f>
        <v>869308.85166287515</v>
      </c>
      <c r="S75" s="710">
        <f>+U74</f>
        <v>1642559.0369696948</v>
      </c>
      <c r="T75" s="711">
        <f>+S$31</f>
        <v>58315.705454545445</v>
      </c>
      <c r="U75" s="711">
        <f t="shared" si="12"/>
        <v>1584243.3315151492</v>
      </c>
      <c r="V75" s="684">
        <f>+S$28*U75+T75</f>
        <v>403685.32423212944</v>
      </c>
      <c r="W75" s="710">
        <f>+Y74</f>
        <v>20683259.473484851</v>
      </c>
      <c r="X75" s="711">
        <f>+W$31</f>
        <v>693293.61363636365</v>
      </c>
      <c r="Y75" s="711">
        <f t="shared" si="13"/>
        <v>19989965.859848488</v>
      </c>
      <c r="Z75" s="684">
        <f>+W$28*Y75+X75</f>
        <v>5051163.8669325961</v>
      </c>
      <c r="AA75" s="710">
        <f>+AC74</f>
        <v>13487429.422348481</v>
      </c>
      <c r="AB75" s="711">
        <f>+AA$31</f>
        <v>450833.29545454547</v>
      </c>
      <c r="AC75" s="711">
        <f t="shared" si="14"/>
        <v>13036596.126893936</v>
      </c>
      <c r="AD75" s="684">
        <f>+AA$28*AC75+AB75</f>
        <v>3292848.8778692801</v>
      </c>
      <c r="AE75" s="710">
        <f>+AG74</f>
        <v>135637.64772727288</v>
      </c>
      <c r="AF75" s="711">
        <f>+AE$31</f>
        <v>4597.886363636364</v>
      </c>
      <c r="AG75" s="711">
        <f t="shared" si="15"/>
        <v>131039.76136363651</v>
      </c>
      <c r="AH75" s="684">
        <f>+AE$28*AG75+AF75</f>
        <v>33164.932553176819</v>
      </c>
      <c r="AI75" s="710">
        <f>+AK74</f>
        <v>9112712.4810606074</v>
      </c>
      <c r="AJ75" s="711">
        <f>+AI$31</f>
        <v>295547.43181818182</v>
      </c>
      <c r="AK75" s="711">
        <f t="shared" si="19"/>
        <v>8817165.0492424257</v>
      </c>
      <c r="AL75" s="684">
        <f>+AI$28*AK75+AJ75</f>
        <v>2217714.861011981</v>
      </c>
      <c r="AM75" s="710">
        <f>+AO74</f>
        <v>3381440.928295454</v>
      </c>
      <c r="AN75" s="711">
        <f>+AM$31</f>
        <v>110866.91568181818</v>
      </c>
      <c r="AO75" s="711">
        <f t="shared" si="16"/>
        <v>3270574.012613636</v>
      </c>
      <c r="AP75" s="684">
        <f>+AM$28*AO75+AN75</f>
        <v>823861.49009479757</v>
      </c>
      <c r="AQ75" s="710">
        <f>+AS74</f>
        <v>27826666.296136368</v>
      </c>
      <c r="AR75" s="711">
        <f>+AQ$31</f>
        <v>904932.23727272719</v>
      </c>
      <c r="AS75" s="711">
        <f t="shared" si="17"/>
        <v>26921734.05886364</v>
      </c>
      <c r="AT75" s="684">
        <f>+AQ$28*AS75+AR75</f>
        <v>6773947.9647044465</v>
      </c>
      <c r="AU75" s="702">
        <f>+AW74</f>
        <v>17875000</v>
      </c>
      <c r="AV75" s="470">
        <f>+AU$31</f>
        <v>750000</v>
      </c>
      <c r="AW75" s="470">
        <f t="shared" si="1"/>
        <v>17125000</v>
      </c>
      <c r="AX75" s="683">
        <f>+AU$28*AW75+AV75</f>
        <v>4483299.4268687367</v>
      </c>
      <c r="AY75" s="702">
        <f>+BA74</f>
        <v>11583333.333333332</v>
      </c>
      <c r="AZ75" s="470">
        <f>+AY$31</f>
        <v>500000</v>
      </c>
      <c r="BA75" s="470">
        <f t="shared" si="2"/>
        <v>11083333.333333332</v>
      </c>
      <c r="BB75" s="683">
        <f>+AY$28*BA75+AZ75</f>
        <v>2916198.6558323209</v>
      </c>
      <c r="BC75" s="702">
        <f>+BE74</f>
        <v>18250000</v>
      </c>
      <c r="BD75" s="470">
        <f>+BC$31</f>
        <v>750000</v>
      </c>
      <c r="BE75" s="470">
        <f t="shared" si="4"/>
        <v>17500000</v>
      </c>
      <c r="BF75" s="683">
        <f>+BC$28*BE75+BD75</f>
        <v>4565050.5092089288</v>
      </c>
      <c r="BG75" s="702">
        <f>+BI74</f>
        <v>11380952.380952388</v>
      </c>
      <c r="BH75" s="470">
        <f>+BG$31</f>
        <v>571428.57142857148</v>
      </c>
      <c r="BI75" s="470">
        <f t="shared" si="5"/>
        <v>10809523.809523817</v>
      </c>
      <c r="BJ75" s="683">
        <f>+BG$28*BI75+BH75</f>
        <v>1678964.8669723682</v>
      </c>
      <c r="BK75" s="702">
        <f>+BM74</f>
        <v>12800000</v>
      </c>
      <c r="BL75" s="470">
        <f>+BK$31</f>
        <v>1200000</v>
      </c>
      <c r="BM75" s="470">
        <f t="shared" si="9"/>
        <v>11600000</v>
      </c>
      <c r="BN75" s="683">
        <f>+BK$28*BM75+BL75</f>
        <v>2388527.9365395093</v>
      </c>
      <c r="BO75" s="702">
        <f>+BQ74</f>
        <v>10500000</v>
      </c>
      <c r="BP75" s="470">
        <f>+BO$31</f>
        <v>666666.66666666663</v>
      </c>
      <c r="BQ75" s="470">
        <f t="shared" si="10"/>
        <v>9833333.333333334</v>
      </c>
      <c r="BR75" s="683">
        <f>+BO$28*BQ75+BP75</f>
        <v>2810361.7146983505</v>
      </c>
      <c r="BS75" s="710">
        <f>+BU74</f>
        <v>257637.47727272741</v>
      </c>
      <c r="BT75" s="711">
        <f>+BS$31</f>
        <v>8310.886363636364</v>
      </c>
      <c r="BU75" s="711">
        <f t="shared" si="18"/>
        <v>249326.59090909106</v>
      </c>
      <c r="BV75" s="684">
        <f>+BS$28*BU75+BT75</f>
        <v>62664.802798325167</v>
      </c>
      <c r="BW75" s="710">
        <f>+BY74</f>
        <v>18026288.352272734</v>
      </c>
      <c r="BX75" s="711">
        <f>+BW$31</f>
        <v>576841.22727272729</v>
      </c>
      <c r="BY75" s="711">
        <f t="shared" si="20"/>
        <v>17449447.125000007</v>
      </c>
      <c r="BZ75" s="684">
        <f>+BW$28*BY75+BX75</f>
        <v>4380871.063823902</v>
      </c>
      <c r="CA75" s="710">
        <f>+CC74</f>
        <v>1701060.0000000009</v>
      </c>
      <c r="CB75" s="711">
        <f>+CA$31</f>
        <v>54433.919999999998</v>
      </c>
      <c r="CC75" s="711">
        <f t="shared" si="21"/>
        <v>1646626.080000001</v>
      </c>
      <c r="CD75" s="684">
        <f>+CA$28*CC75+CB75</f>
        <v>413403.15799889743</v>
      </c>
      <c r="CE75" s="710">
        <f>+CG74</f>
        <v>147657.15909090918</v>
      </c>
      <c r="CF75" s="711">
        <f>+CE$31</f>
        <v>4725.0290909090909</v>
      </c>
      <c r="CG75" s="711">
        <f t="shared" si="22"/>
        <v>142932.13000000009</v>
      </c>
      <c r="CH75" s="684">
        <f>+CE$28*CG75+CF75</f>
        <v>35884.645967412929</v>
      </c>
      <c r="CI75" s="710">
        <f>+CK74</f>
        <v>398697.95454545435</v>
      </c>
      <c r="CJ75" s="711">
        <f>+CI$31</f>
        <v>12362.727272727272</v>
      </c>
      <c r="CK75" s="711">
        <f t="shared" si="24"/>
        <v>386335.22727272706</v>
      </c>
      <c r="CL75" s="684">
        <f>+CI$28*CK75+CJ75</f>
        <v>96584.921874565247</v>
      </c>
      <c r="CM75" s="967">
        <f t="shared" si="25"/>
        <v>30494564.97453228</v>
      </c>
      <c r="CN75" s="543"/>
      <c r="CO75" s="707">
        <f>+CM75</f>
        <v>30494564.97453228</v>
      </c>
      <c r="CR75" s="710">
        <f>+CT74</f>
        <v>211785.43333333544</v>
      </c>
      <c r="CS75" s="711">
        <f>+CR$31/12*(12-10)</f>
        <v>211785.43333333335</v>
      </c>
      <c r="CT75" s="711">
        <f t="shared" si="26"/>
        <v>2.0954757928848267E-9</v>
      </c>
      <c r="CU75" s="684">
        <f t="shared" si="27"/>
        <v>211785.43333333381</v>
      </c>
    </row>
    <row r="76" spans="1:99">
      <c r="A76" s="514" t="s">
        <v>608</v>
      </c>
      <c r="B76" s="474">
        <v>2024</v>
      </c>
      <c r="C76" s="470">
        <f>+C75</f>
        <v>12816519.542613633</v>
      </c>
      <c r="D76" s="470">
        <f>+D75</f>
        <v>445791.98409090913</v>
      </c>
      <c r="E76" s="470">
        <f t="shared" si="6"/>
        <v>12370727.558522724</v>
      </c>
      <c r="F76" s="683">
        <f>+C$29*E76+D76</f>
        <v>3240826.3593604816</v>
      </c>
      <c r="G76" s="470">
        <f>+G75</f>
        <v>3301461.362045452</v>
      </c>
      <c r="H76" s="470">
        <f>+H75</f>
        <v>115840.74954545456</v>
      </c>
      <c r="I76" s="470">
        <f t="shared" si="7"/>
        <v>3185620.6124999975</v>
      </c>
      <c r="J76" s="683">
        <f>+G$29*I76+H76</f>
        <v>835597.85973825888</v>
      </c>
      <c r="K76" s="702">
        <f>+K75</f>
        <v>8475398.371534083</v>
      </c>
      <c r="L76" s="470">
        <f>+L75</f>
        <v>305419.76113636367</v>
      </c>
      <c r="M76" s="470">
        <f t="shared" si="8"/>
        <v>8169978.6103977198</v>
      </c>
      <c r="N76" s="683">
        <f>+K$29*M76+L76</f>
        <v>2151339.5708848611</v>
      </c>
      <c r="O76" s="702">
        <f>+O75</f>
        <v>3559603.4924242403</v>
      </c>
      <c r="P76" s="470">
        <f>+P75</f>
        <v>119316.31818181818</v>
      </c>
      <c r="Q76" s="470">
        <f t="shared" si="11"/>
        <v>3440287.174242422</v>
      </c>
      <c r="R76" s="683">
        <f>+O$29*Q76+P76</f>
        <v>896612.63057064824</v>
      </c>
      <c r="S76" s="710">
        <f>+S75</f>
        <v>1642559.0369696948</v>
      </c>
      <c r="T76" s="711">
        <f>+T75</f>
        <v>58315.705454545445</v>
      </c>
      <c r="U76" s="711">
        <f t="shared" si="12"/>
        <v>1584243.3315151492</v>
      </c>
      <c r="V76" s="684">
        <f>+S$29*U76+T76</f>
        <v>416258.64368745335</v>
      </c>
      <c r="W76" s="710">
        <f>+W75</f>
        <v>20683259.473484851</v>
      </c>
      <c r="X76" s="711">
        <f>+X75</f>
        <v>693293.61363636365</v>
      </c>
      <c r="Y76" s="711">
        <f t="shared" si="13"/>
        <v>19989965.859848488</v>
      </c>
      <c r="Z76" s="684">
        <f>+W$29*Y76+X76</f>
        <v>5209813.8808900574</v>
      </c>
      <c r="AA76" s="710">
        <f>+AA75</f>
        <v>13487429.422348481</v>
      </c>
      <c r="AB76" s="711">
        <f>+AB75</f>
        <v>450833.29545454547</v>
      </c>
      <c r="AC76" s="711">
        <f t="shared" si="14"/>
        <v>13036596.126893936</v>
      </c>
      <c r="AD76" s="684">
        <f>+AA$29*AC76+AB76</f>
        <v>3396313.5947172353</v>
      </c>
      <c r="AE76" s="710">
        <f>+AE75</f>
        <v>135637.64772727288</v>
      </c>
      <c r="AF76" s="711">
        <f>+AF75</f>
        <v>4597.886363636364</v>
      </c>
      <c r="AG76" s="711">
        <f t="shared" si="15"/>
        <v>131039.76136363651</v>
      </c>
      <c r="AH76" s="684">
        <f>+AE$29*AG76+AF76</f>
        <v>34204.927324307508</v>
      </c>
      <c r="AI76" s="710">
        <f>+AI75</f>
        <v>9112712.4810606074</v>
      </c>
      <c r="AJ76" s="711">
        <f>+AJ75</f>
        <v>295547.43181818182</v>
      </c>
      <c r="AK76" s="711">
        <f t="shared" si="19"/>
        <v>8817165.0492424257</v>
      </c>
      <c r="AL76" s="684">
        <f>+AI$29*AK76+AJ76</f>
        <v>2287692.137008097</v>
      </c>
      <c r="AM76" s="710">
        <f>+AM75</f>
        <v>3381440.928295454</v>
      </c>
      <c r="AN76" s="711">
        <f>+AN75</f>
        <v>110866.91568181818</v>
      </c>
      <c r="AO76" s="711">
        <f t="shared" si="16"/>
        <v>3270574.012613636</v>
      </c>
      <c r="AP76" s="684">
        <f>+AM$29*AO76+AN76</f>
        <v>849818.34346753254</v>
      </c>
      <c r="AQ76" s="710">
        <f>+AQ75</f>
        <v>27826666.296136368</v>
      </c>
      <c r="AR76" s="711">
        <f>+AR75</f>
        <v>904932.23727272719</v>
      </c>
      <c r="AS76" s="711">
        <f t="shared" si="17"/>
        <v>26921734.05886364</v>
      </c>
      <c r="AT76" s="684">
        <f>+AQ$29*AS76+AR76</f>
        <v>6987611.8355756178</v>
      </c>
      <c r="AU76" s="702">
        <f>+AU75</f>
        <v>17875000</v>
      </c>
      <c r="AV76" s="470">
        <f>+AV75</f>
        <v>750000</v>
      </c>
      <c r="AW76" s="470">
        <f t="shared" si="1"/>
        <v>17125000</v>
      </c>
      <c r="AX76" s="683">
        <f>+AU$29*AW76+AV76</f>
        <v>4687167.8207471836</v>
      </c>
      <c r="AY76" s="702">
        <f>+AY75</f>
        <v>11583333.333333332</v>
      </c>
      <c r="AZ76" s="470">
        <f>+AZ75</f>
        <v>500000</v>
      </c>
      <c r="BA76" s="470">
        <f t="shared" si="2"/>
        <v>11083333.333333332</v>
      </c>
      <c r="BB76" s="683">
        <f>+AY$29*BA76+AZ76</f>
        <v>3004161.3367271577</v>
      </c>
      <c r="BC76" s="702">
        <f>+BC75</f>
        <v>18250000</v>
      </c>
      <c r="BD76" s="470">
        <f>+BD75</f>
        <v>750000</v>
      </c>
      <c r="BE76" s="470">
        <f t="shared" si="4"/>
        <v>17500000</v>
      </c>
      <c r="BF76" s="683">
        <f>+BC$29*BE76+BD76</f>
        <v>4634494.7309680106</v>
      </c>
      <c r="BG76" s="702">
        <f>+BG75</f>
        <v>11380952.380952388</v>
      </c>
      <c r="BH76" s="470">
        <f>+BH75</f>
        <v>571428.57142857148</v>
      </c>
      <c r="BI76" s="470">
        <f t="shared" si="5"/>
        <v>10809523.809523817</v>
      </c>
      <c r="BJ76" s="683">
        <f>+BG$29*BI76+BH76</f>
        <v>1678964.8669723682</v>
      </c>
      <c r="BK76" s="702">
        <f>+BK75</f>
        <v>12800000</v>
      </c>
      <c r="BL76" s="470">
        <f>+BL75</f>
        <v>1200000</v>
      </c>
      <c r="BM76" s="470">
        <f t="shared" si="9"/>
        <v>11600000</v>
      </c>
      <c r="BN76" s="683">
        <f>+BK$29*BM76+BL76</f>
        <v>2388527.9365395093</v>
      </c>
      <c r="BO76" s="702">
        <f>+BO75</f>
        <v>10500000</v>
      </c>
      <c r="BP76" s="470">
        <f>+BP75</f>
        <v>666666.66666666663</v>
      </c>
      <c r="BQ76" s="470">
        <f t="shared" si="10"/>
        <v>9833333.333333334</v>
      </c>
      <c r="BR76" s="683">
        <f>+BO$29*BQ76+BP76</f>
        <v>2849382.7535915487</v>
      </c>
      <c r="BS76" s="710">
        <f>+BS75</f>
        <v>257637.47727272741</v>
      </c>
      <c r="BT76" s="711">
        <f>+BT75</f>
        <v>8310.886363636364</v>
      </c>
      <c r="BU76" s="711">
        <f t="shared" si="18"/>
        <v>249326.59090909106</v>
      </c>
      <c r="BV76" s="684">
        <f>+BS$29*BU76+BT76</f>
        <v>64643.5789205568</v>
      </c>
      <c r="BW76" s="710">
        <f>+BW75</f>
        <v>18026288.352272734</v>
      </c>
      <c r="BX76" s="711">
        <f>+BX75</f>
        <v>576841.22727272729</v>
      </c>
      <c r="BY76" s="711">
        <f t="shared" si="20"/>
        <v>17449447.125000007</v>
      </c>
      <c r="BZ76" s="684">
        <f>+BW$29*BY76+BX76</f>
        <v>4380871.063823902</v>
      </c>
      <c r="CA76" s="710">
        <f>+CA75</f>
        <v>1701060.0000000009</v>
      </c>
      <c r="CB76" s="711">
        <f>+CB75</f>
        <v>54433.919999999998</v>
      </c>
      <c r="CC76" s="711">
        <f t="shared" si="21"/>
        <v>1646626.080000001</v>
      </c>
      <c r="CD76" s="684">
        <f>+CA$29*CC76+CB76</f>
        <v>426471.5770450469</v>
      </c>
      <c r="CE76" s="710">
        <f>+CE75</f>
        <v>147657.15909090918</v>
      </c>
      <c r="CF76" s="711">
        <f>+CF75</f>
        <v>4725.0290909090909</v>
      </c>
      <c r="CG76" s="711">
        <f t="shared" si="22"/>
        <v>142932.13000000009</v>
      </c>
      <c r="CH76" s="684">
        <f>+CE$29*CG76+CF76</f>
        <v>37019.024313952119</v>
      </c>
      <c r="CI76" s="710">
        <f>+CI75</f>
        <v>398697.95454545435</v>
      </c>
      <c r="CJ76" s="711">
        <f>+CJ75</f>
        <v>12362.727272727272</v>
      </c>
      <c r="CK76" s="711">
        <f t="shared" si="24"/>
        <v>386335.22727272706</v>
      </c>
      <c r="CL76" s="684">
        <f>+CI$29*CK76+CJ76</f>
        <v>96584.921874565247</v>
      </c>
      <c r="CM76" s="967">
        <f t="shared" si="25"/>
        <v>31311679.949202575</v>
      </c>
      <c r="CN76" s="708">
        <f>+CM76</f>
        <v>31311679.949202575</v>
      </c>
      <c r="CO76" s="679"/>
      <c r="CR76" s="710">
        <f>+CR75</f>
        <v>211785.43333333544</v>
      </c>
      <c r="CS76" s="711">
        <f>+CS75</f>
        <v>211785.43333333335</v>
      </c>
      <c r="CT76" s="711">
        <f t="shared" si="26"/>
        <v>2.0954757928848267E-9</v>
      </c>
      <c r="CU76" s="684">
        <f t="shared" si="27"/>
        <v>211785.43333333381</v>
      </c>
    </row>
    <row r="77" spans="1:99">
      <c r="A77" s="514" t="s">
        <v>609</v>
      </c>
      <c r="B77" s="474">
        <v>2025</v>
      </c>
      <c r="C77" s="470">
        <f>+E76</f>
        <v>12370727.558522724</v>
      </c>
      <c r="D77" s="470">
        <f>+C$31</f>
        <v>445791.98409090913</v>
      </c>
      <c r="E77" s="470">
        <f t="shared" si="6"/>
        <v>11924935.574431814</v>
      </c>
      <c r="F77" s="683">
        <f>+C$28*E77+D77</f>
        <v>3045462.3575491812</v>
      </c>
      <c r="G77" s="470">
        <f>+I76</f>
        <v>3185620.6124999975</v>
      </c>
      <c r="H77" s="470">
        <f>+G$31</f>
        <v>115840.74954545456</v>
      </c>
      <c r="I77" s="470">
        <f t="shared" ref="I77:I94" si="29">+G77-H77</f>
        <v>3069779.862954543</v>
      </c>
      <c r="J77" s="683">
        <f>+G$28*I77+H77</f>
        <v>785061.61979254277</v>
      </c>
      <c r="K77" s="702">
        <f>+M76</f>
        <v>8169978.6103977198</v>
      </c>
      <c r="L77" s="470">
        <f>+K$31</f>
        <v>305419.76113636367</v>
      </c>
      <c r="M77" s="470">
        <f t="shared" si="8"/>
        <v>7864558.8492613565</v>
      </c>
      <c r="N77" s="683">
        <f>+K$28*M77+L77</f>
        <v>2019916.2892836852</v>
      </c>
      <c r="O77" s="702">
        <f>+Q76</f>
        <v>3440287.174242422</v>
      </c>
      <c r="P77" s="470">
        <f>+O$31</f>
        <v>119316.31818181818</v>
      </c>
      <c r="Q77" s="470">
        <f t="shared" si="11"/>
        <v>3320970.8560606036</v>
      </c>
      <c r="R77" s="683">
        <f>+O$28*Q77+P77</f>
        <v>843297.54992364766</v>
      </c>
      <c r="S77" s="710">
        <f>+U76</f>
        <v>1584243.3315151492</v>
      </c>
      <c r="T77" s="711">
        <f>+S$31</f>
        <v>58315.705454545445</v>
      </c>
      <c r="U77" s="711">
        <f t="shared" si="12"/>
        <v>1525927.6260606037</v>
      </c>
      <c r="V77" s="684">
        <f>+S$28*U77+T77</f>
        <v>390972.33212988701</v>
      </c>
      <c r="W77" s="710">
        <f>+Y76</f>
        <v>19989965.859848488</v>
      </c>
      <c r="X77" s="711">
        <f>+W$31</f>
        <v>693293.61363636365</v>
      </c>
      <c r="Y77" s="711">
        <f t="shared" si="13"/>
        <v>19296672.246212125</v>
      </c>
      <c r="Z77" s="684">
        <f>+W$28*Y77+X77</f>
        <v>4900023.8581477553</v>
      </c>
      <c r="AA77" s="710">
        <f>+AC76</f>
        <v>13036596.126893936</v>
      </c>
      <c r="AB77" s="711">
        <f>+AA$31</f>
        <v>450833.29545454547</v>
      </c>
      <c r="AC77" s="711">
        <f t="shared" si="14"/>
        <v>12585762.831439391</v>
      </c>
      <c r="AD77" s="684">
        <f>+AA$28*AC77+AB77</f>
        <v>3194565.9182468685</v>
      </c>
      <c r="AE77" s="710">
        <f>+AG76</f>
        <v>131039.76136363651</v>
      </c>
      <c r="AF77" s="711">
        <f>+AE$31</f>
        <v>4597.886363636364</v>
      </c>
      <c r="AG77" s="711">
        <f t="shared" si="15"/>
        <v>126441.87500000015</v>
      </c>
      <c r="AH77" s="684">
        <f>+AE$28*AG77+AF77</f>
        <v>32162.580055298207</v>
      </c>
      <c r="AI77" s="710">
        <f>+AK76</f>
        <v>8817165.0492424257</v>
      </c>
      <c r="AJ77" s="711">
        <f>+AI$31</f>
        <v>295547.43181818182</v>
      </c>
      <c r="AK77" s="711">
        <f t="shared" si="19"/>
        <v>8521617.6174242441</v>
      </c>
      <c r="AL77" s="684">
        <f>+AI$28*AK77+AJ77</f>
        <v>2153284.6678546467</v>
      </c>
      <c r="AM77" s="710">
        <f>+AO76</f>
        <v>3270574.012613636</v>
      </c>
      <c r="AN77" s="711">
        <f>+AM$31</f>
        <v>110866.91568181818</v>
      </c>
      <c r="AO77" s="711">
        <f t="shared" si="16"/>
        <v>3159707.0969318179</v>
      </c>
      <c r="AP77" s="684">
        <f>+AM$28*AO77+AN77</f>
        <v>799692.18248757801</v>
      </c>
      <c r="AQ77" s="710">
        <f>+AS76</f>
        <v>26921734.05886364</v>
      </c>
      <c r="AR77" s="711">
        <f>+AQ$31</f>
        <v>904932.23727272719</v>
      </c>
      <c r="AS77" s="711">
        <f t="shared" si="17"/>
        <v>26016801.821590912</v>
      </c>
      <c r="AT77" s="684">
        <f>+AQ$28*AS77+AR77</f>
        <v>6576670.1251269095</v>
      </c>
      <c r="AU77" s="470"/>
      <c r="AV77" s="470"/>
      <c r="AW77" s="470"/>
      <c r="AX77" s="683"/>
      <c r="AY77" s="470"/>
      <c r="AZ77" s="470"/>
      <c r="BA77" s="470"/>
      <c r="BB77" s="683"/>
      <c r="BC77" s="470"/>
      <c r="BD77" s="470"/>
      <c r="BE77" s="470"/>
      <c r="BF77" s="683"/>
      <c r="BG77" s="470"/>
      <c r="BH77" s="470"/>
      <c r="BI77" s="470"/>
      <c r="BJ77" s="683"/>
      <c r="BK77" s="470"/>
      <c r="BL77" s="470"/>
      <c r="BM77" s="470"/>
      <c r="BN77" s="683"/>
      <c r="BO77" s="470"/>
      <c r="BP77" s="470"/>
      <c r="BQ77" s="470"/>
      <c r="BR77" s="683"/>
      <c r="BS77" s="710">
        <f>+BU76</f>
        <v>249326.59090909106</v>
      </c>
      <c r="BT77" s="711">
        <f>+BS$31</f>
        <v>8310.886363636364</v>
      </c>
      <c r="BU77" s="711">
        <f t="shared" si="18"/>
        <v>241015.7045454547</v>
      </c>
      <c r="BV77" s="684">
        <f>+BS$28*BU77+BT77</f>
        <v>60853.005583835547</v>
      </c>
      <c r="BW77" s="710">
        <f>+BY76</f>
        <v>17449447.125000007</v>
      </c>
      <c r="BX77" s="711">
        <f>+BW$31</f>
        <v>576841.22727272729</v>
      </c>
      <c r="BY77" s="711">
        <f t="shared" si="20"/>
        <v>16872605.897727281</v>
      </c>
      <c r="BZ77" s="684">
        <f>+BW$28*BY77+BX77</f>
        <v>4255118.0113759292</v>
      </c>
      <c r="CA77" s="710">
        <f>+CC76</f>
        <v>1646626.080000001</v>
      </c>
      <c r="CB77" s="711">
        <f>+CA$31</f>
        <v>54433.919999999998</v>
      </c>
      <c r="CC77" s="711">
        <f t="shared" si="21"/>
        <v>1592192.1600000011</v>
      </c>
      <c r="CD77" s="684">
        <f>+CA$28*CC77+CB77</f>
        <v>401536.40632951242</v>
      </c>
      <c r="CE77" s="710">
        <f>+CG76</f>
        <v>142932.13000000009</v>
      </c>
      <c r="CF77" s="711">
        <f>+CE$31</f>
        <v>4725.0290909090909</v>
      </c>
      <c r="CG77" s="711">
        <f t="shared" si="22"/>
        <v>138207.10090909101</v>
      </c>
      <c r="CH77" s="684">
        <f>+CE$28*CG77+CF77</f>
        <v>34854.575988024371</v>
      </c>
      <c r="CI77" s="710">
        <f>+CK76</f>
        <v>386335.22727272706</v>
      </c>
      <c r="CJ77" s="711">
        <f>+CI$31</f>
        <v>12362.727272727272</v>
      </c>
      <c r="CK77" s="711">
        <f t="shared" si="24"/>
        <v>373972.49999999977</v>
      </c>
      <c r="CL77" s="684">
        <f>+CI$28*CK77+CJ77</f>
        <v>93889.811647306429</v>
      </c>
      <c r="CM77" s="967">
        <f t="shared" si="25"/>
        <v>29587361.291522607</v>
      </c>
      <c r="CN77" s="543"/>
      <c r="CO77" s="707">
        <f>+CM77</f>
        <v>29587361.291522607</v>
      </c>
      <c r="CR77" s="710"/>
      <c r="CS77" s="711"/>
      <c r="CT77" s="711"/>
      <c r="CU77" s="684"/>
    </row>
    <row r="78" spans="1:99">
      <c r="A78" s="514" t="s">
        <v>608</v>
      </c>
      <c r="B78" s="474">
        <v>2025</v>
      </c>
      <c r="C78" s="470">
        <f>+C77</f>
        <v>12370727.558522724</v>
      </c>
      <c r="D78" s="470">
        <f>+D77</f>
        <v>445791.98409090913</v>
      </c>
      <c r="E78" s="470">
        <f t="shared" si="6"/>
        <v>11924935.574431814</v>
      </c>
      <c r="F78" s="683">
        <f>+C$29*E78+D78</f>
        <v>3140104.3998913076</v>
      </c>
      <c r="G78" s="470">
        <f>+G77</f>
        <v>3185620.6124999975</v>
      </c>
      <c r="H78" s="470">
        <f>+H77</f>
        <v>115840.74954545456</v>
      </c>
      <c r="I78" s="470">
        <f t="shared" si="29"/>
        <v>3069779.862954543</v>
      </c>
      <c r="J78" s="683">
        <f>+G$29*I78+H78</f>
        <v>809424.873913066</v>
      </c>
      <c r="K78" s="702">
        <f>+K77</f>
        <v>8169978.6103977198</v>
      </c>
      <c r="L78" s="470">
        <f>+L77</f>
        <v>305419.76113636367</v>
      </c>
      <c r="M78" s="470">
        <f t="shared" si="8"/>
        <v>7864558.8492613565</v>
      </c>
      <c r="N78" s="683">
        <f>+K$29*M78+L78</f>
        <v>2082333.2228568797</v>
      </c>
      <c r="O78" s="702">
        <f>+O77</f>
        <v>3440287.174242422</v>
      </c>
      <c r="P78" s="470">
        <f>+P77</f>
        <v>119316.31818181818</v>
      </c>
      <c r="Q78" s="470">
        <f t="shared" si="11"/>
        <v>3320970.8560606036</v>
      </c>
      <c r="R78" s="683">
        <f>+O$29*Q78+P78</f>
        <v>869654.37696178723</v>
      </c>
      <c r="S78" s="710">
        <f>+S77</f>
        <v>1584243.3315151492</v>
      </c>
      <c r="T78" s="711">
        <f>+T77</f>
        <v>58315.705454545445</v>
      </c>
      <c r="U78" s="711">
        <f t="shared" si="12"/>
        <v>1525927.6260606037</v>
      </c>
      <c r="V78" s="684">
        <f>+S$29*U78+T78</f>
        <v>403082.83001016831</v>
      </c>
      <c r="W78" s="710">
        <f>+W77</f>
        <v>19989965.859848488</v>
      </c>
      <c r="X78" s="711">
        <f>+X77</f>
        <v>693293.61363636365</v>
      </c>
      <c r="Y78" s="711">
        <f t="shared" si="13"/>
        <v>19296672.246212125</v>
      </c>
      <c r="Z78" s="684">
        <f>+W$29*Y78+X78</f>
        <v>5053171.5594824152</v>
      </c>
      <c r="AA78" s="710">
        <f>+AA77</f>
        <v>13036596.126893936</v>
      </c>
      <c r="AB78" s="711">
        <f>+AB77</f>
        <v>450833.29545454547</v>
      </c>
      <c r="AC78" s="711">
        <f t="shared" si="14"/>
        <v>12585762.831439391</v>
      </c>
      <c r="AD78" s="684">
        <f>+AA$29*AC78+AB78</f>
        <v>3294452.6045410037</v>
      </c>
      <c r="AE78" s="710">
        <f>+AE77</f>
        <v>131039.76136363651</v>
      </c>
      <c r="AF78" s="711">
        <f>+AF77</f>
        <v>4597.886363636364</v>
      </c>
      <c r="AG78" s="711">
        <f t="shared" si="15"/>
        <v>126441.87500000015</v>
      </c>
      <c r="AH78" s="684">
        <f>+AE$29*AG78+AF78</f>
        <v>33166.083781827816</v>
      </c>
      <c r="AI78" s="710">
        <f>+AI77</f>
        <v>8817165.0492424257</v>
      </c>
      <c r="AJ78" s="711">
        <f>+AJ77</f>
        <v>295547.43181818182</v>
      </c>
      <c r="AK78" s="711">
        <f t="shared" si="19"/>
        <v>8521617.6174242441</v>
      </c>
      <c r="AL78" s="684">
        <f>+AI$29*AK78+AJ78</f>
        <v>2220916.3368341331</v>
      </c>
      <c r="AM78" s="710">
        <f>+AM77</f>
        <v>3270574.012613636</v>
      </c>
      <c r="AN78" s="711">
        <f>+AN77</f>
        <v>110866.91568181818</v>
      </c>
      <c r="AO78" s="711">
        <f t="shared" si="16"/>
        <v>3159707.0969318179</v>
      </c>
      <c r="AP78" s="684">
        <f>+AM$29*AO78+AN78</f>
        <v>824769.14252564393</v>
      </c>
      <c r="AQ78" s="710">
        <f>+AQ77</f>
        <v>26921734.05886364</v>
      </c>
      <c r="AR78" s="711">
        <f>+AR77</f>
        <v>904932.23727272719</v>
      </c>
      <c r="AS78" s="711">
        <f t="shared" si="17"/>
        <v>26016801.821590912</v>
      </c>
      <c r="AT78" s="684">
        <f>+AQ$29*AS78+AR78</f>
        <v>6783152.0171452677</v>
      </c>
      <c r="AU78" s="470"/>
      <c r="AV78" s="470"/>
      <c r="AW78" s="470"/>
      <c r="AX78" s="683"/>
      <c r="AY78" s="470"/>
      <c r="AZ78" s="470"/>
      <c r="BA78" s="470"/>
      <c r="BB78" s="683"/>
      <c r="BC78" s="470"/>
      <c r="BD78" s="470"/>
      <c r="BE78" s="470"/>
      <c r="BF78" s="683"/>
      <c r="BG78" s="470"/>
      <c r="BH78" s="470"/>
      <c r="BI78" s="470"/>
      <c r="BJ78" s="683"/>
      <c r="BK78" s="470"/>
      <c r="BL78" s="470"/>
      <c r="BM78" s="470"/>
      <c r="BN78" s="683"/>
      <c r="BO78" s="470"/>
      <c r="BP78" s="470"/>
      <c r="BQ78" s="470"/>
      <c r="BR78" s="683"/>
      <c r="BS78" s="710">
        <f>+BS77</f>
        <v>249326.59090909106</v>
      </c>
      <c r="BT78" s="711">
        <f>+BT77</f>
        <v>8310.886363636364</v>
      </c>
      <c r="BU78" s="711">
        <f t="shared" si="18"/>
        <v>241015.7045454547</v>
      </c>
      <c r="BV78" s="684">
        <f>+BS$29*BU78+BT78</f>
        <v>62765.822501992778</v>
      </c>
      <c r="BW78" s="710">
        <f>+BW77</f>
        <v>17449447.125000007</v>
      </c>
      <c r="BX78" s="711">
        <f>+BX77</f>
        <v>576841.22727272729</v>
      </c>
      <c r="BY78" s="711">
        <f t="shared" si="20"/>
        <v>16872605.897727281</v>
      </c>
      <c r="BZ78" s="684">
        <f>+BW$29*BY78+BX78</f>
        <v>4255118.0113759292</v>
      </c>
      <c r="CA78" s="710">
        <f>+CA77</f>
        <v>1646626.080000001</v>
      </c>
      <c r="CB78" s="711">
        <f>+CB77</f>
        <v>54433.919999999998</v>
      </c>
      <c r="CC78" s="711">
        <f t="shared" si="21"/>
        <v>1592192.1600000011</v>
      </c>
      <c r="CD78" s="684">
        <f>+CA$29*CC78+CB78</f>
        <v>414172.81152289658</v>
      </c>
      <c r="CE78" s="710">
        <f>+CE77</f>
        <v>142932.13000000009</v>
      </c>
      <c r="CF78" s="711">
        <f>+CF77</f>
        <v>4725.0290909090909</v>
      </c>
      <c r="CG78" s="711">
        <f t="shared" si="22"/>
        <v>138207.10090909101</v>
      </c>
      <c r="CH78" s="684">
        <f>+CE$29*CG78+CF78</f>
        <v>35951.454223934168</v>
      </c>
      <c r="CI78" s="710">
        <f>+CI77</f>
        <v>386335.22727272706</v>
      </c>
      <c r="CJ78" s="711">
        <f>+CJ77</f>
        <v>12362.727272727272</v>
      </c>
      <c r="CK78" s="711">
        <f t="shared" si="24"/>
        <v>373972.49999999977</v>
      </c>
      <c r="CL78" s="684">
        <f>+CI$29*CK78+CJ78</f>
        <v>93889.811647306429</v>
      </c>
      <c r="CM78" s="967">
        <f t="shared" si="25"/>
        <v>30376125.359215558</v>
      </c>
      <c r="CN78" s="708">
        <f>+CM78</f>
        <v>30376125.359215558</v>
      </c>
      <c r="CO78" s="679"/>
      <c r="CR78" s="710"/>
      <c r="CS78" s="711"/>
      <c r="CT78" s="711"/>
      <c r="CU78" s="684"/>
    </row>
    <row r="79" spans="1:99">
      <c r="A79" s="514" t="s">
        <v>609</v>
      </c>
      <c r="B79" s="474">
        <v>2026</v>
      </c>
      <c r="C79" s="470">
        <f>+E78</f>
        <v>11924935.574431814</v>
      </c>
      <c r="D79" s="470">
        <f>+C$31</f>
        <v>445791.98409090913</v>
      </c>
      <c r="E79" s="470">
        <f t="shared" si="6"/>
        <v>11479143.590340905</v>
      </c>
      <c r="F79" s="683">
        <f>+C$28*E79+D79</f>
        <v>2948278.4183544796</v>
      </c>
      <c r="G79" s="470">
        <f>+I78</f>
        <v>3069779.862954543</v>
      </c>
      <c r="H79" s="470">
        <f>+G$31</f>
        <v>115840.74954545456</v>
      </c>
      <c r="I79" s="470">
        <f t="shared" si="29"/>
        <v>2953939.1134090885</v>
      </c>
      <c r="J79" s="683">
        <f>+G$28*I79+H79</f>
        <v>759808.00204736961</v>
      </c>
      <c r="K79" s="702">
        <f>+M78</f>
        <v>7864558.8492613565</v>
      </c>
      <c r="L79" s="470">
        <f>+K$31</f>
        <v>305419.76113636367</v>
      </c>
      <c r="M79" s="470">
        <f t="shared" si="8"/>
        <v>7559139.0881249933</v>
      </c>
      <c r="N79" s="683">
        <f>+K$28*M79+L79</f>
        <v>1953333.8998410706</v>
      </c>
      <c r="O79" s="702">
        <f>+Q78</f>
        <v>3320970.8560606036</v>
      </c>
      <c r="P79" s="470">
        <f>+O$31</f>
        <v>119316.31818181818</v>
      </c>
      <c r="Q79" s="470">
        <f t="shared" si="11"/>
        <v>3201654.5378787853</v>
      </c>
      <c r="R79" s="683">
        <f>+O$28*Q79+P79</f>
        <v>817286.24818442017</v>
      </c>
      <c r="S79" s="710">
        <f>+U78</f>
        <v>1525927.6260606037</v>
      </c>
      <c r="T79" s="711">
        <f>+S$31</f>
        <v>58315.705454545445</v>
      </c>
      <c r="U79" s="711">
        <f t="shared" si="12"/>
        <v>1467611.9206060581</v>
      </c>
      <c r="V79" s="684">
        <f>+S$28*U79+T79</f>
        <v>378259.34002764459</v>
      </c>
      <c r="W79" s="710">
        <f>+Y78</f>
        <v>19296672.246212125</v>
      </c>
      <c r="X79" s="711">
        <f>+W$31</f>
        <v>693293.61363636365</v>
      </c>
      <c r="Y79" s="711">
        <f t="shared" si="13"/>
        <v>18603378.632575762</v>
      </c>
      <c r="Z79" s="684">
        <f>+W$28*Y79+X79</f>
        <v>4748883.8493629154</v>
      </c>
      <c r="AA79" s="710">
        <f>+AC78</f>
        <v>12585762.831439391</v>
      </c>
      <c r="AB79" s="711">
        <f>+AA$31</f>
        <v>450833.29545454547</v>
      </c>
      <c r="AC79" s="711">
        <f t="shared" si="14"/>
        <v>12134929.535984846</v>
      </c>
      <c r="AD79" s="684">
        <f>+AA$28*AC79+AB79</f>
        <v>3096282.958624457</v>
      </c>
      <c r="AE79" s="710">
        <f>+AG78</f>
        <v>126441.87500000015</v>
      </c>
      <c r="AF79" s="711">
        <f>+AE$31</f>
        <v>4597.886363636364</v>
      </c>
      <c r="AG79" s="711">
        <f t="shared" si="15"/>
        <v>121843.98863636378</v>
      </c>
      <c r="AH79" s="684">
        <f>+AE$28*AG79+AF79</f>
        <v>31160.227557419596</v>
      </c>
      <c r="AI79" s="710">
        <f>+AK78</f>
        <v>8521617.6174242441</v>
      </c>
      <c r="AJ79" s="711">
        <f>+AI$31</f>
        <v>295547.43181818182</v>
      </c>
      <c r="AK79" s="711">
        <f t="shared" si="19"/>
        <v>8226070.1856060624</v>
      </c>
      <c r="AL79" s="684">
        <f>+AI$28*AK79+AJ79</f>
        <v>2088854.474697313</v>
      </c>
      <c r="AM79" s="710">
        <f>+AO78</f>
        <v>3159707.0969318179</v>
      </c>
      <c r="AN79" s="711">
        <f>+AM$31</f>
        <v>110866.91568181818</v>
      </c>
      <c r="AO79" s="711">
        <f t="shared" si="16"/>
        <v>3048840.1812499999</v>
      </c>
      <c r="AP79" s="684">
        <f>+AM$28*AO79+AN79</f>
        <v>775522.87488035834</v>
      </c>
      <c r="AQ79" s="710">
        <f>+AS78</f>
        <v>26016801.821590912</v>
      </c>
      <c r="AR79" s="711">
        <f>+AQ$31</f>
        <v>904932.23727272719</v>
      </c>
      <c r="AS79" s="711">
        <f t="shared" si="17"/>
        <v>25111869.584318183</v>
      </c>
      <c r="AT79" s="684">
        <f>+AQ$28*AS79+AR79</f>
        <v>6379392.2855493724</v>
      </c>
      <c r="AU79" s="470"/>
      <c r="AV79" s="470"/>
      <c r="AW79" s="470"/>
      <c r="AX79" s="683"/>
      <c r="AY79" s="470"/>
      <c r="AZ79" s="470"/>
      <c r="BA79" s="470"/>
      <c r="BB79" s="683"/>
      <c r="BC79" s="470"/>
      <c r="BD79" s="470"/>
      <c r="BE79" s="470"/>
      <c r="BF79" s="683"/>
      <c r="BG79" s="470"/>
      <c r="BH79" s="470"/>
      <c r="BI79" s="470"/>
      <c r="BJ79" s="683"/>
      <c r="BK79" s="470"/>
      <c r="BL79" s="470"/>
      <c r="BM79" s="470"/>
      <c r="BN79" s="683"/>
      <c r="BO79" s="470"/>
      <c r="BP79" s="470"/>
      <c r="BQ79" s="470"/>
      <c r="BR79" s="683"/>
      <c r="BS79" s="710">
        <f>+BU78</f>
        <v>241015.7045454547</v>
      </c>
      <c r="BT79" s="711">
        <f>+BS$31</f>
        <v>8310.886363636364</v>
      </c>
      <c r="BU79" s="711">
        <f t="shared" si="18"/>
        <v>232704.81818181835</v>
      </c>
      <c r="BV79" s="684">
        <f>+BS$28*BU79+BT79</f>
        <v>59041.208369345914</v>
      </c>
      <c r="BW79" s="710">
        <f>+BY78</f>
        <v>16872605.897727281</v>
      </c>
      <c r="BX79" s="711">
        <f>+BW$31</f>
        <v>576841.22727272729</v>
      </c>
      <c r="BY79" s="711">
        <f t="shared" si="20"/>
        <v>16295764.670454554</v>
      </c>
      <c r="BZ79" s="684">
        <f>+BW$28*BY79+BX79</f>
        <v>4129364.9589279564</v>
      </c>
      <c r="CA79" s="710">
        <f>+CC78</f>
        <v>1592192.1600000011</v>
      </c>
      <c r="CB79" s="711">
        <f>+CA$31</f>
        <v>54433.919999999998</v>
      </c>
      <c r="CC79" s="711">
        <f t="shared" si="21"/>
        <v>1537758.2400000012</v>
      </c>
      <c r="CD79" s="684">
        <f>+CA$28*CC79+CB79</f>
        <v>389669.65466012742</v>
      </c>
      <c r="CE79" s="710">
        <f>+CG78</f>
        <v>138207.10090909101</v>
      </c>
      <c r="CF79" s="711">
        <f>+CE$31</f>
        <v>4725.0290909090909</v>
      </c>
      <c r="CG79" s="711">
        <f t="shared" si="22"/>
        <v>133482.07181818192</v>
      </c>
      <c r="CH79" s="684">
        <f>+CE$28*CG79+CF79</f>
        <v>33824.506008635813</v>
      </c>
      <c r="CI79" s="710">
        <f>+CK78</f>
        <v>373972.49999999977</v>
      </c>
      <c r="CJ79" s="711">
        <f>+CI$31</f>
        <v>12362.727272727272</v>
      </c>
      <c r="CK79" s="711">
        <f t="shared" si="24"/>
        <v>361609.77272727247</v>
      </c>
      <c r="CL79" s="684">
        <f>+CI$28*CK79+CJ79</f>
        <v>91194.701420047611</v>
      </c>
      <c r="CM79" s="967">
        <f t="shared" si="25"/>
        <v>28680157.608512927</v>
      </c>
      <c r="CN79" s="543"/>
      <c r="CO79" s="707">
        <f>+CM79</f>
        <v>28680157.608512927</v>
      </c>
      <c r="CR79" s="710"/>
      <c r="CS79" s="711"/>
      <c r="CT79" s="711"/>
      <c r="CU79" s="684"/>
    </row>
    <row r="80" spans="1:99">
      <c r="A80" s="514" t="s">
        <v>608</v>
      </c>
      <c r="B80" s="474">
        <v>2026</v>
      </c>
      <c r="C80" s="470">
        <f>+C79</f>
        <v>11924935.574431814</v>
      </c>
      <c r="D80" s="470">
        <f>+D79</f>
        <v>445791.98409090913</v>
      </c>
      <c r="E80" s="470">
        <f t="shared" si="6"/>
        <v>11479143.590340905</v>
      </c>
      <c r="F80" s="683">
        <f>+C$29*E80+D80</f>
        <v>3039382.4404221335</v>
      </c>
      <c r="G80" s="470">
        <f>+G79</f>
        <v>3069779.862954543</v>
      </c>
      <c r="H80" s="470">
        <f>+H79</f>
        <v>115840.74954545456</v>
      </c>
      <c r="I80" s="470">
        <f t="shared" si="29"/>
        <v>2953939.1134090885</v>
      </c>
      <c r="J80" s="683">
        <f>+G$29*I80+H80</f>
        <v>783251.88808787311</v>
      </c>
      <c r="K80" s="702">
        <f>+K79</f>
        <v>7864558.8492613565</v>
      </c>
      <c r="L80" s="470">
        <f>+L79</f>
        <v>305419.76113636367</v>
      </c>
      <c r="M80" s="470">
        <f t="shared" si="8"/>
        <v>7559139.0881249933</v>
      </c>
      <c r="N80" s="683">
        <f>+K$29*M80+L80</f>
        <v>2013326.8748288986</v>
      </c>
      <c r="O80" s="702">
        <f>+O79</f>
        <v>3320970.8560606036</v>
      </c>
      <c r="P80" s="470">
        <f>+P79</f>
        <v>119316.31818181818</v>
      </c>
      <c r="Q80" s="470">
        <f t="shared" si="11"/>
        <v>3201654.5378787853</v>
      </c>
      <c r="R80" s="683">
        <f>+O$29*Q80+P80</f>
        <v>842696.12335292599</v>
      </c>
      <c r="S80" s="710">
        <f>+S79</f>
        <v>1525927.6260606037</v>
      </c>
      <c r="T80" s="711">
        <f>+T79</f>
        <v>58315.705454545445</v>
      </c>
      <c r="U80" s="711">
        <f t="shared" si="12"/>
        <v>1467611.9206060581</v>
      </c>
      <c r="V80" s="684">
        <f>+S$29*U80+T80</f>
        <v>389907.01633288333</v>
      </c>
      <c r="W80" s="710">
        <f>+W79</f>
        <v>19296672.246212125</v>
      </c>
      <c r="X80" s="711">
        <f>+X79</f>
        <v>693293.61363636365</v>
      </c>
      <c r="Y80" s="711">
        <f t="shared" si="13"/>
        <v>18603378.632575762</v>
      </c>
      <c r="Z80" s="684">
        <f>+W$29*Y80+X80</f>
        <v>4896529.238074773</v>
      </c>
      <c r="AA80" s="710">
        <f>+AA79</f>
        <v>12585762.831439391</v>
      </c>
      <c r="AB80" s="711">
        <f>+AB79</f>
        <v>450833.29545454547</v>
      </c>
      <c r="AC80" s="711">
        <f t="shared" si="14"/>
        <v>12134929.535984846</v>
      </c>
      <c r="AD80" s="684">
        <f>+AA$29*AC80+AB80</f>
        <v>3192591.6143647726</v>
      </c>
      <c r="AE80" s="710">
        <f>+AE79</f>
        <v>126441.87500000015</v>
      </c>
      <c r="AF80" s="711">
        <f>+AF79</f>
        <v>4597.886363636364</v>
      </c>
      <c r="AG80" s="711">
        <f t="shared" si="15"/>
        <v>121843.98863636378</v>
      </c>
      <c r="AH80" s="684">
        <f>+AE$29*AG80+AF80</f>
        <v>32127.240239348128</v>
      </c>
      <c r="AI80" s="710">
        <f>+AI79</f>
        <v>8521617.6174242441</v>
      </c>
      <c r="AJ80" s="711">
        <f>+AJ79</f>
        <v>295547.43181818182</v>
      </c>
      <c r="AK80" s="711">
        <f t="shared" si="19"/>
        <v>8226070.1856060624</v>
      </c>
      <c r="AL80" s="684">
        <f>+AI$29*AK80+AJ80</f>
        <v>2154140.5366601697</v>
      </c>
      <c r="AM80" s="710">
        <f>+AM79</f>
        <v>3159707.0969318179</v>
      </c>
      <c r="AN80" s="711">
        <f>+AN79</f>
        <v>110866.91568181818</v>
      </c>
      <c r="AO80" s="711">
        <f t="shared" si="16"/>
        <v>3048840.1812499999</v>
      </c>
      <c r="AP80" s="684">
        <f>+AM$29*AO80+AN80</f>
        <v>799719.94158375543</v>
      </c>
      <c r="AQ80" s="710">
        <f>+AQ79</f>
        <v>26016801.821590912</v>
      </c>
      <c r="AR80" s="711">
        <f>+AR79</f>
        <v>904932.23727272719</v>
      </c>
      <c r="AS80" s="711">
        <f t="shared" si="17"/>
        <v>25111869.584318183</v>
      </c>
      <c r="AT80" s="684">
        <f>+AQ$29*AS80+AR80</f>
        <v>6578692.1987149185</v>
      </c>
      <c r="AU80" s="470"/>
      <c r="AV80" s="470"/>
      <c r="AW80" s="470"/>
      <c r="AX80" s="683"/>
      <c r="AY80" s="470"/>
      <c r="AZ80" s="470"/>
      <c r="BA80" s="470"/>
      <c r="BB80" s="683"/>
      <c r="BC80" s="470"/>
      <c r="BD80" s="470"/>
      <c r="BE80" s="470"/>
      <c r="BF80" s="683"/>
      <c r="BG80" s="470"/>
      <c r="BH80" s="470"/>
      <c r="BI80" s="470"/>
      <c r="BJ80" s="683"/>
      <c r="BK80" s="470"/>
      <c r="BL80" s="470"/>
      <c r="BM80" s="470"/>
      <c r="BN80" s="683"/>
      <c r="BO80" s="470"/>
      <c r="BP80" s="470"/>
      <c r="BQ80" s="470"/>
      <c r="BR80" s="683"/>
      <c r="BS80" s="710">
        <f>+BS79</f>
        <v>241015.7045454547</v>
      </c>
      <c r="BT80" s="711">
        <f>+BT79</f>
        <v>8310.886363636364</v>
      </c>
      <c r="BU80" s="711">
        <f t="shared" si="18"/>
        <v>232704.81818181835</v>
      </c>
      <c r="BV80" s="684">
        <f>+BS$29*BU80+BT80</f>
        <v>60888.06608342877</v>
      </c>
      <c r="BW80" s="710">
        <f>+BW79</f>
        <v>16872605.897727281</v>
      </c>
      <c r="BX80" s="711">
        <f>+BX79</f>
        <v>576841.22727272729</v>
      </c>
      <c r="BY80" s="711">
        <f t="shared" si="20"/>
        <v>16295764.670454554</v>
      </c>
      <c r="BZ80" s="684">
        <f>+BW$29*BY80+BX80</f>
        <v>4129364.9589279564</v>
      </c>
      <c r="CA80" s="710">
        <f>+CA79</f>
        <v>1592192.1600000011</v>
      </c>
      <c r="CB80" s="711">
        <f>+CB79</f>
        <v>54433.919999999998</v>
      </c>
      <c r="CC80" s="711">
        <f t="shared" si="21"/>
        <v>1537758.2400000012</v>
      </c>
      <c r="CD80" s="684">
        <f>+CA$29*CC80+CB80</f>
        <v>401874.04600074631</v>
      </c>
      <c r="CE80" s="710">
        <f>+CE79</f>
        <v>138207.10090909101</v>
      </c>
      <c r="CF80" s="711">
        <f>+CF79</f>
        <v>4725.0290909090909</v>
      </c>
      <c r="CG80" s="711">
        <f t="shared" si="22"/>
        <v>133482.07181818192</v>
      </c>
      <c r="CH80" s="684">
        <f>+CE$29*CG80+CF80</f>
        <v>34883.884133916217</v>
      </c>
      <c r="CI80" s="710">
        <f>+CI79</f>
        <v>373972.49999999977</v>
      </c>
      <c r="CJ80" s="711">
        <f>+CJ79</f>
        <v>12362.727272727272</v>
      </c>
      <c r="CK80" s="711">
        <f t="shared" si="24"/>
        <v>361609.77272727247</v>
      </c>
      <c r="CL80" s="684">
        <f>+CI$29*CK80+CJ80</f>
        <v>91194.701420047611</v>
      </c>
      <c r="CM80" s="967">
        <f t="shared" si="25"/>
        <v>29440570.769228544</v>
      </c>
      <c r="CN80" s="708">
        <f>+CM80</f>
        <v>29440570.769228544</v>
      </c>
      <c r="CO80" s="679"/>
      <c r="CR80" s="710"/>
      <c r="CS80" s="711"/>
      <c r="CT80" s="711"/>
      <c r="CU80" s="684"/>
    </row>
    <row r="81" spans="1:99">
      <c r="A81" s="514" t="s">
        <v>609</v>
      </c>
      <c r="B81" s="474">
        <v>2027</v>
      </c>
      <c r="C81" s="470">
        <f>+E80</f>
        <v>11479143.590340905</v>
      </c>
      <c r="D81" s="470">
        <f>+C$31</f>
        <v>445791.98409090913</v>
      </c>
      <c r="E81" s="470">
        <f t="shared" si="6"/>
        <v>11033351.606249996</v>
      </c>
      <c r="F81" s="683">
        <f>+C$28*E81+D81</f>
        <v>2851094.4791597771</v>
      </c>
      <c r="G81" s="470">
        <f>+I80</f>
        <v>2953939.1134090885</v>
      </c>
      <c r="H81" s="470">
        <f>+G$31</f>
        <v>115840.74954545456</v>
      </c>
      <c r="I81" s="470">
        <f t="shared" si="29"/>
        <v>2838098.3638636339</v>
      </c>
      <c r="J81" s="683">
        <f>+G$28*I81+H81</f>
        <v>734554.38430219644</v>
      </c>
      <c r="K81" s="702">
        <f>+M80</f>
        <v>7559139.0881249933</v>
      </c>
      <c r="L81" s="470">
        <f>+K$31</f>
        <v>305419.76113636367</v>
      </c>
      <c r="M81" s="470">
        <f t="shared" si="8"/>
        <v>7253719.32698863</v>
      </c>
      <c r="N81" s="683">
        <f>+K$28*M81+L81</f>
        <v>1886751.5103984564</v>
      </c>
      <c r="O81" s="702">
        <f>+Q80</f>
        <v>3201654.5378787853</v>
      </c>
      <c r="P81" s="470">
        <f>+O$31</f>
        <v>119316.31818181818</v>
      </c>
      <c r="Q81" s="470">
        <f t="shared" si="11"/>
        <v>3082338.2196969669</v>
      </c>
      <c r="R81" s="683">
        <f>+O$28*Q81+P81</f>
        <v>791274.94644519291</v>
      </c>
      <c r="S81" s="710">
        <f>+U80</f>
        <v>1467611.9206060581</v>
      </c>
      <c r="T81" s="711">
        <f>+S$31</f>
        <v>58315.705454545445</v>
      </c>
      <c r="U81" s="711">
        <f t="shared" si="12"/>
        <v>1409296.2151515125</v>
      </c>
      <c r="V81" s="684">
        <f>+S$28*U81+T81</f>
        <v>365546.34792540222</v>
      </c>
      <c r="W81" s="710">
        <f>+Y80</f>
        <v>18603378.632575762</v>
      </c>
      <c r="X81" s="711">
        <f>+W$31</f>
        <v>693293.61363636365</v>
      </c>
      <c r="Y81" s="711">
        <f t="shared" si="13"/>
        <v>17910085.018939398</v>
      </c>
      <c r="Z81" s="684">
        <f>+W$28*Y81+X81</f>
        <v>4597743.8405780755</v>
      </c>
      <c r="AA81" s="710">
        <f>+AC80</f>
        <v>12134929.535984846</v>
      </c>
      <c r="AB81" s="711">
        <f>+AA$31</f>
        <v>450833.29545454547</v>
      </c>
      <c r="AC81" s="711">
        <f t="shared" si="14"/>
        <v>11684096.240530301</v>
      </c>
      <c r="AD81" s="684">
        <f>+AA$28*AC81+AB81</f>
        <v>2997999.9990020455</v>
      </c>
      <c r="AE81" s="710">
        <f>+AG80</f>
        <v>121843.98863636378</v>
      </c>
      <c r="AF81" s="711">
        <f>+AE$31</f>
        <v>4597.886363636364</v>
      </c>
      <c r="AG81" s="711">
        <f t="shared" si="15"/>
        <v>117246.10227272741</v>
      </c>
      <c r="AH81" s="684">
        <f>+AE$28*AG81+AF81</f>
        <v>30157.875059540984</v>
      </c>
      <c r="AI81" s="710">
        <f>+AK80</f>
        <v>8226070.1856060624</v>
      </c>
      <c r="AJ81" s="711">
        <f>+AI$31</f>
        <v>295547.43181818182</v>
      </c>
      <c r="AK81" s="711">
        <f t="shared" si="19"/>
        <v>7930522.7537878808</v>
      </c>
      <c r="AL81" s="684">
        <f>+AI$28*AK81+AJ81</f>
        <v>2024424.2815399789</v>
      </c>
      <c r="AM81" s="710">
        <f>+AO80</f>
        <v>3048840.1812499999</v>
      </c>
      <c r="AN81" s="711">
        <f>+AM$31</f>
        <v>110866.91568181818</v>
      </c>
      <c r="AO81" s="711">
        <f t="shared" si="16"/>
        <v>2937973.2655681819</v>
      </c>
      <c r="AP81" s="684">
        <f>+AM$28*AO81+AN81</f>
        <v>751353.56727313879</v>
      </c>
      <c r="AQ81" s="710">
        <f>+AS80</f>
        <v>25111869.584318183</v>
      </c>
      <c r="AR81" s="711">
        <f>+AQ$31</f>
        <v>904932.23727272719</v>
      </c>
      <c r="AS81" s="711">
        <f t="shared" si="17"/>
        <v>24206937.347045455</v>
      </c>
      <c r="AT81" s="684">
        <f>+AQ$28*AS81+AR81</f>
        <v>6182114.4459718354</v>
      </c>
      <c r="AU81" s="470"/>
      <c r="AV81" s="470"/>
      <c r="AW81" s="470"/>
      <c r="AX81" s="683"/>
      <c r="AY81" s="470"/>
      <c r="AZ81" s="470"/>
      <c r="BA81" s="470"/>
      <c r="BB81" s="683"/>
      <c r="BC81" s="470"/>
      <c r="BD81" s="470"/>
      <c r="BE81" s="470"/>
      <c r="BF81" s="683"/>
      <c r="BG81" s="470"/>
      <c r="BH81" s="470"/>
      <c r="BI81" s="470"/>
      <c r="BJ81" s="683"/>
      <c r="BK81" s="470"/>
      <c r="BL81" s="470"/>
      <c r="BM81" s="470"/>
      <c r="BN81" s="683"/>
      <c r="BO81" s="470"/>
      <c r="BP81" s="470"/>
      <c r="BQ81" s="470"/>
      <c r="BR81" s="683"/>
      <c r="BS81" s="710">
        <f>+BU80</f>
        <v>232704.81818181835</v>
      </c>
      <c r="BT81" s="711">
        <f>+BS$31</f>
        <v>8310.886363636364</v>
      </c>
      <c r="BU81" s="711">
        <f t="shared" si="18"/>
        <v>224393.931818182</v>
      </c>
      <c r="BV81" s="684">
        <f>+BS$28*BU81+BT81</f>
        <v>57229.411154856294</v>
      </c>
      <c r="BW81" s="710">
        <f>+BY80</f>
        <v>16295764.670454554</v>
      </c>
      <c r="BX81" s="711">
        <f>+BW$31</f>
        <v>576841.22727272729</v>
      </c>
      <c r="BY81" s="711">
        <f t="shared" si="20"/>
        <v>15718923.443181828</v>
      </c>
      <c r="BZ81" s="684">
        <f>+BW$28*BY81+BX81</f>
        <v>4003611.9064799845</v>
      </c>
      <c r="CA81" s="710">
        <f>+CC80</f>
        <v>1537758.2400000012</v>
      </c>
      <c r="CB81" s="711">
        <f>+CA$31</f>
        <v>54433.919999999998</v>
      </c>
      <c r="CC81" s="711">
        <f t="shared" si="21"/>
        <v>1483324.3200000012</v>
      </c>
      <c r="CD81" s="684">
        <f>+CA$28*CC81+CB81</f>
        <v>377802.90299074241</v>
      </c>
      <c r="CE81" s="710">
        <f>+CG80</f>
        <v>133482.07181818192</v>
      </c>
      <c r="CF81" s="711">
        <f>+CE$31</f>
        <v>4725.0290909090909</v>
      </c>
      <c r="CG81" s="711">
        <f t="shared" si="22"/>
        <v>128757.04272727284</v>
      </c>
      <c r="CH81" s="684">
        <f>+CE$28*CG81+CF81</f>
        <v>32794.436029247263</v>
      </c>
      <c r="CI81" s="710">
        <f>+CK80</f>
        <v>361609.77272727247</v>
      </c>
      <c r="CJ81" s="711">
        <f>+CI$31</f>
        <v>12362.727272727272</v>
      </c>
      <c r="CK81" s="711">
        <f t="shared" si="24"/>
        <v>349247.04545454518</v>
      </c>
      <c r="CL81" s="684">
        <f>+CI$28*CK81+CJ81</f>
        <v>88499.591192788794</v>
      </c>
      <c r="CM81" s="967">
        <f t="shared" si="25"/>
        <v>27772953.925503261</v>
      </c>
      <c r="CN81" s="543"/>
      <c r="CO81" s="707">
        <f>+CM81</f>
        <v>27772953.925503261</v>
      </c>
      <c r="CR81" s="710"/>
      <c r="CS81" s="711"/>
      <c r="CT81" s="711"/>
      <c r="CU81" s="684"/>
    </row>
    <row r="82" spans="1:99">
      <c r="A82" s="514" t="s">
        <v>608</v>
      </c>
      <c r="B82" s="474">
        <v>2027</v>
      </c>
      <c r="C82" s="470">
        <f>+C81</f>
        <v>11479143.590340905</v>
      </c>
      <c r="D82" s="470">
        <f>+D81</f>
        <v>445791.98409090913</v>
      </c>
      <c r="E82" s="470">
        <f t="shared" si="6"/>
        <v>11033351.606249996</v>
      </c>
      <c r="F82" s="683">
        <f>+C$29*E82+D82</f>
        <v>2938660.4809529595</v>
      </c>
      <c r="G82" s="470">
        <f>+G81</f>
        <v>2953939.1134090885</v>
      </c>
      <c r="H82" s="470">
        <f>+H81</f>
        <v>115840.74954545456</v>
      </c>
      <c r="I82" s="470">
        <f t="shared" si="29"/>
        <v>2838098.3638636339</v>
      </c>
      <c r="J82" s="683">
        <f>+G$29*I82+H82</f>
        <v>757078.90226268023</v>
      </c>
      <c r="K82" s="702">
        <f>+K81</f>
        <v>7559139.0881249933</v>
      </c>
      <c r="L82" s="470">
        <f>+L81</f>
        <v>305419.76113636367</v>
      </c>
      <c r="M82" s="470">
        <f t="shared" si="8"/>
        <v>7253719.32698863</v>
      </c>
      <c r="N82" s="683">
        <f>+K$29*M82+L82</f>
        <v>1944320.5268009175</v>
      </c>
      <c r="O82" s="702">
        <f>+O81</f>
        <v>3201654.5378787853</v>
      </c>
      <c r="P82" s="470">
        <f>+P81</f>
        <v>119316.31818181818</v>
      </c>
      <c r="Q82" s="470">
        <f t="shared" si="11"/>
        <v>3082338.2196969669</v>
      </c>
      <c r="R82" s="683">
        <f>+O$29*Q82+P82</f>
        <v>815737.86974406475</v>
      </c>
      <c r="S82" s="710">
        <f>+S81</f>
        <v>1467611.9206060581</v>
      </c>
      <c r="T82" s="711">
        <f>+T81</f>
        <v>58315.705454545445</v>
      </c>
      <c r="U82" s="711">
        <f t="shared" si="12"/>
        <v>1409296.2151515125</v>
      </c>
      <c r="V82" s="684">
        <f>+S$29*U82+T82</f>
        <v>376731.20265559835</v>
      </c>
      <c r="W82" s="710">
        <f>+W81</f>
        <v>18603378.632575762</v>
      </c>
      <c r="X82" s="711">
        <f>+X81</f>
        <v>693293.61363636365</v>
      </c>
      <c r="Y82" s="711">
        <f t="shared" si="13"/>
        <v>17910085.018939398</v>
      </c>
      <c r="Z82" s="684">
        <f>+W$29*Y82+X82</f>
        <v>4739886.9166671308</v>
      </c>
      <c r="AA82" s="710">
        <f>+AA81</f>
        <v>12134929.535984846</v>
      </c>
      <c r="AB82" s="711">
        <f>+AB81</f>
        <v>450833.29545454547</v>
      </c>
      <c r="AC82" s="711">
        <f t="shared" si="14"/>
        <v>11684096.240530301</v>
      </c>
      <c r="AD82" s="684">
        <f>+AA$29*AC82+AB82</f>
        <v>3090730.6241885414</v>
      </c>
      <c r="AE82" s="710">
        <f>+AE81</f>
        <v>121843.98863636378</v>
      </c>
      <c r="AF82" s="711">
        <f>+AF81</f>
        <v>4597.886363636364</v>
      </c>
      <c r="AG82" s="711">
        <f t="shared" si="15"/>
        <v>117246.10227272741</v>
      </c>
      <c r="AH82" s="684">
        <f>+AE$29*AG82+AF82</f>
        <v>31088.39669686844</v>
      </c>
      <c r="AI82" s="710">
        <f>+AI81</f>
        <v>8226070.1856060624</v>
      </c>
      <c r="AJ82" s="711">
        <f>+AJ81</f>
        <v>295547.43181818182</v>
      </c>
      <c r="AK82" s="711">
        <f t="shared" si="19"/>
        <v>7930522.7537878808</v>
      </c>
      <c r="AL82" s="684">
        <f>+AI$29*AK82+AJ82</f>
        <v>2087364.7364862063</v>
      </c>
      <c r="AM82" s="710">
        <f>+AM81</f>
        <v>3048840.1812499999</v>
      </c>
      <c r="AN82" s="711">
        <f>+AN81</f>
        <v>110866.91568181818</v>
      </c>
      <c r="AO82" s="711">
        <f t="shared" si="16"/>
        <v>2937973.2655681819</v>
      </c>
      <c r="AP82" s="684">
        <f>+AM$29*AO82+AN82</f>
        <v>774670.74064186681</v>
      </c>
      <c r="AQ82" s="710">
        <f>+AQ81</f>
        <v>25111869.584318183</v>
      </c>
      <c r="AR82" s="711">
        <f>+AR81</f>
        <v>904932.23727272719</v>
      </c>
      <c r="AS82" s="711">
        <f t="shared" si="17"/>
        <v>24206937.347045455</v>
      </c>
      <c r="AT82" s="684">
        <f>+AQ$29*AS82+AR82</f>
        <v>6374232.3802845692</v>
      </c>
      <c r="AU82" s="470"/>
      <c r="AV82" s="470"/>
      <c r="AW82" s="470"/>
      <c r="AX82" s="683"/>
      <c r="AY82" s="470"/>
      <c r="AZ82" s="470"/>
      <c r="BA82" s="470"/>
      <c r="BB82" s="683"/>
      <c r="BC82" s="470"/>
      <c r="BD82" s="470"/>
      <c r="BE82" s="470"/>
      <c r="BF82" s="683"/>
      <c r="BG82" s="470"/>
      <c r="BH82" s="470"/>
      <c r="BI82" s="470"/>
      <c r="BJ82" s="683"/>
      <c r="BK82" s="470"/>
      <c r="BL82" s="470"/>
      <c r="BM82" s="470"/>
      <c r="BN82" s="683"/>
      <c r="BO82" s="470"/>
      <c r="BP82" s="470"/>
      <c r="BQ82" s="470"/>
      <c r="BR82" s="683"/>
      <c r="BS82" s="710">
        <f>+BS81</f>
        <v>232704.81818181835</v>
      </c>
      <c r="BT82" s="711">
        <f>+BT81</f>
        <v>8310.886363636364</v>
      </c>
      <c r="BU82" s="711">
        <f t="shared" si="18"/>
        <v>224393.931818182</v>
      </c>
      <c r="BV82" s="684">
        <f>+BS$29*BU82+BT82</f>
        <v>59010.309664864762</v>
      </c>
      <c r="BW82" s="710">
        <f>+BW81</f>
        <v>16295764.670454554</v>
      </c>
      <c r="BX82" s="711">
        <f>+BX81</f>
        <v>576841.22727272729</v>
      </c>
      <c r="BY82" s="711">
        <f t="shared" si="20"/>
        <v>15718923.443181828</v>
      </c>
      <c r="BZ82" s="684">
        <f>+BW$29*BY82+BX82</f>
        <v>4003611.9064799845</v>
      </c>
      <c r="CA82" s="710">
        <f>+CA81</f>
        <v>1537758.2400000012</v>
      </c>
      <c r="CB82" s="711">
        <f>+CB81</f>
        <v>54433.919999999998</v>
      </c>
      <c r="CC82" s="711">
        <f t="shared" si="21"/>
        <v>1483324.3200000012</v>
      </c>
      <c r="CD82" s="684">
        <f>+CA$29*CC82+CB82</f>
        <v>389575.28047859599</v>
      </c>
      <c r="CE82" s="710">
        <f>+CE81</f>
        <v>133482.07181818192</v>
      </c>
      <c r="CF82" s="711">
        <f>+CF81</f>
        <v>4725.0290909090909</v>
      </c>
      <c r="CG82" s="711">
        <f t="shared" si="22"/>
        <v>128757.04272727284</v>
      </c>
      <c r="CH82" s="684">
        <f>+CE$29*CG82+CF82</f>
        <v>33816.314043898266</v>
      </c>
      <c r="CI82" s="710">
        <f>+CI81</f>
        <v>361609.77272727247</v>
      </c>
      <c r="CJ82" s="711">
        <f>+CJ81</f>
        <v>12362.727272727272</v>
      </c>
      <c r="CK82" s="711">
        <f t="shared" si="24"/>
        <v>349247.04545454518</v>
      </c>
      <c r="CL82" s="684">
        <f>+CI$29*CK82+CJ82</f>
        <v>88499.591192788794</v>
      </c>
      <c r="CM82" s="967">
        <f t="shared" si="25"/>
        <v>28505016.179241538</v>
      </c>
      <c r="CN82" s="708">
        <f>+CM82</f>
        <v>28505016.179241538</v>
      </c>
      <c r="CO82" s="679"/>
      <c r="CR82" s="710"/>
      <c r="CS82" s="711"/>
      <c r="CT82" s="711"/>
      <c r="CU82" s="684"/>
    </row>
    <row r="83" spans="1:99">
      <c r="A83" s="514" t="s">
        <v>609</v>
      </c>
      <c r="B83" s="474">
        <v>2028</v>
      </c>
      <c r="C83" s="470">
        <f>+E82</f>
        <v>11033351.606249996</v>
      </c>
      <c r="D83" s="470">
        <f>+C$31</f>
        <v>445791.98409090913</v>
      </c>
      <c r="E83" s="470">
        <f t="shared" si="6"/>
        <v>10587559.622159086</v>
      </c>
      <c r="F83" s="683">
        <f>+C$28*E83+D83</f>
        <v>2753910.5399650754</v>
      </c>
      <c r="G83" s="470">
        <f>+I82</f>
        <v>2838098.3638636339</v>
      </c>
      <c r="H83" s="470">
        <f>+G$31</f>
        <v>115840.74954545456</v>
      </c>
      <c r="I83" s="470">
        <f t="shared" si="29"/>
        <v>2722257.6143181794</v>
      </c>
      <c r="J83" s="683">
        <f>+G$28*I83+H83</f>
        <v>709300.76655702328</v>
      </c>
      <c r="K83" s="702">
        <f>+M82</f>
        <v>7253719.32698863</v>
      </c>
      <c r="L83" s="470">
        <f>+K$31</f>
        <v>305419.76113636367</v>
      </c>
      <c r="M83" s="470">
        <f t="shared" si="8"/>
        <v>6948299.5658522667</v>
      </c>
      <c r="N83" s="683">
        <f>+K$28*M83+L83</f>
        <v>1820169.1209558418</v>
      </c>
      <c r="O83" s="702">
        <f>+Q82</f>
        <v>3082338.2196969669</v>
      </c>
      <c r="P83" s="470">
        <f>+O$31</f>
        <v>119316.31818181818</v>
      </c>
      <c r="Q83" s="470">
        <f t="shared" si="11"/>
        <v>2963021.9015151486</v>
      </c>
      <c r="R83" s="683">
        <f>+O$28*Q83+P83</f>
        <v>765263.64470596542</v>
      </c>
      <c r="S83" s="710">
        <f>+U82</f>
        <v>1409296.2151515125</v>
      </c>
      <c r="T83" s="711">
        <f>+S$31</f>
        <v>58315.705454545445</v>
      </c>
      <c r="U83" s="711">
        <f t="shared" si="12"/>
        <v>1350980.509696967</v>
      </c>
      <c r="V83" s="684">
        <f>+S$28*U83+T83</f>
        <v>352833.3558231598</v>
      </c>
      <c r="W83" s="710">
        <f>+Y82</f>
        <v>17910085.018939398</v>
      </c>
      <c r="X83" s="711">
        <f>+W$31</f>
        <v>693293.61363636365</v>
      </c>
      <c r="Y83" s="711">
        <f t="shared" si="13"/>
        <v>17216791.405303035</v>
      </c>
      <c r="Z83" s="684">
        <f>+W$28*Y83+X83</f>
        <v>4446603.8317932347</v>
      </c>
      <c r="AA83" s="710">
        <f>+AC82</f>
        <v>11684096.240530301</v>
      </c>
      <c r="AB83" s="711">
        <f>+AA$31</f>
        <v>450833.29545454547</v>
      </c>
      <c r="AC83" s="711">
        <f t="shared" si="14"/>
        <v>11233262.945075756</v>
      </c>
      <c r="AD83" s="684">
        <f>+AA$28*AC83+AB83</f>
        <v>2899717.039379634</v>
      </c>
      <c r="AE83" s="710">
        <f>+AG82</f>
        <v>117246.10227272741</v>
      </c>
      <c r="AF83" s="711">
        <f>+AE$31</f>
        <v>4597.886363636364</v>
      </c>
      <c r="AG83" s="711">
        <f t="shared" si="15"/>
        <v>112648.21590909104</v>
      </c>
      <c r="AH83" s="684">
        <f>+AE$28*AG83+AF83</f>
        <v>29155.522561662368</v>
      </c>
      <c r="AI83" s="710">
        <f>+AK82</f>
        <v>7930522.7537878808</v>
      </c>
      <c r="AJ83" s="711">
        <f>+AI$31</f>
        <v>295547.43181818182</v>
      </c>
      <c r="AK83" s="711">
        <f t="shared" si="19"/>
        <v>7634975.3219696991</v>
      </c>
      <c r="AL83" s="684">
        <f>+AI$28*AK83+AJ83</f>
        <v>1959994.088382645</v>
      </c>
      <c r="AM83" s="710">
        <f>+AO82</f>
        <v>2937973.2655681819</v>
      </c>
      <c r="AN83" s="711">
        <f>+AM$31</f>
        <v>110866.91568181818</v>
      </c>
      <c r="AO83" s="711">
        <f t="shared" si="16"/>
        <v>2827106.3498863638</v>
      </c>
      <c r="AP83" s="684">
        <f>+AM$28*AO83+AN83</f>
        <v>727184.25966591912</v>
      </c>
      <c r="AQ83" s="710">
        <f>+AS82</f>
        <v>24206937.347045455</v>
      </c>
      <c r="AR83" s="711">
        <f>+AQ$31</f>
        <v>904932.23727272719</v>
      </c>
      <c r="AS83" s="711">
        <f t="shared" si="17"/>
        <v>23302005.109772727</v>
      </c>
      <c r="AT83" s="684">
        <f>+AQ$28*AS83+AR83</f>
        <v>5984836.6063942984</v>
      </c>
      <c r="AU83" s="470"/>
      <c r="AV83" s="470"/>
      <c r="AW83" s="470"/>
      <c r="AX83" s="683"/>
      <c r="AY83" s="470"/>
      <c r="AZ83" s="470"/>
      <c r="BA83" s="470"/>
      <c r="BB83" s="683"/>
      <c r="BC83" s="470"/>
      <c r="BD83" s="470"/>
      <c r="BE83" s="470"/>
      <c r="BF83" s="683"/>
      <c r="BG83" s="470"/>
      <c r="BH83" s="470"/>
      <c r="BI83" s="470"/>
      <c r="BJ83" s="683"/>
      <c r="BK83" s="470"/>
      <c r="BL83" s="470"/>
      <c r="BM83" s="470"/>
      <c r="BN83" s="683"/>
      <c r="BO83" s="470"/>
      <c r="BP83" s="470"/>
      <c r="BQ83" s="470"/>
      <c r="BR83" s="683"/>
      <c r="BS83" s="710">
        <f>+BU82</f>
        <v>224393.931818182</v>
      </c>
      <c r="BT83" s="711">
        <f>+BS$31</f>
        <v>8310.886363636364</v>
      </c>
      <c r="BU83" s="711">
        <f t="shared" si="18"/>
        <v>216083.04545454565</v>
      </c>
      <c r="BV83" s="684">
        <f>+BS$28*BU83+BT83</f>
        <v>55417.613940366675</v>
      </c>
      <c r="BW83" s="710">
        <f>+BY82</f>
        <v>15718923.443181828</v>
      </c>
      <c r="BX83" s="711">
        <f>+BW$31</f>
        <v>576841.22727272729</v>
      </c>
      <c r="BY83" s="711">
        <f t="shared" si="20"/>
        <v>15142082.215909101</v>
      </c>
      <c r="BZ83" s="684">
        <f>+BW$28*BY83+BX83</f>
        <v>3877858.8540320117</v>
      </c>
      <c r="CA83" s="710">
        <f>+CC82</f>
        <v>1483324.3200000012</v>
      </c>
      <c r="CB83" s="711">
        <f>+CA$31</f>
        <v>54433.919999999998</v>
      </c>
      <c r="CC83" s="711">
        <f t="shared" si="21"/>
        <v>1428890.4000000013</v>
      </c>
      <c r="CD83" s="684">
        <f>+CA$28*CC83+CB83</f>
        <v>365936.15132135741</v>
      </c>
      <c r="CE83" s="710">
        <f>+CG82</f>
        <v>128757.04272727284</v>
      </c>
      <c r="CF83" s="711">
        <f>+CE$31</f>
        <v>4725.0290909090909</v>
      </c>
      <c r="CG83" s="711">
        <f t="shared" si="22"/>
        <v>124032.01363636376</v>
      </c>
      <c r="CH83" s="684">
        <f>+CE$28*CG83+CF83</f>
        <v>31764.366049858709</v>
      </c>
      <c r="CI83" s="710">
        <f>+CK82</f>
        <v>349247.04545454518</v>
      </c>
      <c r="CJ83" s="711">
        <f>+CI$31</f>
        <v>12362.727272727272</v>
      </c>
      <c r="CK83" s="711">
        <f t="shared" si="24"/>
        <v>336884.31818181789</v>
      </c>
      <c r="CL83" s="684">
        <f>+CI$28*CK83+CJ83</f>
        <v>85804.480965529947</v>
      </c>
      <c r="CM83" s="967">
        <f t="shared" si="25"/>
        <v>26865750.242493585</v>
      </c>
      <c r="CN83" s="543"/>
      <c r="CO83" s="707">
        <f>+CM83</f>
        <v>26865750.242493585</v>
      </c>
      <c r="CR83" s="710"/>
      <c r="CS83" s="711"/>
      <c r="CT83" s="711"/>
      <c r="CU83" s="684"/>
    </row>
    <row r="84" spans="1:99">
      <c r="A84" s="514" t="s">
        <v>608</v>
      </c>
      <c r="B84" s="474">
        <v>2028</v>
      </c>
      <c r="C84" s="470">
        <f>+C83</f>
        <v>11033351.606249996</v>
      </c>
      <c r="D84" s="470">
        <f>+D83</f>
        <v>445791.98409090913</v>
      </c>
      <c r="E84" s="470">
        <f t="shared" si="6"/>
        <v>10587559.622159086</v>
      </c>
      <c r="F84" s="683">
        <f>+C$29*E84+D84</f>
        <v>2837938.5214837855</v>
      </c>
      <c r="G84" s="470">
        <f>+G83</f>
        <v>2838098.3638636339</v>
      </c>
      <c r="H84" s="470">
        <f>+H83</f>
        <v>115840.74954545456</v>
      </c>
      <c r="I84" s="470">
        <f t="shared" si="29"/>
        <v>2722257.6143181794</v>
      </c>
      <c r="J84" s="683">
        <f>+G$29*I84+H84</f>
        <v>730905.91643748735</v>
      </c>
      <c r="K84" s="702">
        <f>+K83</f>
        <v>7253719.32698863</v>
      </c>
      <c r="L84" s="470">
        <f>+L83</f>
        <v>305419.76113636367</v>
      </c>
      <c r="M84" s="470">
        <f t="shared" si="8"/>
        <v>6948299.5658522667</v>
      </c>
      <c r="N84" s="683">
        <f>+K$29*M84+L84</f>
        <v>1875314.1787729361</v>
      </c>
      <c r="O84" s="702">
        <f>+O83</f>
        <v>3082338.2196969669</v>
      </c>
      <c r="P84" s="470">
        <f>+P83</f>
        <v>119316.31818181818</v>
      </c>
      <c r="Q84" s="470">
        <f t="shared" si="11"/>
        <v>2963021.9015151486</v>
      </c>
      <c r="R84" s="683">
        <f>+O$29*Q84+P84</f>
        <v>788779.61613520351</v>
      </c>
      <c r="S84" s="710">
        <f>+S83</f>
        <v>1409296.2151515125</v>
      </c>
      <c r="T84" s="711">
        <f>+T83</f>
        <v>58315.705454545445</v>
      </c>
      <c r="U84" s="711">
        <f t="shared" si="12"/>
        <v>1350980.509696967</v>
      </c>
      <c r="V84" s="684">
        <f>+S$29*U84+T84</f>
        <v>363555.38897831336</v>
      </c>
      <c r="W84" s="710">
        <f>+W83</f>
        <v>17910085.018939398</v>
      </c>
      <c r="X84" s="711">
        <f>+X83</f>
        <v>693293.61363636365</v>
      </c>
      <c r="Y84" s="711">
        <f t="shared" si="13"/>
        <v>17216791.405303035</v>
      </c>
      <c r="Z84" s="684">
        <f>+W$29*Y84+X84</f>
        <v>4583244.5952594876</v>
      </c>
      <c r="AA84" s="710">
        <f>+AA83</f>
        <v>11684096.240530301</v>
      </c>
      <c r="AB84" s="711">
        <f>+AB83</f>
        <v>450833.29545454547</v>
      </c>
      <c r="AC84" s="711">
        <f t="shared" si="14"/>
        <v>11233262.945075756</v>
      </c>
      <c r="AD84" s="684">
        <f>+AA$29*AC84+AB84</f>
        <v>2988869.6340123103</v>
      </c>
      <c r="AE84" s="710">
        <f>+AE83</f>
        <v>117246.10227272741</v>
      </c>
      <c r="AF84" s="711">
        <f>+AF83</f>
        <v>4597.886363636364</v>
      </c>
      <c r="AG84" s="711">
        <f t="shared" si="15"/>
        <v>112648.21590909104</v>
      </c>
      <c r="AH84" s="684">
        <f>+AE$29*AG84+AF84</f>
        <v>30049.553154388752</v>
      </c>
      <c r="AI84" s="710">
        <f>+AI83</f>
        <v>7930522.7537878808</v>
      </c>
      <c r="AJ84" s="711">
        <f>+AJ83</f>
        <v>295547.43181818182</v>
      </c>
      <c r="AK84" s="711">
        <f t="shared" si="19"/>
        <v>7634975.3219696991</v>
      </c>
      <c r="AL84" s="684">
        <f>+AI$29*AK84+AJ84</f>
        <v>2020588.9363122426</v>
      </c>
      <c r="AM84" s="710">
        <f>+AM83</f>
        <v>2937973.2655681819</v>
      </c>
      <c r="AN84" s="711">
        <f>+AN83</f>
        <v>110866.91568181818</v>
      </c>
      <c r="AO84" s="711">
        <f t="shared" si="16"/>
        <v>2827106.3498863638</v>
      </c>
      <c r="AP84" s="684">
        <f>+AM$29*AO84+AN84</f>
        <v>749621.5396999782</v>
      </c>
      <c r="AQ84" s="710">
        <f>+AQ83</f>
        <v>24206937.347045455</v>
      </c>
      <c r="AR84" s="711">
        <f>+AR83</f>
        <v>904932.23727272719</v>
      </c>
      <c r="AS84" s="711">
        <f t="shared" si="17"/>
        <v>23302005.109772727</v>
      </c>
      <c r="AT84" s="684">
        <f>+AQ$29*AS84+AR84</f>
        <v>6169772.56185422</v>
      </c>
      <c r="AU84" s="470"/>
      <c r="AV84" s="470"/>
      <c r="AW84" s="470"/>
      <c r="AX84" s="683"/>
      <c r="AY84" s="470"/>
      <c r="AZ84" s="470"/>
      <c r="BA84" s="470"/>
      <c r="BB84" s="683"/>
      <c r="BC84" s="470"/>
      <c r="BD84" s="470"/>
      <c r="BE84" s="470"/>
      <c r="BF84" s="683"/>
      <c r="BG84" s="470"/>
      <c r="BH84" s="470"/>
      <c r="BI84" s="470"/>
      <c r="BJ84" s="683"/>
      <c r="BK84" s="470"/>
      <c r="BL84" s="470"/>
      <c r="BM84" s="470"/>
      <c r="BN84" s="683"/>
      <c r="BO84" s="470"/>
      <c r="BP84" s="470"/>
      <c r="BQ84" s="470"/>
      <c r="BR84" s="683"/>
      <c r="BS84" s="710">
        <f>+BS83</f>
        <v>224393.931818182</v>
      </c>
      <c r="BT84" s="711">
        <f>+BT83</f>
        <v>8310.886363636364</v>
      </c>
      <c r="BU84" s="711">
        <f t="shared" si="18"/>
        <v>216083.04545454565</v>
      </c>
      <c r="BV84" s="684">
        <f>+BS$29*BU84+BT84</f>
        <v>57132.553246300755</v>
      </c>
      <c r="BW84" s="710">
        <f>+BW83</f>
        <v>15718923.443181828</v>
      </c>
      <c r="BX84" s="711">
        <f>+BX83</f>
        <v>576841.22727272729</v>
      </c>
      <c r="BY84" s="711">
        <f t="shared" si="20"/>
        <v>15142082.215909101</v>
      </c>
      <c r="BZ84" s="684">
        <f>+BW$29*BY84+BX84</f>
        <v>3877858.8540320117</v>
      </c>
      <c r="CA84" s="710">
        <f>+CA83</f>
        <v>1483324.3200000012</v>
      </c>
      <c r="CB84" s="711">
        <f>+CB83</f>
        <v>54433.919999999998</v>
      </c>
      <c r="CC84" s="711">
        <f t="shared" si="21"/>
        <v>1428890.4000000013</v>
      </c>
      <c r="CD84" s="684">
        <f>+CA$29*CC84+CB84</f>
        <v>377276.51495644572</v>
      </c>
      <c r="CE84" s="710">
        <f>+CE83</f>
        <v>128757.04272727284</v>
      </c>
      <c r="CF84" s="711">
        <f>+CF83</f>
        <v>4725.0290909090909</v>
      </c>
      <c r="CG84" s="711">
        <f t="shared" si="22"/>
        <v>124032.01363636376</v>
      </c>
      <c r="CH84" s="684">
        <f>+CE$29*CG84+CF84</f>
        <v>32748.743953880319</v>
      </c>
      <c r="CI84" s="710">
        <f>+CI83</f>
        <v>349247.04545454518</v>
      </c>
      <c r="CJ84" s="711">
        <f>+CJ83</f>
        <v>12362.727272727272</v>
      </c>
      <c r="CK84" s="711">
        <f t="shared" si="24"/>
        <v>336884.31818181789</v>
      </c>
      <c r="CL84" s="684">
        <f>+CI$29*CK84+CJ84</f>
        <v>85804.480965529947</v>
      </c>
      <c r="CM84" s="967">
        <f t="shared" si="25"/>
        <v>27569461.589254521</v>
      </c>
      <c r="CN84" s="708">
        <f>+CM84</f>
        <v>27569461.589254521</v>
      </c>
      <c r="CO84" s="679"/>
      <c r="CR84" s="710"/>
      <c r="CS84" s="711"/>
      <c r="CT84" s="711"/>
      <c r="CU84" s="684"/>
    </row>
    <row r="85" spans="1:99">
      <c r="A85" s="514" t="s">
        <v>609</v>
      </c>
      <c r="B85" s="474">
        <v>2029</v>
      </c>
      <c r="C85" s="470">
        <f>+E84</f>
        <v>10587559.622159086</v>
      </c>
      <c r="D85" s="470">
        <f>+C$31</f>
        <v>445791.98409090913</v>
      </c>
      <c r="E85" s="470">
        <f t="shared" si="6"/>
        <v>10141767.638068177</v>
      </c>
      <c r="F85" s="683">
        <f>+C$28*E85+D85</f>
        <v>2656726.6007703738</v>
      </c>
      <c r="G85" s="470">
        <f>+I84</f>
        <v>2722257.6143181794</v>
      </c>
      <c r="H85" s="470">
        <f>+G$31</f>
        <v>115840.74954545456</v>
      </c>
      <c r="I85" s="470">
        <f t="shared" si="29"/>
        <v>2606416.8647727249</v>
      </c>
      <c r="J85" s="683">
        <f>+G$28*I85+H85</f>
        <v>684047.14881185011</v>
      </c>
      <c r="K85" s="702">
        <f>+M84</f>
        <v>6948299.5658522667</v>
      </c>
      <c r="L85" s="470">
        <f>+K$31</f>
        <v>305419.76113636367</v>
      </c>
      <c r="M85" s="470">
        <f t="shared" si="8"/>
        <v>6642879.8047159035</v>
      </c>
      <c r="N85" s="683">
        <f>+K$28*M85+L85</f>
        <v>1753586.7315132276</v>
      </c>
      <c r="O85" s="702">
        <f>+Q84</f>
        <v>2963021.9015151486</v>
      </c>
      <c r="P85" s="470">
        <f>+O$31</f>
        <v>119316.31818181818</v>
      </c>
      <c r="Q85" s="470">
        <f t="shared" si="11"/>
        <v>2843705.5833333302</v>
      </c>
      <c r="R85" s="683">
        <f>+O$28*Q85+P85</f>
        <v>739252.34296673792</v>
      </c>
      <c r="S85" s="710">
        <f>+U84</f>
        <v>1350980.509696967</v>
      </c>
      <c r="T85" s="711">
        <f>+S$31</f>
        <v>58315.705454545445</v>
      </c>
      <c r="U85" s="711">
        <f t="shared" si="12"/>
        <v>1292664.8042424214</v>
      </c>
      <c r="V85" s="684">
        <f>+S$28*U85+T85</f>
        <v>340120.36372091743</v>
      </c>
      <c r="W85" s="710">
        <f>+Y84</f>
        <v>17216791.405303035</v>
      </c>
      <c r="X85" s="711">
        <f>+W$31</f>
        <v>693293.61363636365</v>
      </c>
      <c r="Y85" s="711">
        <f t="shared" si="13"/>
        <v>16523497.791666672</v>
      </c>
      <c r="Z85" s="684">
        <f>+W$28*Y85+X85</f>
        <v>4295463.8230083948</v>
      </c>
      <c r="AA85" s="710">
        <f>+AC84</f>
        <v>11233262.945075756</v>
      </c>
      <c r="AB85" s="711">
        <f>+AA$31</f>
        <v>450833.29545454547</v>
      </c>
      <c r="AC85" s="711">
        <f t="shared" si="14"/>
        <v>10782429.649621211</v>
      </c>
      <c r="AD85" s="684">
        <f>+AA$28*AC85+AB85</f>
        <v>2801434.0797572224</v>
      </c>
      <c r="AE85" s="710">
        <f>+AG84</f>
        <v>112648.21590909104</v>
      </c>
      <c r="AF85" s="711">
        <f>+AE$31</f>
        <v>4597.886363636364</v>
      </c>
      <c r="AG85" s="711">
        <f t="shared" si="15"/>
        <v>108050.32954545468</v>
      </c>
      <c r="AH85" s="684">
        <f>+AE$28*AG85+AF85</f>
        <v>28153.170063783757</v>
      </c>
      <c r="AI85" s="710">
        <f>+AK84</f>
        <v>7634975.3219696991</v>
      </c>
      <c r="AJ85" s="711">
        <f>+AI$31</f>
        <v>295547.43181818182</v>
      </c>
      <c r="AK85" s="711">
        <f t="shared" si="19"/>
        <v>7339427.8901515175</v>
      </c>
      <c r="AL85" s="684">
        <f>+AI$28*AK85+AJ85</f>
        <v>1895563.8952253109</v>
      </c>
      <c r="AM85" s="710">
        <f>+AO84</f>
        <v>2827106.3498863638</v>
      </c>
      <c r="AN85" s="711">
        <f>+AM$31</f>
        <v>110866.91568181818</v>
      </c>
      <c r="AO85" s="711">
        <f t="shared" si="16"/>
        <v>2716239.4342045458</v>
      </c>
      <c r="AP85" s="684">
        <f>+AM$28*AO85+AN85</f>
        <v>703014.95205869956</v>
      </c>
      <c r="AQ85" s="710">
        <f>+AS84</f>
        <v>23302005.109772727</v>
      </c>
      <c r="AR85" s="711">
        <f>+AQ$31</f>
        <v>904932.23727272719</v>
      </c>
      <c r="AS85" s="711">
        <f t="shared" si="17"/>
        <v>22397072.872499999</v>
      </c>
      <c r="AT85" s="684">
        <f>+AQ$28*AS85+AR85</f>
        <v>5787558.7668167613</v>
      </c>
      <c r="AU85" s="470"/>
      <c r="AV85" s="470"/>
      <c r="AW85" s="470"/>
      <c r="AX85" s="683"/>
      <c r="AY85" s="470"/>
      <c r="AZ85" s="470"/>
      <c r="BA85" s="470"/>
      <c r="BB85" s="683"/>
      <c r="BC85" s="470"/>
      <c r="BD85" s="470"/>
      <c r="BE85" s="470"/>
      <c r="BF85" s="683"/>
      <c r="BG85" s="470"/>
      <c r="BH85" s="470"/>
      <c r="BI85" s="470"/>
      <c r="BJ85" s="683"/>
      <c r="BK85" s="470"/>
      <c r="BL85" s="470"/>
      <c r="BM85" s="470"/>
      <c r="BN85" s="683"/>
      <c r="BO85" s="470"/>
      <c r="BP85" s="470"/>
      <c r="BQ85" s="470"/>
      <c r="BR85" s="683"/>
      <c r="BS85" s="710">
        <f>+BU84</f>
        <v>216083.04545454565</v>
      </c>
      <c r="BT85" s="711">
        <f>+BS$31</f>
        <v>8310.886363636364</v>
      </c>
      <c r="BU85" s="711">
        <f t="shared" si="18"/>
        <v>207772.15909090929</v>
      </c>
      <c r="BV85" s="684">
        <f>+BS$28*BU85+BT85</f>
        <v>53605.816725877055</v>
      </c>
      <c r="BW85" s="710">
        <f>+BY84</f>
        <v>15142082.215909101</v>
      </c>
      <c r="BX85" s="711">
        <f>+BW$31</f>
        <v>576841.22727272729</v>
      </c>
      <c r="BY85" s="711">
        <f t="shared" si="20"/>
        <v>14565240.988636374</v>
      </c>
      <c r="BZ85" s="684">
        <f>+BW$28*BY85+BX85</f>
        <v>3752105.8015840389</v>
      </c>
      <c r="CA85" s="710">
        <f>+CC84</f>
        <v>1428890.4000000013</v>
      </c>
      <c r="CB85" s="711">
        <f>+CA$31</f>
        <v>54433.919999999998</v>
      </c>
      <c r="CC85" s="711">
        <f t="shared" si="21"/>
        <v>1374456.4800000014</v>
      </c>
      <c r="CD85" s="684">
        <f>+CA$28*CC85+CB85</f>
        <v>354069.39965197234</v>
      </c>
      <c r="CE85" s="710">
        <f>+CG84</f>
        <v>124032.01363636376</v>
      </c>
      <c r="CF85" s="711">
        <f>+CE$31</f>
        <v>4725.0290909090909</v>
      </c>
      <c r="CG85" s="711">
        <f t="shared" si="22"/>
        <v>119306.98454545467</v>
      </c>
      <c r="CH85" s="684">
        <f>+CE$28*CG85+CF85</f>
        <v>30734.296070470155</v>
      </c>
      <c r="CI85" s="710">
        <f>+CK84</f>
        <v>336884.31818181789</v>
      </c>
      <c r="CJ85" s="711">
        <f>+CI$31</f>
        <v>12362.727272727272</v>
      </c>
      <c r="CK85" s="711">
        <f t="shared" si="24"/>
        <v>324521.59090909059</v>
      </c>
      <c r="CL85" s="684">
        <f>+CI$28*CK85+CJ85</f>
        <v>83109.370738271129</v>
      </c>
      <c r="CM85" s="967">
        <f t="shared" si="25"/>
        <v>25958546.559483908</v>
      </c>
      <c r="CN85" s="543"/>
      <c r="CO85" s="707">
        <f>+CM85</f>
        <v>25958546.559483908</v>
      </c>
      <c r="CR85" s="710"/>
      <c r="CS85" s="711"/>
      <c r="CT85" s="711"/>
      <c r="CU85" s="684"/>
    </row>
    <row r="86" spans="1:99">
      <c r="A86" s="514" t="s">
        <v>608</v>
      </c>
      <c r="B86" s="474">
        <v>2029</v>
      </c>
      <c r="C86" s="470">
        <f>+C85</f>
        <v>10587559.622159086</v>
      </c>
      <c r="D86" s="470">
        <f>+D85</f>
        <v>445791.98409090913</v>
      </c>
      <c r="E86" s="470">
        <f t="shared" si="6"/>
        <v>10141767.638068177</v>
      </c>
      <c r="F86" s="683">
        <f>+C$29*E86+D86</f>
        <v>2737216.5620146124</v>
      </c>
      <c r="G86" s="470">
        <f>+G85</f>
        <v>2722257.6143181794</v>
      </c>
      <c r="H86" s="470">
        <f>+H85</f>
        <v>115840.74954545456</v>
      </c>
      <c r="I86" s="470">
        <f t="shared" si="29"/>
        <v>2606416.8647727249</v>
      </c>
      <c r="J86" s="683">
        <f>+G$29*I86+H86</f>
        <v>704732.93061229435</v>
      </c>
      <c r="K86" s="702">
        <f>+K85</f>
        <v>6948299.5658522667</v>
      </c>
      <c r="L86" s="470">
        <f>+L85</f>
        <v>305419.76113636367</v>
      </c>
      <c r="M86" s="470">
        <f t="shared" si="8"/>
        <v>6642879.8047159035</v>
      </c>
      <c r="N86" s="683">
        <f>+K$29*M86+L86</f>
        <v>1806307.830744955</v>
      </c>
      <c r="O86" s="702">
        <f>+O85</f>
        <v>2963021.9015151486</v>
      </c>
      <c r="P86" s="470">
        <f>+P85</f>
        <v>119316.31818181818</v>
      </c>
      <c r="Q86" s="470">
        <f t="shared" si="11"/>
        <v>2843705.5833333302</v>
      </c>
      <c r="R86" s="683">
        <f>+O$29*Q86+P86</f>
        <v>761821.36252634227</v>
      </c>
      <c r="S86" s="710">
        <f>+S85</f>
        <v>1350980.509696967</v>
      </c>
      <c r="T86" s="711">
        <f>+T85</f>
        <v>58315.705454545445</v>
      </c>
      <c r="U86" s="711">
        <f t="shared" si="12"/>
        <v>1292664.8042424214</v>
      </c>
      <c r="V86" s="684">
        <f>+S$29*U86+T86</f>
        <v>350379.57530102838</v>
      </c>
      <c r="W86" s="710">
        <f>+W85</f>
        <v>17216791.405303035</v>
      </c>
      <c r="X86" s="711">
        <f>+X85</f>
        <v>693293.61363636365</v>
      </c>
      <c r="Y86" s="711">
        <f t="shared" si="13"/>
        <v>16523497.791666672</v>
      </c>
      <c r="Z86" s="684">
        <f>+W$29*Y86+X86</f>
        <v>4426602.2738518454</v>
      </c>
      <c r="AA86" s="710">
        <f>+AA85</f>
        <v>11233262.945075756</v>
      </c>
      <c r="AB86" s="711">
        <f>+AB85</f>
        <v>450833.29545454547</v>
      </c>
      <c r="AC86" s="711">
        <f t="shared" si="14"/>
        <v>10782429.649621211</v>
      </c>
      <c r="AD86" s="684">
        <f>+AA$29*AC86+AB86</f>
        <v>2887008.6438360787</v>
      </c>
      <c r="AE86" s="710">
        <f>+AE85</f>
        <v>112648.21590909104</v>
      </c>
      <c r="AF86" s="711">
        <f>+AF85</f>
        <v>4597.886363636364</v>
      </c>
      <c r="AG86" s="711">
        <f t="shared" si="15"/>
        <v>108050.32954545468</v>
      </c>
      <c r="AH86" s="684">
        <f>+AE$29*AG86+AF86</f>
        <v>29010.70961190906</v>
      </c>
      <c r="AI86" s="710">
        <f>+AI85</f>
        <v>7634975.3219696991</v>
      </c>
      <c r="AJ86" s="711">
        <f>+AJ85</f>
        <v>295547.43181818182</v>
      </c>
      <c r="AK86" s="711">
        <f t="shared" si="19"/>
        <v>7339427.8901515175</v>
      </c>
      <c r="AL86" s="684">
        <f>+AI$29*AK86+AJ86</f>
        <v>1953813.136138279</v>
      </c>
      <c r="AM86" s="710">
        <f>+AM85</f>
        <v>2827106.3498863638</v>
      </c>
      <c r="AN86" s="711">
        <f>+AN85</f>
        <v>110866.91568181818</v>
      </c>
      <c r="AO86" s="711">
        <f t="shared" si="16"/>
        <v>2716239.4342045458</v>
      </c>
      <c r="AP86" s="684">
        <f>+AM$29*AO86+AN86</f>
        <v>724572.33875808958</v>
      </c>
      <c r="AQ86" s="710">
        <f>+AQ85</f>
        <v>23302005.109772727</v>
      </c>
      <c r="AR86" s="711">
        <f>+AR85</f>
        <v>904932.23727272719</v>
      </c>
      <c r="AS86" s="711">
        <f t="shared" si="17"/>
        <v>22397072.872499999</v>
      </c>
      <c r="AT86" s="684">
        <f>+AQ$29*AS86+AR86</f>
        <v>5965312.7434238708</v>
      </c>
      <c r="AU86" s="470"/>
      <c r="AV86" s="470"/>
      <c r="AW86" s="470"/>
      <c r="AX86" s="683"/>
      <c r="AY86" s="470"/>
      <c r="AZ86" s="470"/>
      <c r="BA86" s="470"/>
      <c r="BB86" s="683"/>
      <c r="BC86" s="470"/>
      <c r="BD86" s="470"/>
      <c r="BE86" s="470"/>
      <c r="BF86" s="683"/>
      <c r="BG86" s="470"/>
      <c r="BH86" s="470"/>
      <c r="BI86" s="470"/>
      <c r="BJ86" s="683"/>
      <c r="BK86" s="470"/>
      <c r="BL86" s="470"/>
      <c r="BM86" s="470"/>
      <c r="BN86" s="683"/>
      <c r="BO86" s="470"/>
      <c r="BP86" s="470"/>
      <c r="BQ86" s="470"/>
      <c r="BR86" s="683"/>
      <c r="BS86" s="710">
        <f>+BS85</f>
        <v>216083.04545454565</v>
      </c>
      <c r="BT86" s="711">
        <f>+BT85</f>
        <v>8310.886363636364</v>
      </c>
      <c r="BU86" s="711">
        <f t="shared" si="18"/>
        <v>207772.15909090929</v>
      </c>
      <c r="BV86" s="684">
        <f>+BS$29*BU86+BT86</f>
        <v>55254.796827736747</v>
      </c>
      <c r="BW86" s="710">
        <f>+BW85</f>
        <v>15142082.215909101</v>
      </c>
      <c r="BX86" s="711">
        <f>+BX85</f>
        <v>576841.22727272729</v>
      </c>
      <c r="BY86" s="711">
        <f t="shared" si="20"/>
        <v>14565240.988636374</v>
      </c>
      <c r="BZ86" s="684">
        <f>+BW$29*BY86+BX86</f>
        <v>3752105.8015840389</v>
      </c>
      <c r="CA86" s="710">
        <f>+CA85</f>
        <v>1428890.4000000013</v>
      </c>
      <c r="CB86" s="711">
        <f>+CB85</f>
        <v>54433.919999999998</v>
      </c>
      <c r="CC86" s="711">
        <f t="shared" si="21"/>
        <v>1374456.4800000014</v>
      </c>
      <c r="CD86" s="684">
        <f>+CA$29*CC86+CB86</f>
        <v>364977.74943429546</v>
      </c>
      <c r="CE86" s="710">
        <f>+CE85</f>
        <v>124032.01363636376</v>
      </c>
      <c r="CF86" s="711">
        <f>+CF85</f>
        <v>4725.0290909090909</v>
      </c>
      <c r="CG86" s="711">
        <f t="shared" si="22"/>
        <v>119306.98454545467</v>
      </c>
      <c r="CH86" s="684">
        <f>+CE$29*CG86+CF86</f>
        <v>31681.173863862368</v>
      </c>
      <c r="CI86" s="710">
        <f>+CI85</f>
        <v>336884.31818181789</v>
      </c>
      <c r="CJ86" s="711">
        <f>+CJ85</f>
        <v>12362.727272727272</v>
      </c>
      <c r="CK86" s="711">
        <f t="shared" si="24"/>
        <v>324521.59090909059</v>
      </c>
      <c r="CL86" s="684">
        <f>+CI$29*CK86+CJ86</f>
        <v>83109.370738271129</v>
      </c>
      <c r="CM86" s="967">
        <f t="shared" si="25"/>
        <v>26633906.999267511</v>
      </c>
      <c r="CN86" s="708">
        <f>+CM86</f>
        <v>26633906.999267511</v>
      </c>
      <c r="CO86" s="679"/>
      <c r="CR86" s="710"/>
      <c r="CS86" s="711"/>
      <c r="CT86" s="711"/>
      <c r="CU86" s="684"/>
    </row>
    <row r="87" spans="1:99">
      <c r="A87" s="514" t="s">
        <v>609</v>
      </c>
      <c r="B87" s="474">
        <v>2030</v>
      </c>
      <c r="C87" s="470">
        <f>+E86</f>
        <v>10141767.638068177</v>
      </c>
      <c r="D87" s="470">
        <f>+C$31</f>
        <v>445791.98409090913</v>
      </c>
      <c r="E87" s="470">
        <f t="shared" si="6"/>
        <v>9695975.6539772674</v>
      </c>
      <c r="F87" s="683">
        <f>+C$28*E87+D87</f>
        <v>2559542.6615756722</v>
      </c>
      <c r="G87" s="470">
        <f>+I86</f>
        <v>2606416.8647727249</v>
      </c>
      <c r="H87" s="470">
        <f>+G$31</f>
        <v>115840.74954545456</v>
      </c>
      <c r="I87" s="470">
        <f t="shared" si="29"/>
        <v>2490576.1152272704</v>
      </c>
      <c r="J87" s="683">
        <f>+G$28*I87+H87</f>
        <v>658793.53106667695</v>
      </c>
      <c r="K87" s="702">
        <f>+M86</f>
        <v>6642879.8047159035</v>
      </c>
      <c r="L87" s="470">
        <f>+K$31</f>
        <v>305419.76113636367</v>
      </c>
      <c r="M87" s="470">
        <f t="shared" si="8"/>
        <v>6337460.0435795402</v>
      </c>
      <c r="N87" s="683">
        <f>+K$28*M87+L87</f>
        <v>1687004.3420706131</v>
      </c>
      <c r="O87" s="702">
        <f>+Q86</f>
        <v>2843705.5833333302</v>
      </c>
      <c r="P87" s="470">
        <f>+O$31</f>
        <v>119316.31818181818</v>
      </c>
      <c r="Q87" s="470">
        <f t="shared" si="11"/>
        <v>2724389.2651515119</v>
      </c>
      <c r="R87" s="683">
        <f>+O$28*Q87+P87</f>
        <v>713241.04122751043</v>
      </c>
      <c r="S87" s="710">
        <f>+U86</f>
        <v>1292664.8042424214</v>
      </c>
      <c r="T87" s="711">
        <f>+S$31</f>
        <v>58315.705454545445</v>
      </c>
      <c r="U87" s="711">
        <f t="shared" si="12"/>
        <v>1234349.0987878758</v>
      </c>
      <c r="V87" s="684">
        <f>+S$28*U87+T87</f>
        <v>327407.37161867501</v>
      </c>
      <c r="W87" s="710">
        <f>+Y86</f>
        <v>16523497.791666672</v>
      </c>
      <c r="X87" s="711">
        <f>+W$31</f>
        <v>693293.61363636365</v>
      </c>
      <c r="Y87" s="711">
        <f t="shared" si="13"/>
        <v>15830204.178030308</v>
      </c>
      <c r="Z87" s="684">
        <f>+W$28*Y87+X87</f>
        <v>4144323.8142235545</v>
      </c>
      <c r="AA87" s="710">
        <f>+AC86</f>
        <v>10782429.649621211</v>
      </c>
      <c r="AB87" s="711">
        <f>+AA$31</f>
        <v>450833.29545454547</v>
      </c>
      <c r="AC87" s="711">
        <f t="shared" si="14"/>
        <v>10331596.354166666</v>
      </c>
      <c r="AD87" s="684">
        <f>+AA$28*AC87+AB87</f>
        <v>2703151.1201348109</v>
      </c>
      <c r="AE87" s="710">
        <f>+AG86</f>
        <v>108050.32954545468</v>
      </c>
      <c r="AF87" s="711">
        <f>+AE$31</f>
        <v>4597.886363636364</v>
      </c>
      <c r="AG87" s="711">
        <f t="shared" si="15"/>
        <v>103452.44318181831</v>
      </c>
      <c r="AH87" s="684">
        <f>+AE$28*AG87+AF87</f>
        <v>27150.817565905145</v>
      </c>
      <c r="AI87" s="710">
        <f>+AK86</f>
        <v>7339427.8901515175</v>
      </c>
      <c r="AJ87" s="711">
        <f>+AI$31</f>
        <v>295547.43181818182</v>
      </c>
      <c r="AK87" s="711">
        <f t="shared" si="19"/>
        <v>7043880.4583333358</v>
      </c>
      <c r="AL87" s="684">
        <f>+AI$28*AK87+AJ87</f>
        <v>1831133.7020679771</v>
      </c>
      <c r="AM87" s="710">
        <f>+AO86</f>
        <v>2716239.4342045458</v>
      </c>
      <c r="AN87" s="711">
        <f>+AM$31</f>
        <v>110866.91568181818</v>
      </c>
      <c r="AO87" s="711">
        <f t="shared" si="16"/>
        <v>2605372.5185227278</v>
      </c>
      <c r="AP87" s="684">
        <f>+AM$28*AO87+AN87</f>
        <v>678845.64445147989</v>
      </c>
      <c r="AQ87" s="710">
        <f>+AS86</f>
        <v>22397072.872499999</v>
      </c>
      <c r="AR87" s="711">
        <f>+AQ$31</f>
        <v>904932.23727272719</v>
      </c>
      <c r="AS87" s="711">
        <f t="shared" si="17"/>
        <v>21492140.63522727</v>
      </c>
      <c r="AT87" s="684">
        <f>+AQ$28*AS87+AR87</f>
        <v>5590280.9272392243</v>
      </c>
      <c r="AU87" s="470"/>
      <c r="AV87" s="470"/>
      <c r="AW87" s="470"/>
      <c r="AX87" s="683"/>
      <c r="AY87" s="470"/>
      <c r="AZ87" s="470"/>
      <c r="BA87" s="470"/>
      <c r="BB87" s="683"/>
      <c r="BC87" s="470"/>
      <c r="BD87" s="470"/>
      <c r="BE87" s="470"/>
      <c r="BF87" s="683"/>
      <c r="BG87" s="470"/>
      <c r="BH87" s="470"/>
      <c r="BI87" s="470"/>
      <c r="BJ87" s="683"/>
      <c r="BK87" s="470"/>
      <c r="BL87" s="470"/>
      <c r="BM87" s="470"/>
      <c r="BN87" s="683"/>
      <c r="BO87" s="470"/>
      <c r="BP87" s="470"/>
      <c r="BQ87" s="470"/>
      <c r="BR87" s="683"/>
      <c r="BS87" s="710">
        <f>+BU86</f>
        <v>207772.15909090929</v>
      </c>
      <c r="BT87" s="711">
        <f>+BS$31</f>
        <v>8310.886363636364</v>
      </c>
      <c r="BU87" s="711">
        <f t="shared" si="18"/>
        <v>199461.27272727294</v>
      </c>
      <c r="BV87" s="684">
        <f>+BS$28*BU87+BT87</f>
        <v>51794.019511387422</v>
      </c>
      <c r="BW87" s="710">
        <f>+BY86</f>
        <v>14565240.988636374</v>
      </c>
      <c r="BX87" s="711">
        <f>+BW$31</f>
        <v>576841.22727272729</v>
      </c>
      <c r="BY87" s="711">
        <f t="shared" si="20"/>
        <v>13988399.761363648</v>
      </c>
      <c r="BZ87" s="684">
        <f>+BW$28*BY87+BX87</f>
        <v>3626352.749136067</v>
      </c>
      <c r="CA87" s="710">
        <f>+CC86</f>
        <v>1374456.4800000014</v>
      </c>
      <c r="CB87" s="711">
        <f>+CA$31</f>
        <v>54433.919999999998</v>
      </c>
      <c r="CC87" s="711">
        <f t="shared" si="21"/>
        <v>1320022.5600000015</v>
      </c>
      <c r="CD87" s="684">
        <f>+CA$28*CC87+CB87</f>
        <v>342202.64798258734</v>
      </c>
      <c r="CE87" s="710">
        <f>+CG86</f>
        <v>119306.98454545467</v>
      </c>
      <c r="CF87" s="711">
        <f>+CE$31</f>
        <v>4725.0290909090909</v>
      </c>
      <c r="CG87" s="711">
        <f t="shared" si="22"/>
        <v>114581.95545454559</v>
      </c>
      <c r="CH87" s="684">
        <f>+CE$28*CG87+CF87</f>
        <v>29704.2260910816</v>
      </c>
      <c r="CI87" s="710">
        <f>+CK86</f>
        <v>324521.59090909059</v>
      </c>
      <c r="CJ87" s="711">
        <f>+CI$31</f>
        <v>12362.727272727272</v>
      </c>
      <c r="CK87" s="711">
        <f t="shared" si="24"/>
        <v>312158.8636363633</v>
      </c>
      <c r="CL87" s="684">
        <f>+CI$28*CK87+CJ87</f>
        <v>80414.260511012311</v>
      </c>
      <c r="CM87" s="967">
        <f t="shared" si="25"/>
        <v>25051342.876474235</v>
      </c>
      <c r="CN87" s="543"/>
      <c r="CO87" s="707">
        <f>+CM87</f>
        <v>25051342.876474235</v>
      </c>
      <c r="CR87" s="710"/>
      <c r="CS87" s="711"/>
      <c r="CT87" s="711"/>
      <c r="CU87" s="684"/>
    </row>
    <row r="88" spans="1:99">
      <c r="A88" s="514" t="s">
        <v>608</v>
      </c>
      <c r="B88" s="474">
        <v>2030</v>
      </c>
      <c r="C88" s="470">
        <f>+C87</f>
        <v>10141767.638068177</v>
      </c>
      <c r="D88" s="470">
        <f>+D87</f>
        <v>445791.98409090913</v>
      </c>
      <c r="E88" s="470">
        <f t="shared" si="6"/>
        <v>9695975.6539772674</v>
      </c>
      <c r="F88" s="683">
        <f>+C$29*E88+D88</f>
        <v>2636494.6025454383</v>
      </c>
      <c r="G88" s="470">
        <f>+G87</f>
        <v>2606416.8647727249</v>
      </c>
      <c r="H88" s="470">
        <f>+H87</f>
        <v>115840.74954545456</v>
      </c>
      <c r="I88" s="470">
        <f t="shared" si="29"/>
        <v>2490576.1152272704</v>
      </c>
      <c r="J88" s="683">
        <f>+G$29*I88+H88</f>
        <v>678559.94478710147</v>
      </c>
      <c r="K88" s="702">
        <f>+K87</f>
        <v>6642879.8047159035</v>
      </c>
      <c r="L88" s="470">
        <f>+L87</f>
        <v>305419.76113636367</v>
      </c>
      <c r="M88" s="470">
        <f t="shared" si="8"/>
        <v>6337460.0435795402</v>
      </c>
      <c r="N88" s="683">
        <f>+K$29*M88+L88</f>
        <v>1737301.4827169739</v>
      </c>
      <c r="O88" s="702">
        <f>+O87</f>
        <v>2843705.5833333302</v>
      </c>
      <c r="P88" s="470">
        <f>+P87</f>
        <v>119316.31818181818</v>
      </c>
      <c r="Q88" s="470">
        <f t="shared" si="11"/>
        <v>2724389.2651515119</v>
      </c>
      <c r="R88" s="683">
        <f>+O$29*Q88+P88</f>
        <v>734863.10891748103</v>
      </c>
      <c r="S88" s="710">
        <f>+S87</f>
        <v>1292664.8042424214</v>
      </c>
      <c r="T88" s="711">
        <f>+T87</f>
        <v>58315.705454545445</v>
      </c>
      <c r="U88" s="711">
        <f t="shared" si="12"/>
        <v>1234349.0987878758</v>
      </c>
      <c r="V88" s="684">
        <f>+S$29*U88+T88</f>
        <v>337203.76162374334</v>
      </c>
      <c r="W88" s="710">
        <f>+W87</f>
        <v>16523497.791666672</v>
      </c>
      <c r="X88" s="711">
        <f>+X87</f>
        <v>693293.61363636365</v>
      </c>
      <c r="Y88" s="711">
        <f t="shared" si="13"/>
        <v>15830204.178030308</v>
      </c>
      <c r="Z88" s="684">
        <f>+W$29*Y88+X88</f>
        <v>4269959.9524442032</v>
      </c>
      <c r="AA88" s="710">
        <f>+AA87</f>
        <v>10782429.649621211</v>
      </c>
      <c r="AB88" s="711">
        <f>+AB87</f>
        <v>450833.29545454547</v>
      </c>
      <c r="AC88" s="711">
        <f t="shared" si="14"/>
        <v>10331596.354166666</v>
      </c>
      <c r="AD88" s="684">
        <f>+AA$29*AC88+AB88</f>
        <v>2785147.6536598476</v>
      </c>
      <c r="AE88" s="710">
        <f>+AE87</f>
        <v>108050.32954545468</v>
      </c>
      <c r="AF88" s="711">
        <f>+AF87</f>
        <v>4597.886363636364</v>
      </c>
      <c r="AG88" s="711">
        <f t="shared" si="15"/>
        <v>103452.44318181831</v>
      </c>
      <c r="AH88" s="684">
        <f>+AE$29*AG88+AF88</f>
        <v>27971.866069429372</v>
      </c>
      <c r="AI88" s="710">
        <f>+AI87</f>
        <v>7339427.8901515175</v>
      </c>
      <c r="AJ88" s="711">
        <f>+AJ87</f>
        <v>295547.43181818182</v>
      </c>
      <c r="AK88" s="711">
        <f t="shared" si="19"/>
        <v>7043880.4583333358</v>
      </c>
      <c r="AL88" s="684">
        <f>+AI$29*AK88+AJ88</f>
        <v>1887037.3359643153</v>
      </c>
      <c r="AM88" s="710">
        <f>+AM87</f>
        <v>2716239.4342045458</v>
      </c>
      <c r="AN88" s="711">
        <f>+AN87</f>
        <v>110866.91568181818</v>
      </c>
      <c r="AO88" s="711">
        <f t="shared" si="16"/>
        <v>2605372.5185227278</v>
      </c>
      <c r="AP88" s="684">
        <f>+AM$29*AO88+AN88</f>
        <v>699523.13781620096</v>
      </c>
      <c r="AQ88" s="710">
        <f>+AQ87</f>
        <v>22397072.872499999</v>
      </c>
      <c r="AR88" s="711">
        <f>+AR87</f>
        <v>904932.23727272719</v>
      </c>
      <c r="AS88" s="711">
        <f t="shared" si="17"/>
        <v>21492140.63522727</v>
      </c>
      <c r="AT88" s="684">
        <f>+AQ$29*AS88+AR88</f>
        <v>5760852.9249935206</v>
      </c>
      <c r="AU88" s="470"/>
      <c r="AV88" s="470"/>
      <c r="AW88" s="470"/>
      <c r="AX88" s="683"/>
      <c r="AY88" s="470"/>
      <c r="AZ88" s="470"/>
      <c r="BA88" s="470"/>
      <c r="BB88" s="683"/>
      <c r="BC88" s="470"/>
      <c r="BD88" s="470"/>
      <c r="BE88" s="470"/>
      <c r="BF88" s="683"/>
      <c r="BG88" s="470"/>
      <c r="BH88" s="470"/>
      <c r="BI88" s="470"/>
      <c r="BJ88" s="683"/>
      <c r="BK88" s="470"/>
      <c r="BL88" s="470"/>
      <c r="BM88" s="470"/>
      <c r="BN88" s="683"/>
      <c r="BO88" s="470"/>
      <c r="BP88" s="470"/>
      <c r="BQ88" s="470"/>
      <c r="BR88" s="683"/>
      <c r="BS88" s="710">
        <f>+BS87</f>
        <v>207772.15909090929</v>
      </c>
      <c r="BT88" s="711">
        <f>+BT87</f>
        <v>8310.886363636364</v>
      </c>
      <c r="BU88" s="711">
        <f t="shared" si="18"/>
        <v>199461.27272727294</v>
      </c>
      <c r="BV88" s="684">
        <f>+BS$29*BU88+BT88</f>
        <v>53377.040409172725</v>
      </c>
      <c r="BW88" s="710">
        <f>+BW87</f>
        <v>14565240.988636374</v>
      </c>
      <c r="BX88" s="711">
        <f>+BX87</f>
        <v>576841.22727272729</v>
      </c>
      <c r="BY88" s="711">
        <f t="shared" si="20"/>
        <v>13988399.761363648</v>
      </c>
      <c r="BZ88" s="684">
        <f>+BW$29*BY88+BX88</f>
        <v>3626352.749136067</v>
      </c>
      <c r="CA88" s="710">
        <f>+CA87</f>
        <v>1374456.4800000014</v>
      </c>
      <c r="CB88" s="711">
        <f>+CB87</f>
        <v>54433.919999999998</v>
      </c>
      <c r="CC88" s="711">
        <f t="shared" si="21"/>
        <v>1320022.5600000015</v>
      </c>
      <c r="CD88" s="684">
        <f>+CA$29*CC88+CB88</f>
        <v>352678.98391214514</v>
      </c>
      <c r="CE88" s="710">
        <f>+CE87</f>
        <v>119306.98454545467</v>
      </c>
      <c r="CF88" s="711">
        <f>+CF87</f>
        <v>4725.0290909090909</v>
      </c>
      <c r="CG88" s="711">
        <f t="shared" si="22"/>
        <v>114581.95545454559</v>
      </c>
      <c r="CH88" s="684">
        <f>+CE$29*CG88+CF88</f>
        <v>30613.603773844421</v>
      </c>
      <c r="CI88" s="710">
        <f>+CI87</f>
        <v>324521.59090909059</v>
      </c>
      <c r="CJ88" s="711">
        <f>+CJ87</f>
        <v>12362.727272727272</v>
      </c>
      <c r="CK88" s="711">
        <f t="shared" si="24"/>
        <v>312158.8636363633</v>
      </c>
      <c r="CL88" s="684">
        <f>+CI$29*CK88+CJ88</f>
        <v>80414.260511012311</v>
      </c>
      <c r="CM88" s="967">
        <f t="shared" si="25"/>
        <v>25698352.40928049</v>
      </c>
      <c r="CN88" s="708">
        <f>+CM88</f>
        <v>25698352.40928049</v>
      </c>
      <c r="CO88" s="679"/>
      <c r="CR88" s="710"/>
      <c r="CS88" s="711"/>
      <c r="CT88" s="711"/>
      <c r="CU88" s="684"/>
    </row>
    <row r="89" spans="1:99">
      <c r="A89" s="514" t="s">
        <v>609</v>
      </c>
      <c r="B89" s="474">
        <v>2031</v>
      </c>
      <c r="C89" s="470">
        <f>+E88</f>
        <v>9695975.6539772674</v>
      </c>
      <c r="D89" s="470">
        <f>+C$31</f>
        <v>445791.98409090913</v>
      </c>
      <c r="E89" s="470">
        <f t="shared" si="6"/>
        <v>9250183.6698863581</v>
      </c>
      <c r="F89" s="683">
        <f>+C$28*E89+D89</f>
        <v>2462358.7223809701</v>
      </c>
      <c r="G89" s="470">
        <f>+I88</f>
        <v>2490576.1152272704</v>
      </c>
      <c r="H89" s="470">
        <f>+G$31</f>
        <v>115840.74954545456</v>
      </c>
      <c r="I89" s="470">
        <f t="shared" si="29"/>
        <v>2374735.3656818159</v>
      </c>
      <c r="J89" s="683">
        <f>+G$28*I89+H89</f>
        <v>633539.9133215039</v>
      </c>
      <c r="K89" s="702">
        <f>+M88</f>
        <v>6337460.0435795402</v>
      </c>
      <c r="L89" s="470">
        <f>+K$31</f>
        <v>305419.76113636367</v>
      </c>
      <c r="M89" s="470">
        <f t="shared" si="8"/>
        <v>6032040.282443177</v>
      </c>
      <c r="N89" s="683">
        <f>+K$28*M89+L89</f>
        <v>1620421.9526279985</v>
      </c>
      <c r="O89" s="702">
        <f>+Q88</f>
        <v>2724389.2651515119</v>
      </c>
      <c r="P89" s="470">
        <f>+O$31</f>
        <v>119316.31818181818</v>
      </c>
      <c r="Q89" s="470">
        <f t="shared" si="11"/>
        <v>2605072.9469696935</v>
      </c>
      <c r="R89" s="683">
        <f>+O$28*Q89+P89</f>
        <v>687229.73948828294</v>
      </c>
      <c r="S89" s="710">
        <f>+U88</f>
        <v>1234349.0987878758</v>
      </c>
      <c r="T89" s="711">
        <f>+S$31</f>
        <v>58315.705454545445</v>
      </c>
      <c r="U89" s="711">
        <f t="shared" si="12"/>
        <v>1176033.3933333303</v>
      </c>
      <c r="V89" s="684">
        <f>+S$28*U89+T89</f>
        <v>314694.37951643264</v>
      </c>
      <c r="W89" s="710">
        <f>+Y88</f>
        <v>15830204.178030308</v>
      </c>
      <c r="X89" s="711">
        <f>+W$31</f>
        <v>693293.61363636365</v>
      </c>
      <c r="Y89" s="711">
        <f t="shared" si="13"/>
        <v>15136910.564393945</v>
      </c>
      <c r="Z89" s="684">
        <f>+W$28*Y89+X89</f>
        <v>3993183.8054387141</v>
      </c>
      <c r="AA89" s="710">
        <f>+AC88</f>
        <v>10331596.354166666</v>
      </c>
      <c r="AB89" s="711">
        <f>+AA$31</f>
        <v>450833.29545454547</v>
      </c>
      <c r="AC89" s="711">
        <f t="shared" si="14"/>
        <v>9880763.0587121211</v>
      </c>
      <c r="AD89" s="684">
        <f>+AA$28*AC89+AB89</f>
        <v>2604868.1605123994</v>
      </c>
      <c r="AE89" s="710">
        <f>+AG88</f>
        <v>103452.44318181831</v>
      </c>
      <c r="AF89" s="711">
        <f>+AE$31</f>
        <v>4597.886363636364</v>
      </c>
      <c r="AG89" s="711">
        <f t="shared" si="15"/>
        <v>98854.55681818194</v>
      </c>
      <c r="AH89" s="684">
        <f>+AE$28*AG89+AF89</f>
        <v>26148.465068026533</v>
      </c>
      <c r="AI89" s="710">
        <f>+AK88</f>
        <v>7043880.4583333358</v>
      </c>
      <c r="AJ89" s="711">
        <f>+AI$31</f>
        <v>295547.43181818182</v>
      </c>
      <c r="AK89" s="711">
        <f t="shared" si="19"/>
        <v>6748333.0265151542</v>
      </c>
      <c r="AL89" s="684">
        <f>+AI$28*AK89+AJ89</f>
        <v>1766703.5089106429</v>
      </c>
      <c r="AM89" s="710">
        <f>+AO88</f>
        <v>2605372.5185227278</v>
      </c>
      <c r="AN89" s="711">
        <f>+AM$31</f>
        <v>110866.91568181818</v>
      </c>
      <c r="AO89" s="711">
        <f t="shared" si="16"/>
        <v>2494505.6028409097</v>
      </c>
      <c r="AP89" s="684">
        <f>+AM$28*AO89+AN89</f>
        <v>654676.33684426034</v>
      </c>
      <c r="AQ89" s="710">
        <f>+AS88</f>
        <v>21492140.63522727</v>
      </c>
      <c r="AR89" s="711">
        <f>+AQ$31</f>
        <v>904932.23727272719</v>
      </c>
      <c r="AS89" s="711">
        <f t="shared" si="17"/>
        <v>20587208.397954542</v>
      </c>
      <c r="AT89" s="684">
        <f>+AQ$28*AS89+AR89</f>
        <v>5393003.0876616873</v>
      </c>
      <c r="AU89" s="470"/>
      <c r="AV89" s="470"/>
      <c r="AW89" s="470"/>
      <c r="AX89" s="683"/>
      <c r="AY89" s="470"/>
      <c r="AZ89" s="470"/>
      <c r="BA89" s="470"/>
      <c r="BB89" s="683"/>
      <c r="BC89" s="470"/>
      <c r="BD89" s="470"/>
      <c r="BE89" s="470"/>
      <c r="BF89" s="683"/>
      <c r="BG89" s="470"/>
      <c r="BH89" s="470"/>
      <c r="BI89" s="470"/>
      <c r="BJ89" s="683"/>
      <c r="BK89" s="470"/>
      <c r="BL89" s="470"/>
      <c r="BM89" s="470"/>
      <c r="BN89" s="683"/>
      <c r="BO89" s="470"/>
      <c r="BP89" s="470"/>
      <c r="BQ89" s="470"/>
      <c r="BR89" s="683"/>
      <c r="BS89" s="710">
        <f>+BU88</f>
        <v>199461.27272727294</v>
      </c>
      <c r="BT89" s="711">
        <f>+BS$31</f>
        <v>8310.886363636364</v>
      </c>
      <c r="BU89" s="711">
        <f t="shared" si="18"/>
        <v>191150.38636363659</v>
      </c>
      <c r="BV89" s="684">
        <f>+BS$28*BU89+BT89</f>
        <v>49982.222296897802</v>
      </c>
      <c r="BW89" s="710">
        <f>+BY88</f>
        <v>13988399.761363648</v>
      </c>
      <c r="BX89" s="711">
        <f>+BW$31</f>
        <v>576841.22727272729</v>
      </c>
      <c r="BY89" s="711">
        <f t="shared" si="20"/>
        <v>13411558.534090921</v>
      </c>
      <c r="BZ89" s="684">
        <f>+BW$28*BY89+BX89</f>
        <v>3500599.6966880942</v>
      </c>
      <c r="CA89" s="710">
        <f>+CC88</f>
        <v>1320022.5600000015</v>
      </c>
      <c r="CB89" s="711">
        <f>+CA$31</f>
        <v>54433.919999999998</v>
      </c>
      <c r="CC89" s="711">
        <f t="shared" si="21"/>
        <v>1265588.6400000015</v>
      </c>
      <c r="CD89" s="684">
        <f>+CA$28*CC89+CB89</f>
        <v>330335.89631320233</v>
      </c>
      <c r="CE89" s="710">
        <f>+CG88</f>
        <v>114581.95545454559</v>
      </c>
      <c r="CF89" s="711">
        <f>+CE$31</f>
        <v>4725.0290909090909</v>
      </c>
      <c r="CG89" s="711">
        <f t="shared" si="22"/>
        <v>109856.92636363651</v>
      </c>
      <c r="CH89" s="684">
        <f>+CE$28*CG89+CF89</f>
        <v>28674.156111693046</v>
      </c>
      <c r="CI89" s="710">
        <f>+CK88</f>
        <v>312158.8636363633</v>
      </c>
      <c r="CJ89" s="711">
        <f>+CI$31</f>
        <v>12362.727272727272</v>
      </c>
      <c r="CK89" s="711">
        <f t="shared" si="24"/>
        <v>299796.136363636</v>
      </c>
      <c r="CL89" s="684">
        <f>+CI$28*CK89+CJ89</f>
        <v>77719.150283753494</v>
      </c>
      <c r="CM89" s="967">
        <f t="shared" si="25"/>
        <v>24144139.193464562</v>
      </c>
      <c r="CN89" s="543"/>
      <c r="CO89" s="707">
        <f>+CM89</f>
        <v>24144139.193464562</v>
      </c>
      <c r="CR89" s="710"/>
      <c r="CS89" s="711"/>
      <c r="CT89" s="711"/>
      <c r="CU89" s="684"/>
    </row>
    <row r="90" spans="1:99">
      <c r="A90" s="514" t="s">
        <v>608</v>
      </c>
      <c r="B90" s="474">
        <v>2031</v>
      </c>
      <c r="C90" s="470">
        <f>+C89</f>
        <v>9695975.6539772674</v>
      </c>
      <c r="D90" s="470">
        <f>+D89</f>
        <v>445791.98409090913</v>
      </c>
      <c r="E90" s="470">
        <f t="shared" si="6"/>
        <v>9250183.6698863581</v>
      </c>
      <c r="F90" s="683">
        <f>+C$29*E90+D90</f>
        <v>2535772.6430762643</v>
      </c>
      <c r="G90" s="470">
        <f>+G89</f>
        <v>2490576.1152272704</v>
      </c>
      <c r="H90" s="470">
        <f>+H89</f>
        <v>115840.74954545456</v>
      </c>
      <c r="I90" s="470">
        <f t="shared" si="29"/>
        <v>2374735.3656818159</v>
      </c>
      <c r="J90" s="683">
        <f>+G$29*I90+H90</f>
        <v>652386.95896190859</v>
      </c>
      <c r="K90" s="702">
        <f>+K89</f>
        <v>6337460.0435795402</v>
      </c>
      <c r="L90" s="470">
        <f>+L89</f>
        <v>305419.76113636367</v>
      </c>
      <c r="M90" s="470">
        <f t="shared" si="8"/>
        <v>6032040.282443177</v>
      </c>
      <c r="N90" s="683">
        <f>+K$29*M90+L90</f>
        <v>1668295.1346889928</v>
      </c>
      <c r="O90" s="702">
        <f>+O89</f>
        <v>2724389.2651515119</v>
      </c>
      <c r="P90" s="470">
        <f>+P89</f>
        <v>119316.31818181818</v>
      </c>
      <c r="Q90" s="470">
        <f t="shared" si="11"/>
        <v>2605072.9469696935</v>
      </c>
      <c r="R90" s="683">
        <f>+O$29*Q90+P90</f>
        <v>707904.85530861979</v>
      </c>
      <c r="S90" s="710">
        <f>+S89</f>
        <v>1234349.0987878758</v>
      </c>
      <c r="T90" s="711">
        <f>+T89</f>
        <v>58315.705454545445</v>
      </c>
      <c r="U90" s="711">
        <f t="shared" si="12"/>
        <v>1176033.3933333303</v>
      </c>
      <c r="V90" s="684">
        <f>+S$29*U90+T90</f>
        <v>324027.94794645836</v>
      </c>
      <c r="W90" s="710">
        <f>+W89</f>
        <v>15830204.178030308</v>
      </c>
      <c r="X90" s="711">
        <f>+X89</f>
        <v>693293.61363636365</v>
      </c>
      <c r="Y90" s="711">
        <f t="shared" si="13"/>
        <v>15136910.564393945</v>
      </c>
      <c r="Z90" s="684">
        <f>+W$29*Y90+X90</f>
        <v>4113317.631036561</v>
      </c>
      <c r="AA90" s="710">
        <f>+AA89</f>
        <v>10331596.354166666</v>
      </c>
      <c r="AB90" s="711">
        <f>+AB89</f>
        <v>450833.29545454547</v>
      </c>
      <c r="AC90" s="711">
        <f t="shared" si="14"/>
        <v>9880763.0587121211</v>
      </c>
      <c r="AD90" s="684">
        <f>+AA$29*AC90+AB90</f>
        <v>2683286.6634836164</v>
      </c>
      <c r="AE90" s="710">
        <f>+AE89</f>
        <v>103452.44318181831</v>
      </c>
      <c r="AF90" s="711">
        <f>+AF89</f>
        <v>4597.886363636364</v>
      </c>
      <c r="AG90" s="711">
        <f t="shared" si="15"/>
        <v>98854.55681818194</v>
      </c>
      <c r="AH90" s="684">
        <f>+AE$29*AG90+AF90</f>
        <v>26933.022526949684</v>
      </c>
      <c r="AI90" s="710">
        <f>+AI89</f>
        <v>7043880.4583333358</v>
      </c>
      <c r="AJ90" s="711">
        <f>+AJ89</f>
        <v>295547.43181818182</v>
      </c>
      <c r="AK90" s="711">
        <f t="shared" si="19"/>
        <v>6748333.0265151542</v>
      </c>
      <c r="AL90" s="684">
        <f>+AI$29*AK90+AJ90</f>
        <v>1820261.5357903519</v>
      </c>
      <c r="AM90" s="710">
        <f>+AM89</f>
        <v>2605372.5185227278</v>
      </c>
      <c r="AN90" s="711">
        <f>+AN89</f>
        <v>110866.91568181818</v>
      </c>
      <c r="AO90" s="711">
        <f t="shared" si="16"/>
        <v>2494505.6028409097</v>
      </c>
      <c r="AP90" s="684">
        <f>+AM$29*AO90+AN90</f>
        <v>674473.93687431247</v>
      </c>
      <c r="AQ90" s="710">
        <f>+AQ89</f>
        <v>21492140.63522727</v>
      </c>
      <c r="AR90" s="711">
        <f>+AR89</f>
        <v>904932.23727272719</v>
      </c>
      <c r="AS90" s="711">
        <f t="shared" si="17"/>
        <v>20587208.397954542</v>
      </c>
      <c r="AT90" s="684">
        <f>+AQ$29*AS90+AR90</f>
        <v>5556393.1065631714</v>
      </c>
      <c r="AU90" s="470"/>
      <c r="AV90" s="470"/>
      <c r="AW90" s="470"/>
      <c r="AX90" s="683"/>
      <c r="AY90" s="470"/>
      <c r="AZ90" s="470"/>
      <c r="BA90" s="470"/>
      <c r="BB90" s="683"/>
      <c r="BC90" s="470"/>
      <c r="BD90" s="470"/>
      <c r="BE90" s="470"/>
      <c r="BF90" s="683"/>
      <c r="BG90" s="470"/>
      <c r="BH90" s="470"/>
      <c r="BI90" s="470"/>
      <c r="BJ90" s="683"/>
      <c r="BK90" s="470"/>
      <c r="BL90" s="470"/>
      <c r="BM90" s="470"/>
      <c r="BN90" s="683"/>
      <c r="BO90" s="470"/>
      <c r="BP90" s="470"/>
      <c r="BQ90" s="470"/>
      <c r="BR90" s="683"/>
      <c r="BS90" s="710">
        <f>+BS89</f>
        <v>199461.27272727294</v>
      </c>
      <c r="BT90" s="711">
        <f>+BT89</f>
        <v>8310.886363636364</v>
      </c>
      <c r="BU90" s="711">
        <f t="shared" si="18"/>
        <v>191150.38636363659</v>
      </c>
      <c r="BV90" s="684">
        <f>+BS$29*BU90+BT90</f>
        <v>51499.283990608717</v>
      </c>
      <c r="BW90" s="710">
        <f>+BW89</f>
        <v>13988399.761363648</v>
      </c>
      <c r="BX90" s="711">
        <f>+BX89</f>
        <v>576841.22727272729</v>
      </c>
      <c r="BY90" s="711">
        <f t="shared" si="20"/>
        <v>13411558.534090921</v>
      </c>
      <c r="BZ90" s="684">
        <f>+BW$29*BY90+BX90</f>
        <v>3500599.6966880942</v>
      </c>
      <c r="CA90" s="710">
        <f>+CA89</f>
        <v>1320022.5600000015</v>
      </c>
      <c r="CB90" s="711">
        <f>+CB89</f>
        <v>54433.919999999998</v>
      </c>
      <c r="CC90" s="711">
        <f t="shared" si="21"/>
        <v>1265588.6400000015</v>
      </c>
      <c r="CD90" s="684">
        <f>+CA$29*CC90+CB90</f>
        <v>340380.21838999487</v>
      </c>
      <c r="CE90" s="710">
        <f>+CE89</f>
        <v>114581.95545454559</v>
      </c>
      <c r="CF90" s="711">
        <f>+CF89</f>
        <v>4725.0290909090909</v>
      </c>
      <c r="CG90" s="711">
        <f t="shared" si="22"/>
        <v>109856.92636363651</v>
      </c>
      <c r="CH90" s="684">
        <f>+CE$29*CG90+CF90</f>
        <v>29546.033683826474</v>
      </c>
      <c r="CI90" s="710">
        <f>+CI89</f>
        <v>312158.8636363633</v>
      </c>
      <c r="CJ90" s="711">
        <f>+CJ89</f>
        <v>12362.727272727272</v>
      </c>
      <c r="CK90" s="711">
        <f t="shared" si="24"/>
        <v>299796.136363636</v>
      </c>
      <c r="CL90" s="684">
        <f>+CI$29*CK90+CJ90</f>
        <v>77719.150283753494</v>
      </c>
      <c r="CM90" s="967">
        <f t="shared" si="25"/>
        <v>24762797.819293484</v>
      </c>
      <c r="CN90" s="708">
        <f>+CM90</f>
        <v>24762797.819293484</v>
      </c>
      <c r="CO90" s="679"/>
      <c r="CR90" s="710"/>
      <c r="CS90" s="711"/>
      <c r="CT90" s="711"/>
      <c r="CU90" s="684"/>
    </row>
    <row r="91" spans="1:99">
      <c r="A91" s="514" t="s">
        <v>609</v>
      </c>
      <c r="B91" s="474">
        <v>2032</v>
      </c>
      <c r="C91" s="470">
        <f>+E90</f>
        <v>9250183.6698863581</v>
      </c>
      <c r="D91" s="470">
        <f>+C$31</f>
        <v>445791.98409090913</v>
      </c>
      <c r="E91" s="470">
        <f t="shared" si="6"/>
        <v>8804391.6857954487</v>
      </c>
      <c r="F91" s="683">
        <f>+C$28*E91+D91</f>
        <v>2365174.7831862681</v>
      </c>
      <c r="G91" s="470">
        <f>+I90</f>
        <v>2374735.3656818159</v>
      </c>
      <c r="H91" s="470">
        <f>+G$31</f>
        <v>115840.74954545456</v>
      </c>
      <c r="I91" s="470">
        <f t="shared" si="29"/>
        <v>2258894.6161363614</v>
      </c>
      <c r="J91" s="683">
        <f>+G$28*I91+H91</f>
        <v>608286.29557633074</v>
      </c>
      <c r="K91" s="702">
        <f>+M90</f>
        <v>6032040.282443177</v>
      </c>
      <c r="L91" s="470">
        <f>+K$31</f>
        <v>305419.76113636367</v>
      </c>
      <c r="M91" s="470">
        <f t="shared" si="8"/>
        <v>5726620.5213068137</v>
      </c>
      <c r="N91" s="683">
        <f>+K$28*M91+L91</f>
        <v>1553839.5631853843</v>
      </c>
      <c r="O91" s="702">
        <f>+Q90</f>
        <v>2605072.9469696935</v>
      </c>
      <c r="P91" s="470">
        <f>+O$31</f>
        <v>119316.31818181818</v>
      </c>
      <c r="Q91" s="470">
        <f t="shared" si="11"/>
        <v>2485756.6287878752</v>
      </c>
      <c r="R91" s="683">
        <f>+O$28*Q91+P91</f>
        <v>661218.43774905545</v>
      </c>
      <c r="S91" s="710">
        <f>+U90</f>
        <v>1176033.3933333303</v>
      </c>
      <c r="T91" s="711">
        <f>+S$31</f>
        <v>58315.705454545445</v>
      </c>
      <c r="U91" s="711">
        <f t="shared" si="12"/>
        <v>1117717.6878787847</v>
      </c>
      <c r="V91" s="684">
        <f>+S$28*U91+T91</f>
        <v>301981.38741419022</v>
      </c>
      <c r="W91" s="710">
        <f>+Y90</f>
        <v>15136910.564393945</v>
      </c>
      <c r="X91" s="711">
        <f>+W$31</f>
        <v>693293.61363636365</v>
      </c>
      <c r="Y91" s="711">
        <f t="shared" si="13"/>
        <v>14443616.950757582</v>
      </c>
      <c r="Z91" s="684">
        <f>+W$28*Y91+X91</f>
        <v>3842043.7966538738</v>
      </c>
      <c r="AA91" s="710">
        <f>+AC90</f>
        <v>9880763.0587121211</v>
      </c>
      <c r="AB91" s="711">
        <f>+AA$31</f>
        <v>450833.29545454547</v>
      </c>
      <c r="AC91" s="711">
        <f t="shared" si="14"/>
        <v>9429929.7632575762</v>
      </c>
      <c r="AD91" s="684">
        <f>+AA$28*AC91+AB91</f>
        <v>2506585.2008899883</v>
      </c>
      <c r="AE91" s="710">
        <f>+AG90</f>
        <v>98854.55681818194</v>
      </c>
      <c r="AF91" s="711">
        <f>+AE$31</f>
        <v>4597.886363636364</v>
      </c>
      <c r="AG91" s="711">
        <f t="shared" si="15"/>
        <v>94256.670454545572</v>
      </c>
      <c r="AH91" s="684">
        <f>+AE$28*AG91+AF91</f>
        <v>25146.112570147921</v>
      </c>
      <c r="AI91" s="710">
        <f>+AK90</f>
        <v>6748333.0265151542</v>
      </c>
      <c r="AJ91" s="711">
        <f>+AI$31</f>
        <v>295547.43181818182</v>
      </c>
      <c r="AK91" s="711">
        <f t="shared" si="19"/>
        <v>6452785.5946969725</v>
      </c>
      <c r="AL91" s="684">
        <f>+AI$28*AK91+AJ91</f>
        <v>1702273.3157533091</v>
      </c>
      <c r="AM91" s="710">
        <f>+AO90</f>
        <v>2494505.6028409097</v>
      </c>
      <c r="AN91" s="711">
        <f>+AM$31</f>
        <v>110866.91568181818</v>
      </c>
      <c r="AO91" s="711">
        <f t="shared" si="16"/>
        <v>2383638.6871590917</v>
      </c>
      <c r="AP91" s="684">
        <f>+AM$28*AO91+AN91</f>
        <v>630507.02923704078</v>
      </c>
      <c r="AQ91" s="710">
        <f>+AS90</f>
        <v>20587208.397954542</v>
      </c>
      <c r="AR91" s="711">
        <f>+AQ$31</f>
        <v>904932.23727272719</v>
      </c>
      <c r="AS91" s="711">
        <f t="shared" si="17"/>
        <v>19682276.160681814</v>
      </c>
      <c r="AT91" s="684">
        <f>+AQ$28*AS91+AR91</f>
        <v>5195725.2480841503</v>
      </c>
      <c r="AU91" s="470"/>
      <c r="AV91" s="470"/>
      <c r="AW91" s="470"/>
      <c r="AX91" s="683"/>
      <c r="AY91" s="470"/>
      <c r="AZ91" s="470"/>
      <c r="BA91" s="470"/>
      <c r="BB91" s="683"/>
      <c r="BC91" s="470"/>
      <c r="BD91" s="470"/>
      <c r="BE91" s="470"/>
      <c r="BF91" s="683"/>
      <c r="BG91" s="470"/>
      <c r="BH91" s="470"/>
      <c r="BI91" s="470"/>
      <c r="BJ91" s="683"/>
      <c r="BK91" s="470"/>
      <c r="BL91" s="470"/>
      <c r="BM91" s="470"/>
      <c r="BN91" s="683"/>
      <c r="BO91" s="470"/>
      <c r="BP91" s="470"/>
      <c r="BQ91" s="470"/>
      <c r="BR91" s="683"/>
      <c r="BS91" s="710">
        <f>+BU90</f>
        <v>191150.38636363659</v>
      </c>
      <c r="BT91" s="711">
        <f>+BS$31</f>
        <v>8310.886363636364</v>
      </c>
      <c r="BU91" s="711">
        <f t="shared" si="18"/>
        <v>182839.50000000023</v>
      </c>
      <c r="BV91" s="684">
        <f>+BS$28*BU91+BT91</f>
        <v>48170.425082408183</v>
      </c>
      <c r="BW91" s="710">
        <f>+BY90</f>
        <v>13411558.534090921</v>
      </c>
      <c r="BX91" s="711">
        <f>+BW$31</f>
        <v>576841.22727272729</v>
      </c>
      <c r="BY91" s="711">
        <f t="shared" si="20"/>
        <v>12834717.306818195</v>
      </c>
      <c r="BZ91" s="684">
        <f>+BW$28*BY91+BX91</f>
        <v>3374846.6442401214</v>
      </c>
      <c r="CA91" s="710">
        <f>+CC90</f>
        <v>1265588.6400000015</v>
      </c>
      <c r="CB91" s="711">
        <f>+CA$31</f>
        <v>54433.919999999998</v>
      </c>
      <c r="CC91" s="711">
        <f t="shared" si="21"/>
        <v>1211154.7200000016</v>
      </c>
      <c r="CD91" s="684">
        <f>+CA$28*CC91+CB91</f>
        <v>318469.14464381733</v>
      </c>
      <c r="CE91" s="710">
        <f>+CG90</f>
        <v>109856.92636363651</v>
      </c>
      <c r="CF91" s="711">
        <f>+CE$31</f>
        <v>4725.0290909090909</v>
      </c>
      <c r="CG91" s="711">
        <f t="shared" si="22"/>
        <v>105131.89727272742</v>
      </c>
      <c r="CH91" s="684">
        <f>+CE$28*CG91+CF91</f>
        <v>27644.086132304492</v>
      </c>
      <c r="CI91" s="710">
        <f>+CK90</f>
        <v>299796.136363636</v>
      </c>
      <c r="CJ91" s="711">
        <f>+CI$31</f>
        <v>12362.727272727272</v>
      </c>
      <c r="CK91" s="711">
        <f t="shared" si="24"/>
        <v>287433.40909090871</v>
      </c>
      <c r="CL91" s="684">
        <f>+CI$28*CK91+CJ91</f>
        <v>75024.040056494676</v>
      </c>
      <c r="CM91" s="967">
        <f t="shared" si="25"/>
        <v>23236935.510454882</v>
      </c>
      <c r="CN91" s="543"/>
      <c r="CO91" s="707">
        <f>+CM91</f>
        <v>23236935.510454882</v>
      </c>
      <c r="CR91" s="710"/>
      <c r="CS91" s="711"/>
      <c r="CT91" s="711"/>
      <c r="CU91" s="684"/>
    </row>
    <row r="92" spans="1:99">
      <c r="A92" s="514" t="s">
        <v>608</v>
      </c>
      <c r="B92" s="474">
        <v>2032</v>
      </c>
      <c r="C92" s="470">
        <f>+C91</f>
        <v>9250183.6698863581</v>
      </c>
      <c r="D92" s="470">
        <f>+D91</f>
        <v>445791.98409090913</v>
      </c>
      <c r="E92" s="470">
        <f t="shared" si="6"/>
        <v>8804391.6857954487</v>
      </c>
      <c r="F92" s="683">
        <f>+C$29*E92+D92</f>
        <v>2435050.6836070903</v>
      </c>
      <c r="G92" s="470">
        <f>+G91</f>
        <v>2374735.3656818159</v>
      </c>
      <c r="H92" s="470">
        <f>+H91</f>
        <v>115840.74954545456</v>
      </c>
      <c r="I92" s="470">
        <f t="shared" si="29"/>
        <v>2258894.6161363614</v>
      </c>
      <c r="J92" s="683">
        <f>+G$29*I92+H92</f>
        <v>626213.97313671571</v>
      </c>
      <c r="K92" s="702">
        <f>+K91</f>
        <v>6032040.282443177</v>
      </c>
      <c r="L92" s="470">
        <f>+L91</f>
        <v>305419.76113636367</v>
      </c>
      <c r="M92" s="470">
        <f t="shared" si="8"/>
        <v>5726620.5213068137</v>
      </c>
      <c r="N92" s="683">
        <f>+K$29*M92+L92</f>
        <v>1599288.7866610114</v>
      </c>
      <c r="O92" s="702">
        <f>+O91</f>
        <v>2605072.9469696935</v>
      </c>
      <c r="P92" s="470">
        <f>+P91</f>
        <v>119316.31818181818</v>
      </c>
      <c r="Q92" s="470">
        <f t="shared" si="11"/>
        <v>2485756.6287878752</v>
      </c>
      <c r="R92" s="683">
        <f>+O$29*Q92+P92</f>
        <v>680946.60169975855</v>
      </c>
      <c r="S92" s="710">
        <f>+S91</f>
        <v>1176033.3933333303</v>
      </c>
      <c r="T92" s="711">
        <f>+T91</f>
        <v>58315.705454545445</v>
      </c>
      <c r="U92" s="711">
        <f t="shared" si="12"/>
        <v>1117717.6878787847</v>
      </c>
      <c r="V92" s="684">
        <f>+S$29*U92+T92</f>
        <v>310852.13426917337</v>
      </c>
      <c r="W92" s="710">
        <f>+W91</f>
        <v>15136910.564393945</v>
      </c>
      <c r="X92" s="711">
        <f>+X91</f>
        <v>693293.61363636365</v>
      </c>
      <c r="Y92" s="711">
        <f t="shared" si="13"/>
        <v>14443616.950757582</v>
      </c>
      <c r="Z92" s="684">
        <f>+W$29*Y92+X92</f>
        <v>3956675.3096289183</v>
      </c>
      <c r="AA92" s="710">
        <f>+AA91</f>
        <v>9880763.0587121211</v>
      </c>
      <c r="AB92" s="711">
        <f>+AB91</f>
        <v>450833.29545454547</v>
      </c>
      <c r="AC92" s="711">
        <f t="shared" si="14"/>
        <v>9429929.7632575762</v>
      </c>
      <c r="AD92" s="684">
        <f>+AA$29*AC92+AB92</f>
        <v>2581425.6733073848</v>
      </c>
      <c r="AE92" s="710">
        <f>+AE91</f>
        <v>98854.55681818194</v>
      </c>
      <c r="AF92" s="711">
        <f>+AF91</f>
        <v>4597.886363636364</v>
      </c>
      <c r="AG92" s="711">
        <f t="shared" si="15"/>
        <v>94256.670454545572</v>
      </c>
      <c r="AH92" s="684">
        <f>+AE$29*AG92+AF92</f>
        <v>25894.178984469996</v>
      </c>
      <c r="AI92" s="710">
        <f>+AI91</f>
        <v>6748333.0265151542</v>
      </c>
      <c r="AJ92" s="711">
        <f>+AJ91</f>
        <v>295547.43181818182</v>
      </c>
      <c r="AK92" s="711">
        <f t="shared" si="19"/>
        <v>6452785.5946969725</v>
      </c>
      <c r="AL92" s="684">
        <f>+AI$29*AK92+AJ92</f>
        <v>1753485.7356163883</v>
      </c>
      <c r="AM92" s="710">
        <f>+AM91</f>
        <v>2494505.6028409097</v>
      </c>
      <c r="AN92" s="711">
        <f>+AN91</f>
        <v>110866.91568181818</v>
      </c>
      <c r="AO92" s="711">
        <f t="shared" si="16"/>
        <v>2383638.6871590917</v>
      </c>
      <c r="AP92" s="684">
        <f>+AM$29*AO92+AN92</f>
        <v>649424.73593242385</v>
      </c>
      <c r="AQ92" s="710">
        <f>+AQ91</f>
        <v>20587208.397954542</v>
      </c>
      <c r="AR92" s="711">
        <f>+AR91</f>
        <v>904932.23727272719</v>
      </c>
      <c r="AS92" s="711">
        <f t="shared" si="17"/>
        <v>19682276.160681814</v>
      </c>
      <c r="AT92" s="684">
        <f>+AQ$29*AS92+AR92</f>
        <v>5351933.2881328221</v>
      </c>
      <c r="AU92" s="470"/>
      <c r="AV92" s="470"/>
      <c r="AW92" s="470"/>
      <c r="AX92" s="683"/>
      <c r="AY92" s="470"/>
      <c r="AZ92" s="470"/>
      <c r="BA92" s="470"/>
      <c r="BB92" s="683"/>
      <c r="BC92" s="470"/>
      <c r="BD92" s="470"/>
      <c r="BE92" s="470"/>
      <c r="BF92" s="683"/>
      <c r="BG92" s="470"/>
      <c r="BH92" s="470"/>
      <c r="BI92" s="470"/>
      <c r="BJ92" s="683"/>
      <c r="BK92" s="470"/>
      <c r="BL92" s="470"/>
      <c r="BM92" s="470"/>
      <c r="BN92" s="683"/>
      <c r="BO92" s="470"/>
      <c r="BP92" s="470"/>
      <c r="BQ92" s="470"/>
      <c r="BR92" s="683"/>
      <c r="BS92" s="710">
        <f>+BS91</f>
        <v>191150.38636363659</v>
      </c>
      <c r="BT92" s="711">
        <f>+BT91</f>
        <v>8310.886363636364</v>
      </c>
      <c r="BU92" s="711">
        <f t="shared" si="18"/>
        <v>182839.50000000023</v>
      </c>
      <c r="BV92" s="684">
        <f>+BS$29*BU92+BT92</f>
        <v>49621.52757204471</v>
      </c>
      <c r="BW92" s="710">
        <f>+BW91</f>
        <v>13411558.534090921</v>
      </c>
      <c r="BX92" s="711">
        <f>+BX91</f>
        <v>576841.22727272729</v>
      </c>
      <c r="BY92" s="711">
        <f t="shared" si="20"/>
        <v>12834717.306818195</v>
      </c>
      <c r="BZ92" s="684">
        <f>+BW$29*BY92+BX92</f>
        <v>3374846.6442401214</v>
      </c>
      <c r="CA92" s="710">
        <f>+CA91</f>
        <v>1265588.6400000015</v>
      </c>
      <c r="CB92" s="711">
        <f>+CB91</f>
        <v>54433.919999999998</v>
      </c>
      <c r="CC92" s="711">
        <f t="shared" si="21"/>
        <v>1211154.7200000016</v>
      </c>
      <c r="CD92" s="684">
        <f>+CA$29*CC92+CB92</f>
        <v>328081.45286784461</v>
      </c>
      <c r="CE92" s="710">
        <f>+CE91</f>
        <v>109856.92636363651</v>
      </c>
      <c r="CF92" s="711">
        <f>+CF91</f>
        <v>4725.0290909090909</v>
      </c>
      <c r="CG92" s="711">
        <f t="shared" si="22"/>
        <v>105131.89727272742</v>
      </c>
      <c r="CH92" s="684">
        <f>+CE$29*CG92+CF92</f>
        <v>28478.463593808523</v>
      </c>
      <c r="CI92" s="710">
        <f>+CI91</f>
        <v>299796.136363636</v>
      </c>
      <c r="CJ92" s="711">
        <f>+CJ91</f>
        <v>12362.727272727272</v>
      </c>
      <c r="CK92" s="711">
        <f t="shared" si="24"/>
        <v>287433.40909090871</v>
      </c>
      <c r="CL92" s="684">
        <f>+CI$29*CK92+CJ92</f>
        <v>75024.040056494676</v>
      </c>
      <c r="CM92" s="967">
        <f t="shared" si="25"/>
        <v>23827243.229306467</v>
      </c>
      <c r="CN92" s="708">
        <f>+CM92</f>
        <v>23827243.229306467</v>
      </c>
      <c r="CO92" s="679"/>
      <c r="CR92" s="710"/>
      <c r="CS92" s="711"/>
      <c r="CT92" s="711"/>
      <c r="CU92" s="684"/>
    </row>
    <row r="93" spans="1:99">
      <c r="A93" s="514" t="s">
        <v>609</v>
      </c>
      <c r="B93" s="474">
        <v>2033</v>
      </c>
      <c r="C93" s="470">
        <f>+E92</f>
        <v>8804391.6857954487</v>
      </c>
      <c r="D93" s="470">
        <f>+C$31</f>
        <v>445791.98409090913</v>
      </c>
      <c r="E93" s="470">
        <f t="shared" si="6"/>
        <v>8358599.7017045394</v>
      </c>
      <c r="F93" s="683">
        <f>+C$28*E93+D93</f>
        <v>2267990.8439915664</v>
      </c>
      <c r="G93" s="470">
        <f>+I92</f>
        <v>2258894.6161363614</v>
      </c>
      <c r="H93" s="470">
        <f>+G$31</f>
        <v>115840.74954545456</v>
      </c>
      <c r="I93" s="470">
        <f t="shared" si="29"/>
        <v>2143053.8665909069</v>
      </c>
      <c r="J93" s="683">
        <f>+G$28*I93+H93</f>
        <v>583032.67783115758</v>
      </c>
      <c r="K93" s="702">
        <f>+M92</f>
        <v>5726620.5213068137</v>
      </c>
      <c r="L93" s="470">
        <f>+K$31</f>
        <v>305419.76113636367</v>
      </c>
      <c r="M93" s="470">
        <f t="shared" si="8"/>
        <v>5421200.7601704504</v>
      </c>
      <c r="N93" s="683">
        <f>+K$28*M93+L93</f>
        <v>1487257.1737427698</v>
      </c>
      <c r="O93" s="702">
        <f>+Q92</f>
        <v>2485756.6287878752</v>
      </c>
      <c r="P93" s="470">
        <f>+O$31</f>
        <v>119316.31818181818</v>
      </c>
      <c r="Q93" s="470">
        <f t="shared" si="11"/>
        <v>2366440.3106060568</v>
      </c>
      <c r="R93" s="683">
        <f>+O$28*Q93+P93</f>
        <v>635207.13600982795</v>
      </c>
      <c r="S93" s="710">
        <f>+U92</f>
        <v>1117717.6878787847</v>
      </c>
      <c r="T93" s="711">
        <f>+S$31</f>
        <v>58315.705454545445</v>
      </c>
      <c r="U93" s="711">
        <f t="shared" si="12"/>
        <v>1059401.9824242392</v>
      </c>
      <c r="V93" s="684">
        <f>+S$28*U93+T93</f>
        <v>289268.39531194785</v>
      </c>
      <c r="W93" s="710">
        <f>+Y92</f>
        <v>14443616.950757582</v>
      </c>
      <c r="X93" s="711">
        <f>+W$31</f>
        <v>693293.61363636365</v>
      </c>
      <c r="Y93" s="711">
        <f t="shared" si="13"/>
        <v>13750323.337121218</v>
      </c>
      <c r="Z93" s="684">
        <f>+W$28*Y93+X93</f>
        <v>3690903.7878690334</v>
      </c>
      <c r="AA93" s="710">
        <f>+AC92</f>
        <v>9429929.7632575762</v>
      </c>
      <c r="AB93" s="711">
        <f>+AA$31</f>
        <v>450833.29545454547</v>
      </c>
      <c r="AC93" s="711">
        <f t="shared" si="14"/>
        <v>8979096.4678030312</v>
      </c>
      <c r="AD93" s="684">
        <f>+AA$28*AC93+AB93</f>
        <v>2408302.2412675768</v>
      </c>
      <c r="AE93" s="710">
        <f>+AG92</f>
        <v>94256.670454545572</v>
      </c>
      <c r="AF93" s="711">
        <f>+AE$31</f>
        <v>4597.886363636364</v>
      </c>
      <c r="AG93" s="711">
        <f t="shared" si="15"/>
        <v>89658.784090909205</v>
      </c>
      <c r="AH93" s="684">
        <f>+AE$28*AG93+AF93</f>
        <v>24143.76007226931</v>
      </c>
      <c r="AI93" s="710">
        <f>+AK92</f>
        <v>6452785.5946969725</v>
      </c>
      <c r="AJ93" s="711">
        <f>+AI$31</f>
        <v>295547.43181818182</v>
      </c>
      <c r="AK93" s="711">
        <f t="shared" si="19"/>
        <v>6157238.1628787909</v>
      </c>
      <c r="AL93" s="684">
        <f>+AI$28*AK93+AJ93</f>
        <v>1637843.1225959749</v>
      </c>
      <c r="AM93" s="710">
        <f>+AO92</f>
        <v>2383638.6871590917</v>
      </c>
      <c r="AN93" s="711">
        <f>+AM$31</f>
        <v>110866.91568181818</v>
      </c>
      <c r="AO93" s="711">
        <f t="shared" si="16"/>
        <v>2272771.7714772737</v>
      </c>
      <c r="AP93" s="684">
        <f>+AM$28*AO93+AN93</f>
        <v>606337.72162982111</v>
      </c>
      <c r="AQ93" s="710">
        <f>+AS92</f>
        <v>19682276.160681814</v>
      </c>
      <c r="AR93" s="711">
        <f>+AQ$31</f>
        <v>904932.23727272719</v>
      </c>
      <c r="AS93" s="711">
        <f t="shared" si="17"/>
        <v>18777343.923409086</v>
      </c>
      <c r="AT93" s="684">
        <f>+AQ$28*AS93+AR93</f>
        <v>4998447.4085066132</v>
      </c>
      <c r="AU93" s="470"/>
      <c r="AV93" s="470"/>
      <c r="AW93" s="470"/>
      <c r="AX93" s="683"/>
      <c r="AY93" s="470"/>
      <c r="AZ93" s="470"/>
      <c r="BA93" s="470"/>
      <c r="BB93" s="683"/>
      <c r="BC93" s="470"/>
      <c r="BD93" s="470"/>
      <c r="BE93" s="470"/>
      <c r="BF93" s="683"/>
      <c r="BG93" s="470"/>
      <c r="BH93" s="470"/>
      <c r="BI93" s="470"/>
      <c r="BJ93" s="683"/>
      <c r="BK93" s="470"/>
      <c r="BL93" s="470"/>
      <c r="BM93" s="470"/>
      <c r="BN93" s="683"/>
      <c r="BO93" s="470"/>
      <c r="BP93" s="470"/>
      <c r="BQ93" s="470"/>
      <c r="BR93" s="683"/>
      <c r="BS93" s="710">
        <f>+BU92</f>
        <v>182839.50000000023</v>
      </c>
      <c r="BT93" s="711">
        <f>+BS$31</f>
        <v>8310.886363636364</v>
      </c>
      <c r="BU93" s="711">
        <f t="shared" si="18"/>
        <v>174528.61363636388</v>
      </c>
      <c r="BV93" s="684">
        <f>+BS$28*BU93+BT93</f>
        <v>46358.627867918563</v>
      </c>
      <c r="BW93" s="710">
        <f>+BY92</f>
        <v>12834717.306818195</v>
      </c>
      <c r="BX93" s="711">
        <f>+BW$31</f>
        <v>576841.22727272729</v>
      </c>
      <c r="BY93" s="711">
        <f t="shared" si="20"/>
        <v>12257876.079545468</v>
      </c>
      <c r="BZ93" s="684">
        <f>+BW$28*BY93+BX93</f>
        <v>3249093.5917921495</v>
      </c>
      <c r="CA93" s="710">
        <f>+CC92</f>
        <v>1211154.7200000016</v>
      </c>
      <c r="CB93" s="711">
        <f>+CA$31</f>
        <v>54433.919999999998</v>
      </c>
      <c r="CC93" s="711">
        <f t="shared" si="21"/>
        <v>1156720.8000000017</v>
      </c>
      <c r="CD93" s="684">
        <f>+CA$28*CC93+CB93</f>
        <v>306602.39297443232</v>
      </c>
      <c r="CE93" s="710">
        <f>+CG92</f>
        <v>105131.89727272742</v>
      </c>
      <c r="CF93" s="711">
        <f>+CE$31</f>
        <v>4725.0290909090909</v>
      </c>
      <c r="CG93" s="711">
        <f t="shared" si="22"/>
        <v>100406.86818181834</v>
      </c>
      <c r="CH93" s="684">
        <f>+CE$28*CG93+CF93</f>
        <v>26614.016152915938</v>
      </c>
      <c r="CI93" s="710">
        <f>+CK92</f>
        <v>287433.40909090871</v>
      </c>
      <c r="CJ93" s="711">
        <f>+CI$31</f>
        <v>12362.727272727272</v>
      </c>
      <c r="CK93" s="711">
        <f t="shared" si="24"/>
        <v>275070.68181818142</v>
      </c>
      <c r="CL93" s="684">
        <f>+CI$28*CK93+CJ93</f>
        <v>72328.929829235858</v>
      </c>
      <c r="CM93" s="967">
        <f t="shared" si="25"/>
        <v>22329731.827445205</v>
      </c>
      <c r="CN93" s="543"/>
      <c r="CO93" s="707">
        <f>+CM93</f>
        <v>22329731.827445205</v>
      </c>
      <c r="CR93" s="710"/>
      <c r="CS93" s="711"/>
      <c r="CT93" s="711"/>
      <c r="CU93" s="684"/>
    </row>
    <row r="94" spans="1:99">
      <c r="A94" s="514" t="s">
        <v>608</v>
      </c>
      <c r="B94" s="474">
        <v>2033</v>
      </c>
      <c r="C94" s="470">
        <f>+C93</f>
        <v>8804391.6857954487</v>
      </c>
      <c r="D94" s="470">
        <f>+D93</f>
        <v>445791.98409090913</v>
      </c>
      <c r="E94" s="470">
        <f t="shared" si="6"/>
        <v>8358599.7017045394</v>
      </c>
      <c r="F94" s="683">
        <f>+C$29*E94+D94</f>
        <v>2334328.7241379162</v>
      </c>
      <c r="G94" s="470">
        <f>+G93</f>
        <v>2258894.6161363614</v>
      </c>
      <c r="H94" s="470">
        <f>+H93</f>
        <v>115840.74954545456</v>
      </c>
      <c r="I94" s="470">
        <f t="shared" si="29"/>
        <v>2143053.8665909069</v>
      </c>
      <c r="J94" s="683">
        <f>+G$29*I94+H94</f>
        <v>600040.98731152283</v>
      </c>
      <c r="K94" s="702">
        <f>+K93</f>
        <v>5726620.5213068137</v>
      </c>
      <c r="L94" s="470">
        <f>+L93</f>
        <v>305419.76113636367</v>
      </c>
      <c r="M94" s="470">
        <f t="shared" si="8"/>
        <v>5421200.7601704504</v>
      </c>
      <c r="N94" s="683">
        <f>+K$29*M94+L94</f>
        <v>1530282.4386330303</v>
      </c>
      <c r="O94" s="702">
        <f>+O93</f>
        <v>2485756.6287878752</v>
      </c>
      <c r="P94" s="470">
        <f>+P93</f>
        <v>119316.31818181818</v>
      </c>
      <c r="Q94" s="470">
        <f t="shared" si="11"/>
        <v>2366440.3106060568</v>
      </c>
      <c r="R94" s="683">
        <f>+O$29*Q94+P94</f>
        <v>653988.34809089731</v>
      </c>
      <c r="S94" s="710">
        <f>+S93</f>
        <v>1117717.6878787847</v>
      </c>
      <c r="T94" s="711">
        <f>+T93</f>
        <v>58315.705454545445</v>
      </c>
      <c r="U94" s="711">
        <f t="shared" si="12"/>
        <v>1059401.9824242392</v>
      </c>
      <c r="V94" s="684">
        <f>+S$29*U94+T94</f>
        <v>297676.32059188839</v>
      </c>
      <c r="W94" s="710">
        <f>+W93</f>
        <v>14443616.950757582</v>
      </c>
      <c r="X94" s="711">
        <f>+X93</f>
        <v>693293.61363636365</v>
      </c>
      <c r="Y94" s="711">
        <f t="shared" si="13"/>
        <v>13750323.337121218</v>
      </c>
      <c r="Z94" s="684">
        <f>+W$29*Y94+X94</f>
        <v>3800032.9882212756</v>
      </c>
      <c r="AA94" s="710">
        <f>+AA93</f>
        <v>9429929.7632575762</v>
      </c>
      <c r="AB94" s="711">
        <f>+AB93</f>
        <v>450833.29545454547</v>
      </c>
      <c r="AC94" s="711">
        <f t="shared" si="14"/>
        <v>8979096.4678030312</v>
      </c>
      <c r="AD94" s="684">
        <f>+AA$29*AC94+AB94</f>
        <v>2479564.6831311537</v>
      </c>
      <c r="AE94" s="710">
        <f>+AE93</f>
        <v>94256.670454545572</v>
      </c>
      <c r="AF94" s="711">
        <f>+AF93</f>
        <v>4597.886363636364</v>
      </c>
      <c r="AG94" s="711">
        <f t="shared" si="15"/>
        <v>89658.784090909205</v>
      </c>
      <c r="AH94" s="684">
        <f>+AE$29*AG94+AF94</f>
        <v>24855.335441990304</v>
      </c>
      <c r="AI94" s="710">
        <f>+AI93</f>
        <v>6452785.5946969725</v>
      </c>
      <c r="AJ94" s="711">
        <f>+AJ93</f>
        <v>295547.43181818182</v>
      </c>
      <c r="AK94" s="711">
        <f t="shared" si="19"/>
        <v>6157238.1628787909</v>
      </c>
      <c r="AL94" s="684">
        <f>+AI$29*AK94+AJ94</f>
        <v>1686709.9354424246</v>
      </c>
      <c r="AM94" s="710">
        <f>+AM93</f>
        <v>2383638.6871590917</v>
      </c>
      <c r="AN94" s="711">
        <f>+AN93</f>
        <v>110866.91568181818</v>
      </c>
      <c r="AO94" s="711">
        <f t="shared" si="16"/>
        <v>2272771.7714772737</v>
      </c>
      <c r="AP94" s="684">
        <f>+AM$29*AO94+AN94</f>
        <v>624375.53499053523</v>
      </c>
      <c r="AQ94" s="710">
        <f>+AQ93</f>
        <v>19682276.160681814</v>
      </c>
      <c r="AR94" s="711">
        <f>+AR93</f>
        <v>904932.23727272719</v>
      </c>
      <c r="AS94" s="711">
        <f t="shared" si="17"/>
        <v>18777343.923409086</v>
      </c>
      <c r="AT94" s="684">
        <f>+AQ$29*AS94+AR94</f>
        <v>5147473.4697024729</v>
      </c>
      <c r="AU94" s="470"/>
      <c r="AV94" s="470"/>
      <c r="AW94" s="470"/>
      <c r="AX94" s="683"/>
      <c r="AY94" s="470"/>
      <c r="AZ94" s="470"/>
      <c r="BA94" s="470"/>
      <c r="BB94" s="683"/>
      <c r="BC94" s="470"/>
      <c r="BD94" s="470"/>
      <c r="BE94" s="470"/>
      <c r="BF94" s="683"/>
      <c r="BG94" s="470"/>
      <c r="BH94" s="470"/>
      <c r="BI94" s="470"/>
      <c r="BJ94" s="683"/>
      <c r="BK94" s="470"/>
      <c r="BL94" s="470"/>
      <c r="BM94" s="470"/>
      <c r="BN94" s="683"/>
      <c r="BO94" s="470"/>
      <c r="BP94" s="470"/>
      <c r="BQ94" s="470"/>
      <c r="BR94" s="683"/>
      <c r="BS94" s="710">
        <f>+BS93</f>
        <v>182839.50000000023</v>
      </c>
      <c r="BT94" s="711">
        <f>+BT93</f>
        <v>8310.886363636364</v>
      </c>
      <c r="BU94" s="711">
        <f t="shared" si="18"/>
        <v>174528.61363636388</v>
      </c>
      <c r="BV94" s="684">
        <f>+BS$29*BU94+BT94</f>
        <v>47743.771153480702</v>
      </c>
      <c r="BW94" s="710">
        <f>+BW93</f>
        <v>12834717.306818195</v>
      </c>
      <c r="BX94" s="711">
        <f>+BX93</f>
        <v>576841.22727272729</v>
      </c>
      <c r="BY94" s="711">
        <f t="shared" si="20"/>
        <v>12257876.079545468</v>
      </c>
      <c r="BZ94" s="684">
        <f>+BW$29*BY94+BX94</f>
        <v>3249093.5917921495</v>
      </c>
      <c r="CA94" s="710">
        <f>+CA93</f>
        <v>1211154.7200000016</v>
      </c>
      <c r="CB94" s="711">
        <f>+CB93</f>
        <v>54433.919999999998</v>
      </c>
      <c r="CC94" s="711">
        <f t="shared" si="21"/>
        <v>1156720.8000000017</v>
      </c>
      <c r="CD94" s="684">
        <f>+CA$29*CC94+CB94</f>
        <v>315782.68734569428</v>
      </c>
      <c r="CE94" s="710">
        <f>+CE93</f>
        <v>105131.89727272742</v>
      </c>
      <c r="CF94" s="711">
        <f>+CF93</f>
        <v>4725.0290909090909</v>
      </c>
      <c r="CG94" s="711">
        <f t="shared" si="22"/>
        <v>100406.86818181834</v>
      </c>
      <c r="CH94" s="684">
        <f>+CE$29*CG94+CF94</f>
        <v>27410.893503790576</v>
      </c>
      <c r="CI94" s="710">
        <f>+CI93</f>
        <v>287433.40909090871</v>
      </c>
      <c r="CJ94" s="711">
        <f>+CJ93</f>
        <v>12362.727272727272</v>
      </c>
      <c r="CK94" s="711">
        <f t="shared" si="24"/>
        <v>275070.68181818142</v>
      </c>
      <c r="CL94" s="684">
        <f>+CI$29*CK94+CJ94</f>
        <v>72328.929829235858</v>
      </c>
      <c r="CM94" s="967">
        <f t="shared" si="25"/>
        <v>22891688.639319461</v>
      </c>
      <c r="CN94" s="708">
        <f>+CM94</f>
        <v>22891688.639319461</v>
      </c>
      <c r="CO94" s="679"/>
      <c r="CR94" s="710"/>
      <c r="CS94" s="711"/>
      <c r="CT94" s="711"/>
      <c r="CU94" s="684"/>
    </row>
    <row r="95" spans="1:99">
      <c r="A95" s="514" t="s">
        <v>609</v>
      </c>
      <c r="B95" s="474">
        <v>2034</v>
      </c>
      <c r="C95" s="470">
        <f>+E94</f>
        <v>8358599.7017045394</v>
      </c>
      <c r="D95" s="470">
        <f>+C$31</f>
        <v>445791.98409090913</v>
      </c>
      <c r="E95" s="470">
        <f t="shared" si="6"/>
        <v>7912807.71761363</v>
      </c>
      <c r="F95" s="683">
        <f>+C$28*E95+D95</f>
        <v>2170806.9047968644</v>
      </c>
      <c r="G95" s="470">
        <f>+I94</f>
        <v>2143053.8665909069</v>
      </c>
      <c r="H95" s="470">
        <f>+G$31</f>
        <v>115840.74954545456</v>
      </c>
      <c r="I95" s="470">
        <f t="shared" ref="I95:I129" si="30">+G95-H95</f>
        <v>2027213.1170454524</v>
      </c>
      <c r="J95" s="683">
        <f>+G$28*I95+H95</f>
        <v>557779.06008598441</v>
      </c>
      <c r="K95" s="702">
        <f>+M94</f>
        <v>5421200.7601704504</v>
      </c>
      <c r="L95" s="470">
        <f>+K$31</f>
        <v>305419.76113636367</v>
      </c>
      <c r="M95" s="470">
        <f t="shared" si="8"/>
        <v>5115780.9990340872</v>
      </c>
      <c r="N95" s="683">
        <f>+K$28*M95+L95</f>
        <v>1420674.7843001555</v>
      </c>
      <c r="O95" s="702">
        <f>+Q94</f>
        <v>2366440.3106060568</v>
      </c>
      <c r="P95" s="470">
        <f>+O$31</f>
        <v>119316.31818181818</v>
      </c>
      <c r="Q95" s="470">
        <f t="shared" si="11"/>
        <v>2247123.9924242385</v>
      </c>
      <c r="R95" s="683">
        <f>+O$28*Q95+P95</f>
        <v>609195.83427060046</v>
      </c>
      <c r="S95" s="710">
        <f>+U94</f>
        <v>1059401.9824242392</v>
      </c>
      <c r="T95" s="711">
        <f>+S$31</f>
        <v>58315.705454545445</v>
      </c>
      <c r="U95" s="711">
        <f t="shared" si="12"/>
        <v>1001086.2769696937</v>
      </c>
      <c r="V95" s="684">
        <f>+S$28*U95+T95</f>
        <v>276555.40320970549</v>
      </c>
      <c r="W95" s="710">
        <f>+Y94</f>
        <v>13750323.337121218</v>
      </c>
      <c r="X95" s="711">
        <f>+W$31</f>
        <v>693293.61363636365</v>
      </c>
      <c r="Y95" s="711">
        <f t="shared" si="13"/>
        <v>13057029.723484855</v>
      </c>
      <c r="Z95" s="684">
        <f>+W$28*Y95+X95</f>
        <v>3539763.7790841931</v>
      </c>
      <c r="AA95" s="710">
        <f>+AC94</f>
        <v>8979096.4678030312</v>
      </c>
      <c r="AB95" s="711">
        <f>+AA$31</f>
        <v>450833.29545454547</v>
      </c>
      <c r="AC95" s="711">
        <f t="shared" si="14"/>
        <v>8528263.1723484863</v>
      </c>
      <c r="AD95" s="684">
        <f>+AA$28*AC95+AB95</f>
        <v>2310019.2816451653</v>
      </c>
      <c r="AE95" s="710">
        <f>+AG94</f>
        <v>89658.784090909205</v>
      </c>
      <c r="AF95" s="711">
        <f>+AE$31</f>
        <v>4597.886363636364</v>
      </c>
      <c r="AG95" s="711">
        <f t="shared" si="15"/>
        <v>85060.897727272837</v>
      </c>
      <c r="AH95" s="684">
        <f>+AE$28*AG95+AF95</f>
        <v>23141.407574390698</v>
      </c>
      <c r="AI95" s="710">
        <f>+AK94</f>
        <v>6157238.1628787909</v>
      </c>
      <c r="AJ95" s="711">
        <f>+AI$31</f>
        <v>295547.43181818182</v>
      </c>
      <c r="AK95" s="711">
        <f t="shared" si="19"/>
        <v>5861690.7310606092</v>
      </c>
      <c r="AL95" s="684">
        <f>+AI$28*AK95+AJ95</f>
        <v>1573412.9294386411</v>
      </c>
      <c r="AM95" s="710">
        <f>+AO94</f>
        <v>2272771.7714772737</v>
      </c>
      <c r="AN95" s="711">
        <f>+AM$31</f>
        <v>110866.91568181818</v>
      </c>
      <c r="AO95" s="711">
        <f t="shared" si="16"/>
        <v>2161904.8557954556</v>
      </c>
      <c r="AP95" s="684">
        <f>+AM$28*AO95+AN95</f>
        <v>582168.41402260156</v>
      </c>
      <c r="AQ95" s="710">
        <f>+AS94</f>
        <v>18777343.923409086</v>
      </c>
      <c r="AR95" s="711">
        <f>+AQ$31</f>
        <v>904932.23727272719</v>
      </c>
      <c r="AS95" s="711">
        <f t="shared" si="17"/>
        <v>17872411.686136357</v>
      </c>
      <c r="AT95" s="684">
        <f>+AQ$28*AS95+AR95</f>
        <v>4801169.5689290762</v>
      </c>
      <c r="AU95" s="470"/>
      <c r="AV95" s="470"/>
      <c r="AW95" s="470"/>
      <c r="AX95" s="683"/>
      <c r="AY95" s="470"/>
      <c r="AZ95" s="470"/>
      <c r="BA95" s="470"/>
      <c r="BB95" s="683"/>
      <c r="BC95" s="470"/>
      <c r="BD95" s="470"/>
      <c r="BE95" s="470"/>
      <c r="BF95" s="683"/>
      <c r="BG95" s="470"/>
      <c r="BH95" s="470"/>
      <c r="BI95" s="470"/>
      <c r="BJ95" s="683"/>
      <c r="BK95" s="470"/>
      <c r="BL95" s="470"/>
      <c r="BM95" s="470"/>
      <c r="BN95" s="683"/>
      <c r="BO95" s="470"/>
      <c r="BP95" s="470"/>
      <c r="BQ95" s="470"/>
      <c r="BR95" s="683"/>
      <c r="BS95" s="710">
        <f>+BU94</f>
        <v>174528.61363636388</v>
      </c>
      <c r="BT95" s="711">
        <f>+BS$31</f>
        <v>8310.886363636364</v>
      </c>
      <c r="BU95" s="711">
        <f t="shared" si="18"/>
        <v>166217.72727272753</v>
      </c>
      <c r="BV95" s="684">
        <f>+BS$28*BU95+BT95</f>
        <v>44546.83065342893</v>
      </c>
      <c r="BW95" s="710">
        <f>+BY94</f>
        <v>12257876.079545468</v>
      </c>
      <c r="BX95" s="711">
        <f>+BW$31</f>
        <v>576841.22727272729</v>
      </c>
      <c r="BY95" s="711">
        <f t="shared" si="20"/>
        <v>11681034.852272741</v>
      </c>
      <c r="BZ95" s="684">
        <f>+BW$28*BY95+BX95</f>
        <v>3123340.5393441767</v>
      </c>
      <c r="CA95" s="710">
        <f>+CC94</f>
        <v>1156720.8000000017</v>
      </c>
      <c r="CB95" s="711">
        <f>+CA$31</f>
        <v>54433.919999999998</v>
      </c>
      <c r="CC95" s="711">
        <f t="shared" si="21"/>
        <v>1102286.8800000018</v>
      </c>
      <c r="CD95" s="684">
        <f>+CA$28*CC95+CB95</f>
        <v>294735.64130504732</v>
      </c>
      <c r="CE95" s="710">
        <f>+CG94</f>
        <v>100406.86818181834</v>
      </c>
      <c r="CF95" s="711">
        <f>+CE$31</f>
        <v>4725.0290909090909</v>
      </c>
      <c r="CG95" s="711">
        <f t="shared" si="22"/>
        <v>95681.839090909256</v>
      </c>
      <c r="CH95" s="684">
        <f>+CE$28*CG95+CF95</f>
        <v>25583.946173527384</v>
      </c>
      <c r="CI95" s="710">
        <f>+CK94</f>
        <v>275070.68181818142</v>
      </c>
      <c r="CJ95" s="711">
        <f>+CI$31</f>
        <v>12362.727272727272</v>
      </c>
      <c r="CK95" s="711">
        <f t="shared" si="24"/>
        <v>262707.95454545412</v>
      </c>
      <c r="CL95" s="684">
        <f>+CI$28*CK95+CJ95</f>
        <v>69633.81960197704</v>
      </c>
      <c r="CM95" s="967">
        <f t="shared" si="25"/>
        <v>21422528.144435536</v>
      </c>
      <c r="CN95" s="543"/>
      <c r="CO95" s="707">
        <f>+CM95</f>
        <v>21422528.144435536</v>
      </c>
      <c r="CR95" s="710"/>
      <c r="CS95" s="711"/>
      <c r="CT95" s="711"/>
      <c r="CU95" s="684"/>
    </row>
    <row r="96" spans="1:99">
      <c r="A96" s="514" t="s">
        <v>608</v>
      </c>
      <c r="B96" s="474">
        <v>2034</v>
      </c>
      <c r="C96" s="470">
        <f>+C95</f>
        <v>8358599.7017045394</v>
      </c>
      <c r="D96" s="470">
        <f>+D95</f>
        <v>445791.98409090913</v>
      </c>
      <c r="E96" s="470">
        <f t="shared" si="6"/>
        <v>7912807.71761363</v>
      </c>
      <c r="F96" s="683">
        <f>+C$29*E96+D96</f>
        <v>2233606.7646687427</v>
      </c>
      <c r="G96" s="470">
        <f>+G95</f>
        <v>2143053.8665909069</v>
      </c>
      <c r="H96" s="470">
        <f>+H95</f>
        <v>115840.74954545456</v>
      </c>
      <c r="I96" s="470">
        <f t="shared" si="30"/>
        <v>2027213.1170454524</v>
      </c>
      <c r="J96" s="683">
        <f>+G$29*I96+H96</f>
        <v>573868.00148632994</v>
      </c>
      <c r="K96" s="702">
        <f>+K95</f>
        <v>5421200.7601704504</v>
      </c>
      <c r="L96" s="470">
        <f>+L95</f>
        <v>305419.76113636367</v>
      </c>
      <c r="M96" s="470">
        <f t="shared" si="8"/>
        <v>5115780.9990340872</v>
      </c>
      <c r="N96" s="683">
        <f>+K$29*M96+L96</f>
        <v>1461276.0906050492</v>
      </c>
      <c r="O96" s="702">
        <f>+O95</f>
        <v>2366440.3106060568</v>
      </c>
      <c r="P96" s="470">
        <f>+P95</f>
        <v>119316.31818181818</v>
      </c>
      <c r="Q96" s="470">
        <f t="shared" si="11"/>
        <v>2247123.9924242385</v>
      </c>
      <c r="R96" s="683">
        <f>+O$29*Q96+P96</f>
        <v>627030.09448203619</v>
      </c>
      <c r="S96" s="710">
        <f>+S95</f>
        <v>1059401.9824242392</v>
      </c>
      <c r="T96" s="711">
        <f>+T95</f>
        <v>58315.705454545445</v>
      </c>
      <c r="U96" s="711">
        <f t="shared" si="12"/>
        <v>1001086.2769696937</v>
      </c>
      <c r="V96" s="684">
        <f>+S$29*U96+T96</f>
        <v>284500.50691460341</v>
      </c>
      <c r="W96" s="710">
        <f>+W95</f>
        <v>13750323.337121218</v>
      </c>
      <c r="X96" s="711">
        <f>+X95</f>
        <v>693293.61363636365</v>
      </c>
      <c r="Y96" s="711">
        <f t="shared" si="13"/>
        <v>13057029.723484855</v>
      </c>
      <c r="Z96" s="684">
        <f>+W$29*Y96+X96</f>
        <v>3643390.6668136334</v>
      </c>
      <c r="AA96" s="710">
        <f>+AA95</f>
        <v>8979096.4678030312</v>
      </c>
      <c r="AB96" s="711">
        <f>+AB95</f>
        <v>450833.29545454547</v>
      </c>
      <c r="AC96" s="711">
        <f t="shared" si="14"/>
        <v>8528263.1723484863</v>
      </c>
      <c r="AD96" s="684">
        <f>+AA$29*AC96+AB96</f>
        <v>2377703.6929549226</v>
      </c>
      <c r="AE96" s="710">
        <f>+AE95</f>
        <v>89658.784090909205</v>
      </c>
      <c r="AF96" s="711">
        <f>+AF95</f>
        <v>4597.886363636364</v>
      </c>
      <c r="AG96" s="711">
        <f t="shared" si="15"/>
        <v>85060.897727272837</v>
      </c>
      <c r="AH96" s="684">
        <f>+AE$29*AG96+AF96</f>
        <v>23816.491899510616</v>
      </c>
      <c r="AI96" s="710">
        <f>+AI95</f>
        <v>6157238.1628787909</v>
      </c>
      <c r="AJ96" s="711">
        <f>+AJ95</f>
        <v>295547.43181818182</v>
      </c>
      <c r="AK96" s="711">
        <f t="shared" si="19"/>
        <v>5861690.7310606092</v>
      </c>
      <c r="AL96" s="684">
        <f>+AI$29*AK96+AJ96</f>
        <v>1619934.1352684612</v>
      </c>
      <c r="AM96" s="710">
        <f>+AM95</f>
        <v>2272771.7714772737</v>
      </c>
      <c r="AN96" s="711">
        <f>+AN95</f>
        <v>110866.91568181818</v>
      </c>
      <c r="AO96" s="711">
        <f t="shared" si="16"/>
        <v>2161904.8557954556</v>
      </c>
      <c r="AP96" s="684">
        <f>+AM$29*AO96+AN96</f>
        <v>599326.33404864662</v>
      </c>
      <c r="AQ96" s="710">
        <f>+AQ95</f>
        <v>18777343.923409086</v>
      </c>
      <c r="AR96" s="711">
        <f>+AR95</f>
        <v>904932.23727272719</v>
      </c>
      <c r="AS96" s="711">
        <f t="shared" si="17"/>
        <v>17872411.686136357</v>
      </c>
      <c r="AT96" s="684">
        <f>+AQ$29*AS96+AR96</f>
        <v>4943013.6512721227</v>
      </c>
      <c r="AU96" s="470"/>
      <c r="AV96" s="470"/>
      <c r="AW96" s="470"/>
      <c r="AX96" s="683"/>
      <c r="AY96" s="470"/>
      <c r="AZ96" s="470"/>
      <c r="BA96" s="470"/>
      <c r="BB96" s="683"/>
      <c r="BC96" s="470"/>
      <c r="BD96" s="470"/>
      <c r="BE96" s="470"/>
      <c r="BF96" s="683"/>
      <c r="BG96" s="470"/>
      <c r="BH96" s="470"/>
      <c r="BI96" s="470"/>
      <c r="BJ96" s="683"/>
      <c r="BK96" s="470"/>
      <c r="BL96" s="470"/>
      <c r="BM96" s="470"/>
      <c r="BN96" s="683"/>
      <c r="BO96" s="470"/>
      <c r="BP96" s="470"/>
      <c r="BQ96" s="470"/>
      <c r="BR96" s="683"/>
      <c r="BS96" s="710">
        <f>+BS95</f>
        <v>174528.61363636388</v>
      </c>
      <c r="BT96" s="711">
        <f>+BT95</f>
        <v>8310.886363636364</v>
      </c>
      <c r="BU96" s="711">
        <f t="shared" si="18"/>
        <v>166217.72727272753</v>
      </c>
      <c r="BV96" s="684">
        <f>+BS$29*BU96+BT96</f>
        <v>45866.01473491668</v>
      </c>
      <c r="BW96" s="710">
        <f>+BW95</f>
        <v>12257876.079545468</v>
      </c>
      <c r="BX96" s="711">
        <f>+BX95</f>
        <v>576841.22727272729</v>
      </c>
      <c r="BY96" s="711">
        <f t="shared" si="20"/>
        <v>11681034.852272741</v>
      </c>
      <c r="BZ96" s="684">
        <f>+BW$29*BY96+BX96</f>
        <v>3123340.5393441767</v>
      </c>
      <c r="CA96" s="710">
        <f>+CA95</f>
        <v>1156720.8000000017</v>
      </c>
      <c r="CB96" s="711">
        <f>+CB95</f>
        <v>54433.919999999998</v>
      </c>
      <c r="CC96" s="711">
        <f t="shared" si="21"/>
        <v>1102286.8800000018</v>
      </c>
      <c r="CD96" s="684">
        <f>+CA$29*CC96+CB96</f>
        <v>303483.92182354402</v>
      </c>
      <c r="CE96" s="710">
        <f>+CE95</f>
        <v>100406.86818181834</v>
      </c>
      <c r="CF96" s="711">
        <f>+CF95</f>
        <v>4725.0290909090909</v>
      </c>
      <c r="CG96" s="711">
        <f t="shared" si="22"/>
        <v>95681.839090909256</v>
      </c>
      <c r="CH96" s="684">
        <f>+CE$29*CG96+CF96</f>
        <v>26343.323413772625</v>
      </c>
      <c r="CI96" s="710">
        <f>+CI95</f>
        <v>275070.68181818142</v>
      </c>
      <c r="CJ96" s="711">
        <f>+CJ95</f>
        <v>12362.727272727272</v>
      </c>
      <c r="CK96" s="711">
        <f t="shared" si="24"/>
        <v>262707.95454545412</v>
      </c>
      <c r="CL96" s="684">
        <f>+CI$29*CK96+CJ96</f>
        <v>69633.81960197704</v>
      </c>
      <c r="CM96" s="967">
        <f t="shared" si="25"/>
        <v>21956134.049332444</v>
      </c>
      <c r="CN96" s="708">
        <f>+CM96</f>
        <v>21956134.049332444</v>
      </c>
      <c r="CO96" s="679"/>
      <c r="CR96" s="710"/>
      <c r="CS96" s="711"/>
      <c r="CT96" s="711"/>
      <c r="CU96" s="684"/>
    </row>
    <row r="97" spans="1:99">
      <c r="A97" s="514" t="s">
        <v>609</v>
      </c>
      <c r="B97" s="474">
        <v>2035</v>
      </c>
      <c r="C97" s="470">
        <f>+E96</f>
        <v>7912807.71761363</v>
      </c>
      <c r="D97" s="470">
        <f>+C$31</f>
        <v>445791.98409090913</v>
      </c>
      <c r="E97" s="470">
        <f t="shared" si="6"/>
        <v>7467015.7335227206</v>
      </c>
      <c r="F97" s="683">
        <f>+C$28*E97+D97</f>
        <v>2073622.9656021625</v>
      </c>
      <c r="G97" s="470">
        <f>+I96</f>
        <v>2027213.1170454524</v>
      </c>
      <c r="H97" s="470">
        <f>+G$31</f>
        <v>115840.74954545456</v>
      </c>
      <c r="I97" s="470">
        <f t="shared" si="30"/>
        <v>1911372.3674999978</v>
      </c>
      <c r="J97" s="683">
        <f>+G$28*I97+H97</f>
        <v>532525.44234081125</v>
      </c>
      <c r="K97" s="702">
        <f>+M96</f>
        <v>5115780.9990340872</v>
      </c>
      <c r="L97" s="470">
        <f>+K$31</f>
        <v>305419.76113636367</v>
      </c>
      <c r="M97" s="470">
        <f t="shared" si="8"/>
        <v>4810361.2378977239</v>
      </c>
      <c r="N97" s="683">
        <f>+K$28*M97+L97</f>
        <v>1354092.394857541</v>
      </c>
      <c r="O97" s="702">
        <f>+Q96</f>
        <v>2247123.9924242385</v>
      </c>
      <c r="P97" s="470">
        <f>+O$31</f>
        <v>119316.31818181818</v>
      </c>
      <c r="Q97" s="470">
        <f t="shared" si="11"/>
        <v>2127807.6742424201</v>
      </c>
      <c r="R97" s="683">
        <f>+O$28*Q97+P97</f>
        <v>583184.53253137309</v>
      </c>
      <c r="S97" s="710">
        <f>+U96</f>
        <v>1001086.2769696937</v>
      </c>
      <c r="T97" s="711">
        <f>+S$31</f>
        <v>58315.705454545445</v>
      </c>
      <c r="U97" s="711">
        <f t="shared" si="12"/>
        <v>942770.57151514827</v>
      </c>
      <c r="V97" s="684">
        <f>+S$28*U97+T97</f>
        <v>263842.41110746306</v>
      </c>
      <c r="W97" s="710">
        <f>+Y96</f>
        <v>13057029.723484855</v>
      </c>
      <c r="X97" s="711">
        <f>+W$31</f>
        <v>693293.61363636365</v>
      </c>
      <c r="Y97" s="711">
        <f t="shared" si="13"/>
        <v>12363736.109848492</v>
      </c>
      <c r="Z97" s="684">
        <f>+W$28*Y97+X97</f>
        <v>3388623.7702993527</v>
      </c>
      <c r="AA97" s="710">
        <f>+AC96</f>
        <v>8528263.1723484863</v>
      </c>
      <c r="AB97" s="711">
        <f>+AA$31</f>
        <v>450833.29545454547</v>
      </c>
      <c r="AC97" s="711">
        <f t="shared" si="14"/>
        <v>8077429.8768939404</v>
      </c>
      <c r="AD97" s="684">
        <f>+AA$28*AC97+AB97</f>
        <v>2211736.3220227538</v>
      </c>
      <c r="AE97" s="710">
        <f>+AG96</f>
        <v>85060.897727272837</v>
      </c>
      <c r="AF97" s="711">
        <f>+AE$31</f>
        <v>4597.886363636364</v>
      </c>
      <c r="AG97" s="711">
        <f t="shared" si="15"/>
        <v>80463.011363636469</v>
      </c>
      <c r="AH97" s="684">
        <f>+AE$28*AG97+AF97</f>
        <v>22139.055076512086</v>
      </c>
      <c r="AI97" s="710">
        <f>+AK96</f>
        <v>5861690.7310606092</v>
      </c>
      <c r="AJ97" s="711">
        <f>+AI$31</f>
        <v>295547.43181818182</v>
      </c>
      <c r="AK97" s="711">
        <f t="shared" si="19"/>
        <v>5566143.2992424276</v>
      </c>
      <c r="AL97" s="684">
        <f>+AI$28*AK97+AJ97</f>
        <v>1508982.7362813069</v>
      </c>
      <c r="AM97" s="710">
        <f>+AO96</f>
        <v>2161904.8557954556</v>
      </c>
      <c r="AN97" s="711">
        <f>+AM$31</f>
        <v>110866.91568181818</v>
      </c>
      <c r="AO97" s="711">
        <f t="shared" si="16"/>
        <v>2051037.9401136374</v>
      </c>
      <c r="AP97" s="684">
        <f>+AM$28*AO97+AN97</f>
        <v>557999.10641538189</v>
      </c>
      <c r="AQ97" s="710">
        <f>+AS96</f>
        <v>17872411.686136357</v>
      </c>
      <c r="AR97" s="711">
        <f>+AQ$31</f>
        <v>904932.23727272719</v>
      </c>
      <c r="AS97" s="711">
        <f t="shared" si="17"/>
        <v>16967479.448863629</v>
      </c>
      <c r="AT97" s="684">
        <f>+AQ$28*AS97+AR97</f>
        <v>4603891.7293515392</v>
      </c>
      <c r="AU97" s="470"/>
      <c r="AV97" s="470"/>
      <c r="AW97" s="470"/>
      <c r="AX97" s="683"/>
      <c r="AY97" s="470"/>
      <c r="AZ97" s="470"/>
      <c r="BA97" s="470"/>
      <c r="BB97" s="683"/>
      <c r="BC97" s="470"/>
      <c r="BD97" s="470"/>
      <c r="BE97" s="470"/>
      <c r="BF97" s="683"/>
      <c r="BG97" s="470"/>
      <c r="BH97" s="470"/>
      <c r="BI97" s="470"/>
      <c r="BJ97" s="683"/>
      <c r="BK97" s="470"/>
      <c r="BL97" s="470"/>
      <c r="BM97" s="470"/>
      <c r="BN97" s="683"/>
      <c r="BO97" s="470"/>
      <c r="BP97" s="470"/>
      <c r="BQ97" s="470"/>
      <c r="BR97" s="683"/>
      <c r="BS97" s="710">
        <f>+BU96</f>
        <v>166217.72727272753</v>
      </c>
      <c r="BT97" s="711">
        <f>+BS$31</f>
        <v>8310.886363636364</v>
      </c>
      <c r="BU97" s="711">
        <f t="shared" si="18"/>
        <v>157906.84090909117</v>
      </c>
      <c r="BV97" s="684">
        <f>+BS$28*BU97+BT97</f>
        <v>42735.03343893931</v>
      </c>
      <c r="BW97" s="710">
        <f>+BY96</f>
        <v>11681034.852272741</v>
      </c>
      <c r="BX97" s="711">
        <f>+BW$31</f>
        <v>576841.22727272729</v>
      </c>
      <c r="BY97" s="711">
        <f t="shared" si="20"/>
        <v>11104193.625000015</v>
      </c>
      <c r="BZ97" s="684">
        <f>+BW$28*BY97+BX97</f>
        <v>2997587.4868962038</v>
      </c>
      <c r="CA97" s="710">
        <f>+CC96</f>
        <v>1102286.8800000018</v>
      </c>
      <c r="CB97" s="711">
        <f>+CA$31</f>
        <v>54433.919999999998</v>
      </c>
      <c r="CC97" s="711">
        <f t="shared" si="21"/>
        <v>1047852.9600000017</v>
      </c>
      <c r="CD97" s="684">
        <f>+CA$28*CC97+CB97</f>
        <v>282868.88963566226</v>
      </c>
      <c r="CE97" s="710">
        <f>+CG96</f>
        <v>95681.839090909256</v>
      </c>
      <c r="CF97" s="711">
        <f>+CE$31</f>
        <v>4725.0290909090909</v>
      </c>
      <c r="CG97" s="711">
        <f t="shared" si="22"/>
        <v>90956.810000000172</v>
      </c>
      <c r="CH97" s="684">
        <f>+CE$28*CG97+CF97</f>
        <v>24553.876194138829</v>
      </c>
      <c r="CI97" s="710">
        <f>+CK96</f>
        <v>262707.95454545412</v>
      </c>
      <c r="CJ97" s="711">
        <f>+CI$31</f>
        <v>12362.727272727272</v>
      </c>
      <c r="CK97" s="711">
        <f t="shared" si="24"/>
        <v>250345.22727272686</v>
      </c>
      <c r="CL97" s="684">
        <f>+CI$28*CK97+CJ97</f>
        <v>66938.709374718223</v>
      </c>
      <c r="CM97" s="967">
        <f t="shared" si="25"/>
        <v>20515324.461425863</v>
      </c>
      <c r="CN97" s="543"/>
      <c r="CO97" s="707">
        <f>+CM97</f>
        <v>20515324.461425863</v>
      </c>
      <c r="CR97" s="710"/>
      <c r="CS97" s="711"/>
      <c r="CT97" s="711"/>
      <c r="CU97" s="684"/>
    </row>
    <row r="98" spans="1:99">
      <c r="A98" s="514" t="s">
        <v>608</v>
      </c>
      <c r="B98" s="474">
        <v>2035</v>
      </c>
      <c r="C98" s="470">
        <f>+C97</f>
        <v>7912807.71761363</v>
      </c>
      <c r="D98" s="470">
        <f>+D97</f>
        <v>445791.98409090913</v>
      </c>
      <c r="E98" s="470">
        <f t="shared" si="6"/>
        <v>7467015.7335227206</v>
      </c>
      <c r="F98" s="683">
        <f>+C$29*E98+D98</f>
        <v>2132884.8051995691</v>
      </c>
      <c r="G98" s="470">
        <f>+G97</f>
        <v>2027213.1170454524</v>
      </c>
      <c r="H98" s="470">
        <f>+H97</f>
        <v>115840.74954545456</v>
      </c>
      <c r="I98" s="470">
        <f t="shared" si="30"/>
        <v>1911372.3674999978</v>
      </c>
      <c r="J98" s="683">
        <f>+G$29*I98+H98</f>
        <v>547695.01566113706</v>
      </c>
      <c r="K98" s="702">
        <f>+K97</f>
        <v>5115780.9990340872</v>
      </c>
      <c r="L98" s="470">
        <f>+L97</f>
        <v>305419.76113636367</v>
      </c>
      <c r="M98" s="470">
        <f t="shared" si="8"/>
        <v>4810361.2378977239</v>
      </c>
      <c r="N98" s="683">
        <f>+K$29*M98+L98</f>
        <v>1392269.742577068</v>
      </c>
      <c r="O98" s="702">
        <f>+O97</f>
        <v>2247123.9924242385</v>
      </c>
      <c r="P98" s="470">
        <f>+P97</f>
        <v>119316.31818181818</v>
      </c>
      <c r="Q98" s="470">
        <f t="shared" si="11"/>
        <v>2127807.6742424201</v>
      </c>
      <c r="R98" s="683">
        <f>+O$29*Q98+P98</f>
        <v>600071.84087317495</v>
      </c>
      <c r="S98" s="710">
        <f>+S97</f>
        <v>1001086.2769696937</v>
      </c>
      <c r="T98" s="711">
        <f>+T97</f>
        <v>58315.705454545445</v>
      </c>
      <c r="U98" s="711">
        <f t="shared" si="12"/>
        <v>942770.57151514827</v>
      </c>
      <c r="V98" s="684">
        <f>+S$29*U98+T98</f>
        <v>271324.69323731842</v>
      </c>
      <c r="W98" s="710">
        <f>+W97</f>
        <v>13057029.723484855</v>
      </c>
      <c r="X98" s="711">
        <f>+X97</f>
        <v>693293.61363636365</v>
      </c>
      <c r="Y98" s="711">
        <f t="shared" si="13"/>
        <v>12363736.109848492</v>
      </c>
      <c r="Z98" s="684">
        <f>+W$29*Y98+X98</f>
        <v>3486748.3454059907</v>
      </c>
      <c r="AA98" s="710">
        <f>+AA97</f>
        <v>8528263.1723484863</v>
      </c>
      <c r="AB98" s="711">
        <f>+AB97</f>
        <v>450833.29545454547</v>
      </c>
      <c r="AC98" s="711">
        <f t="shared" si="14"/>
        <v>8077429.8768939404</v>
      </c>
      <c r="AD98" s="684">
        <f>+AA$29*AC98+AB98</f>
        <v>2275842.702778691</v>
      </c>
      <c r="AE98" s="710">
        <f>+AE97</f>
        <v>85060.897727272837</v>
      </c>
      <c r="AF98" s="711">
        <f>+AF97</f>
        <v>4597.886363636364</v>
      </c>
      <c r="AG98" s="711">
        <f t="shared" si="15"/>
        <v>80463.011363636469</v>
      </c>
      <c r="AH98" s="684">
        <f>+AE$29*AG98+AF98</f>
        <v>22777.648357030928</v>
      </c>
      <c r="AI98" s="710">
        <f>+AI97</f>
        <v>5861690.7310606092</v>
      </c>
      <c r="AJ98" s="711">
        <f>+AJ97</f>
        <v>295547.43181818182</v>
      </c>
      <c r="AK98" s="711">
        <f t="shared" si="19"/>
        <v>5566143.2992424276</v>
      </c>
      <c r="AL98" s="684">
        <f>+AI$29*AK98+AJ98</f>
        <v>1553158.3350944975</v>
      </c>
      <c r="AM98" s="710">
        <f>+AM97</f>
        <v>2161904.8557954556</v>
      </c>
      <c r="AN98" s="711">
        <f>+AN97</f>
        <v>110866.91568181818</v>
      </c>
      <c r="AO98" s="711">
        <f t="shared" si="16"/>
        <v>2051037.9401136374</v>
      </c>
      <c r="AP98" s="684">
        <f>+AM$29*AO98+AN98</f>
        <v>574277.133106758</v>
      </c>
      <c r="AQ98" s="710">
        <f>+AQ97</f>
        <v>17872411.686136357</v>
      </c>
      <c r="AR98" s="711">
        <f>+AR97</f>
        <v>904932.23727272719</v>
      </c>
      <c r="AS98" s="711">
        <f t="shared" si="17"/>
        <v>16967479.448863629</v>
      </c>
      <c r="AT98" s="684">
        <f>+AQ$29*AS98+AR98</f>
        <v>4738553.8328417735</v>
      </c>
      <c r="AU98" s="470"/>
      <c r="AV98" s="470"/>
      <c r="AW98" s="470"/>
      <c r="AX98" s="683"/>
      <c r="AY98" s="470"/>
      <c r="AZ98" s="470"/>
      <c r="BA98" s="470"/>
      <c r="BB98" s="683"/>
      <c r="BC98" s="470"/>
      <c r="BD98" s="470"/>
      <c r="BE98" s="470"/>
      <c r="BF98" s="683"/>
      <c r="BG98" s="470"/>
      <c r="BH98" s="470"/>
      <c r="BI98" s="470"/>
      <c r="BJ98" s="683"/>
      <c r="BK98" s="470"/>
      <c r="BL98" s="470"/>
      <c r="BM98" s="470"/>
      <c r="BN98" s="683"/>
      <c r="BO98" s="470"/>
      <c r="BP98" s="470"/>
      <c r="BQ98" s="470"/>
      <c r="BR98" s="683"/>
      <c r="BS98" s="710">
        <f>+BS97</f>
        <v>166217.72727272753</v>
      </c>
      <c r="BT98" s="711">
        <f>+BT97</f>
        <v>8310.886363636364</v>
      </c>
      <c r="BU98" s="711">
        <f t="shared" si="18"/>
        <v>157906.84090909117</v>
      </c>
      <c r="BV98" s="684">
        <f>+BS$29*BU98+BT98</f>
        <v>43988.258316352672</v>
      </c>
      <c r="BW98" s="710">
        <f>+BW97</f>
        <v>11681034.852272741</v>
      </c>
      <c r="BX98" s="711">
        <f>+BX97</f>
        <v>576841.22727272729</v>
      </c>
      <c r="BY98" s="711">
        <f t="shared" si="20"/>
        <v>11104193.625000015</v>
      </c>
      <c r="BZ98" s="684">
        <f>+BW$29*BY98+BX98</f>
        <v>2997587.4868962038</v>
      </c>
      <c r="CA98" s="710">
        <f>+CA97</f>
        <v>1102286.8800000018</v>
      </c>
      <c r="CB98" s="711">
        <f>+CB97</f>
        <v>54433.919999999998</v>
      </c>
      <c r="CC98" s="711">
        <f t="shared" si="21"/>
        <v>1047852.9600000017</v>
      </c>
      <c r="CD98" s="684">
        <f>+CA$29*CC98+CB98</f>
        <v>291185.1563013937</v>
      </c>
      <c r="CE98" s="710">
        <f>+CE97</f>
        <v>95681.839090909256</v>
      </c>
      <c r="CF98" s="711">
        <f>+CF97</f>
        <v>4725.0290909090909</v>
      </c>
      <c r="CG98" s="711">
        <f t="shared" si="22"/>
        <v>90956.810000000172</v>
      </c>
      <c r="CH98" s="684">
        <f>+CE$29*CG98+CF98</f>
        <v>25275.753323754678</v>
      </c>
      <c r="CI98" s="710">
        <f>+CI97</f>
        <v>262707.95454545412</v>
      </c>
      <c r="CJ98" s="711">
        <f>+CJ97</f>
        <v>12362.727272727272</v>
      </c>
      <c r="CK98" s="711">
        <f t="shared" si="24"/>
        <v>250345.22727272686</v>
      </c>
      <c r="CL98" s="684">
        <f>+CI$29*CK98+CJ98</f>
        <v>66938.709374718223</v>
      </c>
      <c r="CM98" s="967">
        <f t="shared" si="25"/>
        <v>21020579.459345438</v>
      </c>
      <c r="CN98" s="708">
        <f>+CM98</f>
        <v>21020579.459345438</v>
      </c>
      <c r="CO98" s="679"/>
      <c r="CR98" s="710"/>
      <c r="CS98" s="711"/>
      <c r="CT98" s="711"/>
      <c r="CU98" s="684"/>
    </row>
    <row r="99" spans="1:99">
      <c r="A99" s="514" t="s">
        <v>609</v>
      </c>
      <c r="B99" s="474">
        <v>2036</v>
      </c>
      <c r="C99" s="470">
        <f>+E98</f>
        <v>7467015.7335227206</v>
      </c>
      <c r="D99" s="470">
        <f>+C$31</f>
        <v>445791.98409090913</v>
      </c>
      <c r="E99" s="470">
        <f t="shared" si="6"/>
        <v>7021223.7494318113</v>
      </c>
      <c r="F99" s="683">
        <f>+C$28*E99+D99</f>
        <v>1976439.0264074607</v>
      </c>
      <c r="G99" s="470">
        <f>+I98</f>
        <v>1911372.3674999978</v>
      </c>
      <c r="H99" s="470">
        <f>+G$31</f>
        <v>115840.74954545456</v>
      </c>
      <c r="I99" s="470">
        <f t="shared" si="30"/>
        <v>1795531.6179545433</v>
      </c>
      <c r="J99" s="683">
        <f>+G$28*I99+H99</f>
        <v>507271.82459563809</v>
      </c>
      <c r="K99" s="702">
        <f>+M98</f>
        <v>4810361.2378977239</v>
      </c>
      <c r="L99" s="470">
        <f>+K$31</f>
        <v>305419.76113636367</v>
      </c>
      <c r="M99" s="470">
        <f t="shared" si="8"/>
        <v>4504941.4767613607</v>
      </c>
      <c r="N99" s="683">
        <f>+K$28*M99+L99</f>
        <v>1287510.0054149267</v>
      </c>
      <c r="O99" s="702">
        <f>+Q98</f>
        <v>2127807.6742424201</v>
      </c>
      <c r="P99" s="470">
        <f>+O$31</f>
        <v>119316.31818181818</v>
      </c>
      <c r="Q99" s="470">
        <f t="shared" si="11"/>
        <v>2008491.356060602</v>
      </c>
      <c r="R99" s="683">
        <f>+O$28*Q99+P99</f>
        <v>557173.23079214571</v>
      </c>
      <c r="S99" s="710">
        <f>+U98</f>
        <v>942770.57151514827</v>
      </c>
      <c r="T99" s="711">
        <f>+S$31</f>
        <v>58315.705454545445</v>
      </c>
      <c r="U99" s="711">
        <f t="shared" si="12"/>
        <v>884454.86606060283</v>
      </c>
      <c r="V99" s="684">
        <f>+S$28*U99+T99</f>
        <v>251129.41900522073</v>
      </c>
      <c r="W99" s="710">
        <f>+Y98</f>
        <v>12363736.109848492</v>
      </c>
      <c r="X99" s="711">
        <f>+W$31</f>
        <v>693293.61363636365</v>
      </c>
      <c r="Y99" s="711">
        <f t="shared" si="13"/>
        <v>11670442.496212129</v>
      </c>
      <c r="Z99" s="684">
        <f>+W$28*Y99+X99</f>
        <v>3237483.7615145124</v>
      </c>
      <c r="AA99" s="710">
        <f>+AC98</f>
        <v>8077429.8768939404</v>
      </c>
      <c r="AB99" s="711">
        <f>+AA$31</f>
        <v>450833.29545454547</v>
      </c>
      <c r="AC99" s="711">
        <f t="shared" si="14"/>
        <v>7626596.5814393945</v>
      </c>
      <c r="AD99" s="684">
        <f>+AA$28*AC99+AB99</f>
        <v>2113453.3624003418</v>
      </c>
      <c r="AE99" s="710">
        <f>+AG98</f>
        <v>80463.011363636469</v>
      </c>
      <c r="AF99" s="711">
        <f>+AE$31</f>
        <v>4597.886363636364</v>
      </c>
      <c r="AG99" s="711">
        <f t="shared" si="15"/>
        <v>75865.125000000102</v>
      </c>
      <c r="AH99" s="684">
        <f>+AE$28*AG99+AF99</f>
        <v>21136.702578633474</v>
      </c>
      <c r="AI99" s="710">
        <f>+AK98</f>
        <v>5566143.2992424276</v>
      </c>
      <c r="AJ99" s="711">
        <f>+AI$31</f>
        <v>295547.43181818182</v>
      </c>
      <c r="AK99" s="711">
        <f t="shared" si="19"/>
        <v>5270595.8674242459</v>
      </c>
      <c r="AL99" s="684">
        <f>+AI$28*AK99+AJ99</f>
        <v>1444552.5431239731</v>
      </c>
      <c r="AM99" s="710">
        <f>+AO98</f>
        <v>2051037.9401136374</v>
      </c>
      <c r="AN99" s="711">
        <f>+AM$31</f>
        <v>110866.91568181818</v>
      </c>
      <c r="AO99" s="711">
        <f t="shared" si="16"/>
        <v>1940171.0244318191</v>
      </c>
      <c r="AP99" s="684">
        <f>+AM$28*AO99+AN99</f>
        <v>533829.79880816222</v>
      </c>
      <c r="AQ99" s="710">
        <f>+AS98</f>
        <v>16967479.448863629</v>
      </c>
      <c r="AR99" s="711">
        <f>+AQ$31</f>
        <v>904932.23727272719</v>
      </c>
      <c r="AS99" s="711">
        <f t="shared" si="17"/>
        <v>16062547.211590903</v>
      </c>
      <c r="AT99" s="684">
        <f>+AQ$28*AS99+AR99</f>
        <v>4406613.8897740031</v>
      </c>
      <c r="AU99" s="470"/>
      <c r="AV99" s="470"/>
      <c r="AW99" s="470"/>
      <c r="AX99" s="683"/>
      <c r="AY99" s="470"/>
      <c r="AZ99" s="470"/>
      <c r="BA99" s="470"/>
      <c r="BB99" s="683"/>
      <c r="BC99" s="470"/>
      <c r="BD99" s="470"/>
      <c r="BE99" s="470"/>
      <c r="BF99" s="683"/>
      <c r="BG99" s="470"/>
      <c r="BH99" s="470"/>
      <c r="BI99" s="470"/>
      <c r="BJ99" s="683"/>
      <c r="BK99" s="470"/>
      <c r="BL99" s="470"/>
      <c r="BM99" s="470"/>
      <c r="BN99" s="683"/>
      <c r="BO99" s="470"/>
      <c r="BP99" s="470"/>
      <c r="BQ99" s="470"/>
      <c r="BR99" s="683"/>
      <c r="BS99" s="710">
        <f>+BU98</f>
        <v>157906.84090909117</v>
      </c>
      <c r="BT99" s="711">
        <f>+BS$31</f>
        <v>8310.886363636364</v>
      </c>
      <c r="BU99" s="711">
        <f t="shared" si="18"/>
        <v>149595.95454545482</v>
      </c>
      <c r="BV99" s="684">
        <f>+BS$28*BU99+BT99</f>
        <v>40923.236224449691</v>
      </c>
      <c r="BW99" s="710">
        <f>+BY98</f>
        <v>11104193.625000015</v>
      </c>
      <c r="BX99" s="711">
        <f>+BW$31</f>
        <v>576841.22727272729</v>
      </c>
      <c r="BY99" s="711">
        <f t="shared" si="20"/>
        <v>10527352.397727288</v>
      </c>
      <c r="BZ99" s="684">
        <f>+BW$28*BY99+BX99</f>
        <v>2871834.4344482319</v>
      </c>
      <c r="CA99" s="710">
        <f>+CC98</f>
        <v>1047852.9600000017</v>
      </c>
      <c r="CB99" s="711">
        <f>+CA$31</f>
        <v>54433.919999999998</v>
      </c>
      <c r="CC99" s="711">
        <f t="shared" si="21"/>
        <v>993419.04000000167</v>
      </c>
      <c r="CD99" s="684">
        <f>+CA$28*CC99+CB99</f>
        <v>271002.13796627719</v>
      </c>
      <c r="CE99" s="710">
        <f>+CG98</f>
        <v>90956.810000000172</v>
      </c>
      <c r="CF99" s="711">
        <f>+CE$31</f>
        <v>4725.0290909090909</v>
      </c>
      <c r="CG99" s="711">
        <f t="shared" si="22"/>
        <v>86231.780909091089</v>
      </c>
      <c r="CH99" s="684">
        <f>+CE$28*CG99+CF99</f>
        <v>23523.806214750275</v>
      </c>
      <c r="CI99" s="710">
        <f>+CK98</f>
        <v>250345.22727272686</v>
      </c>
      <c r="CJ99" s="711">
        <f>+CI$31</f>
        <v>12362.727272727272</v>
      </c>
      <c r="CK99" s="711">
        <f t="shared" si="24"/>
        <v>237982.49999999959</v>
      </c>
      <c r="CL99" s="684">
        <f>+CI$28*CK99+CJ99</f>
        <v>64243.599147459405</v>
      </c>
      <c r="CM99" s="967">
        <f t="shared" si="25"/>
        <v>19608120.778416187</v>
      </c>
      <c r="CN99" s="543"/>
      <c r="CO99" s="707">
        <f>+CM99</f>
        <v>19608120.778416187</v>
      </c>
      <c r="CR99" s="710"/>
      <c r="CS99" s="711"/>
      <c r="CT99" s="711"/>
      <c r="CU99" s="684"/>
    </row>
    <row r="100" spans="1:99">
      <c r="A100" s="514" t="s">
        <v>608</v>
      </c>
      <c r="B100" s="474">
        <v>2036</v>
      </c>
      <c r="C100" s="470">
        <f>+C99</f>
        <v>7467015.7335227206</v>
      </c>
      <c r="D100" s="470">
        <f>+D99</f>
        <v>445791.98409090913</v>
      </c>
      <c r="E100" s="470">
        <f t="shared" si="6"/>
        <v>7021223.7494318113</v>
      </c>
      <c r="F100" s="683">
        <f>+C$29*E100+D100</f>
        <v>2032162.8457303948</v>
      </c>
      <c r="G100" s="470">
        <f>+G99</f>
        <v>1911372.3674999978</v>
      </c>
      <c r="H100" s="470">
        <f>+H99</f>
        <v>115840.74954545456</v>
      </c>
      <c r="I100" s="470">
        <f t="shared" si="30"/>
        <v>1795531.6179545433</v>
      </c>
      <c r="J100" s="683">
        <f>+G$29*I100+H100</f>
        <v>521522.02983594418</v>
      </c>
      <c r="K100" s="702">
        <f>+K99</f>
        <v>4810361.2378977239</v>
      </c>
      <c r="L100" s="470">
        <f>+L99</f>
        <v>305419.76113636367</v>
      </c>
      <c r="M100" s="470">
        <f t="shared" si="8"/>
        <v>4504941.4767613607</v>
      </c>
      <c r="N100" s="683">
        <f>+K$29*M100+L100</f>
        <v>1323263.3945490867</v>
      </c>
      <c r="O100" s="702">
        <f>+O99</f>
        <v>2127807.6742424201</v>
      </c>
      <c r="P100" s="470">
        <f>+P99</f>
        <v>119316.31818181818</v>
      </c>
      <c r="Q100" s="470">
        <f t="shared" si="11"/>
        <v>2008491.356060602</v>
      </c>
      <c r="R100" s="683">
        <f>+O$29*Q100+P100</f>
        <v>573113.58726431383</v>
      </c>
      <c r="S100" s="710">
        <f>+S99</f>
        <v>942770.57151514827</v>
      </c>
      <c r="T100" s="711">
        <f>+T99</f>
        <v>58315.705454545445</v>
      </c>
      <c r="U100" s="711">
        <f t="shared" si="12"/>
        <v>884454.86606060283</v>
      </c>
      <c r="V100" s="684">
        <f>+S$29*U100+T100</f>
        <v>258148.87956003347</v>
      </c>
      <c r="W100" s="710">
        <f>+W99</f>
        <v>12363736.109848492</v>
      </c>
      <c r="X100" s="711">
        <f>+X99</f>
        <v>693293.61363636365</v>
      </c>
      <c r="Y100" s="711">
        <f t="shared" si="13"/>
        <v>11670442.496212129</v>
      </c>
      <c r="Z100" s="684">
        <f>+W$29*Y100+X100</f>
        <v>3330106.0239983485</v>
      </c>
      <c r="AA100" s="710">
        <f>+AA99</f>
        <v>8077429.8768939404</v>
      </c>
      <c r="AB100" s="711">
        <f>+AB99</f>
        <v>450833.29545454547</v>
      </c>
      <c r="AC100" s="711">
        <f t="shared" si="14"/>
        <v>7626596.5814393945</v>
      </c>
      <c r="AD100" s="684">
        <f>+AA$29*AC100+AB100</f>
        <v>2173981.7126024598</v>
      </c>
      <c r="AE100" s="710">
        <f>+AE99</f>
        <v>80463.011363636469</v>
      </c>
      <c r="AF100" s="711">
        <f>+AF99</f>
        <v>4597.886363636364</v>
      </c>
      <c r="AG100" s="711">
        <f t="shared" si="15"/>
        <v>75865.125000000102</v>
      </c>
      <c r="AH100" s="684">
        <f>+AE$29*AG100+AF100</f>
        <v>21738.80481455124</v>
      </c>
      <c r="AI100" s="710">
        <f>+AI99</f>
        <v>5566143.2992424276</v>
      </c>
      <c r="AJ100" s="711">
        <f>+AJ99</f>
        <v>295547.43181818182</v>
      </c>
      <c r="AK100" s="711">
        <f t="shared" si="19"/>
        <v>5270595.8674242459</v>
      </c>
      <c r="AL100" s="684">
        <f>+AI$29*AK100+AJ100</f>
        <v>1486382.5349205339</v>
      </c>
      <c r="AM100" s="710">
        <f>+AM99</f>
        <v>2051037.9401136374</v>
      </c>
      <c r="AN100" s="711">
        <f>+AN99</f>
        <v>110866.91568181818</v>
      </c>
      <c r="AO100" s="711">
        <f t="shared" si="16"/>
        <v>1940171.0244318191</v>
      </c>
      <c r="AP100" s="684">
        <f>+AM$29*AO100+AN100</f>
        <v>549227.93216486939</v>
      </c>
      <c r="AQ100" s="710">
        <f>+AQ99</f>
        <v>16967479.448863629</v>
      </c>
      <c r="AR100" s="711">
        <f>+AR99</f>
        <v>904932.23727272719</v>
      </c>
      <c r="AS100" s="711">
        <f t="shared" si="17"/>
        <v>16062547.211590903</v>
      </c>
      <c r="AT100" s="684">
        <f>+AQ$29*AS100+AR100</f>
        <v>4534094.0144114243</v>
      </c>
      <c r="AU100" s="470"/>
      <c r="AV100" s="470"/>
      <c r="AW100" s="470"/>
      <c r="AX100" s="683"/>
      <c r="AY100" s="470"/>
      <c r="AZ100" s="470"/>
      <c r="BA100" s="470"/>
      <c r="BB100" s="683"/>
      <c r="BC100" s="470"/>
      <c r="BD100" s="470"/>
      <c r="BE100" s="470"/>
      <c r="BF100" s="683"/>
      <c r="BG100" s="470"/>
      <c r="BH100" s="470"/>
      <c r="BI100" s="470"/>
      <c r="BJ100" s="683"/>
      <c r="BK100" s="470"/>
      <c r="BL100" s="470"/>
      <c r="BM100" s="470"/>
      <c r="BN100" s="683"/>
      <c r="BO100" s="470"/>
      <c r="BP100" s="470"/>
      <c r="BQ100" s="470"/>
      <c r="BR100" s="683"/>
      <c r="BS100" s="710">
        <f>+BS99</f>
        <v>157906.84090909117</v>
      </c>
      <c r="BT100" s="711">
        <f>+BT99</f>
        <v>8310.886363636364</v>
      </c>
      <c r="BU100" s="711">
        <f t="shared" si="18"/>
        <v>149595.95454545482</v>
      </c>
      <c r="BV100" s="684">
        <f>+BS$29*BU100+BT100</f>
        <v>42110.501897788665</v>
      </c>
      <c r="BW100" s="710">
        <f>+BW99</f>
        <v>11104193.625000015</v>
      </c>
      <c r="BX100" s="711">
        <f>+BX99</f>
        <v>576841.22727272729</v>
      </c>
      <c r="BY100" s="711">
        <f t="shared" si="20"/>
        <v>10527352.397727288</v>
      </c>
      <c r="BZ100" s="684">
        <f>+BW$29*BY100+BX100</f>
        <v>2871834.4344482319</v>
      </c>
      <c r="CA100" s="710">
        <f>+CA99</f>
        <v>1047852.9600000017</v>
      </c>
      <c r="CB100" s="711">
        <f>+CB99</f>
        <v>54433.919999999998</v>
      </c>
      <c r="CC100" s="711">
        <f t="shared" si="21"/>
        <v>993419.04000000167</v>
      </c>
      <c r="CD100" s="684">
        <f>+CA$29*CC100+CB100</f>
        <v>278886.39077924337</v>
      </c>
      <c r="CE100" s="710">
        <f>+CE99</f>
        <v>90956.810000000172</v>
      </c>
      <c r="CF100" s="711">
        <f>+CF99</f>
        <v>4725.0290909090909</v>
      </c>
      <c r="CG100" s="711">
        <f t="shared" si="22"/>
        <v>86231.780909091089</v>
      </c>
      <c r="CH100" s="684">
        <f>+CE$29*CG100+CF100</f>
        <v>24208.183233736727</v>
      </c>
      <c r="CI100" s="710">
        <f>+CI99</f>
        <v>250345.22727272686</v>
      </c>
      <c r="CJ100" s="711">
        <f>+CJ99</f>
        <v>12362.727272727272</v>
      </c>
      <c r="CK100" s="711">
        <f t="shared" si="24"/>
        <v>237982.49999999959</v>
      </c>
      <c r="CL100" s="684">
        <f>+CI$29*CK100+CJ100</f>
        <v>64243.599147459405</v>
      </c>
      <c r="CM100" s="967">
        <f t="shared" si="25"/>
        <v>20085024.86935842</v>
      </c>
      <c r="CN100" s="708">
        <f>+CM100</f>
        <v>20085024.86935842</v>
      </c>
      <c r="CO100" s="679"/>
      <c r="CR100" s="710"/>
      <c r="CS100" s="711"/>
      <c r="CT100" s="711"/>
      <c r="CU100" s="684"/>
    </row>
    <row r="101" spans="1:99">
      <c r="A101" s="514" t="s">
        <v>609</v>
      </c>
      <c r="B101" s="474">
        <v>2037</v>
      </c>
      <c r="C101" s="470">
        <f>+E100</f>
        <v>7021223.7494318113</v>
      </c>
      <c r="D101" s="470">
        <f>+C$31</f>
        <v>445791.98409090913</v>
      </c>
      <c r="E101" s="470">
        <f t="shared" si="6"/>
        <v>6575431.7653409019</v>
      </c>
      <c r="F101" s="683">
        <f>+C$28*E101+D101</f>
        <v>1879255.0872127588</v>
      </c>
      <c r="G101" s="470">
        <f>+I100</f>
        <v>1795531.6179545433</v>
      </c>
      <c r="H101" s="470">
        <f>+G$31</f>
        <v>115840.74954545456</v>
      </c>
      <c r="I101" s="470">
        <f t="shared" si="30"/>
        <v>1679690.8684090888</v>
      </c>
      <c r="J101" s="683">
        <f>+G$28*I101+H101</f>
        <v>482018.20685046498</v>
      </c>
      <c r="K101" s="702">
        <f>+M100</f>
        <v>4504941.4767613607</v>
      </c>
      <c r="L101" s="470">
        <f>+K$31</f>
        <v>305419.76113636367</v>
      </c>
      <c r="M101" s="470">
        <f t="shared" si="8"/>
        <v>4199521.7156249974</v>
      </c>
      <c r="N101" s="683">
        <f>+K$28*M101+L101</f>
        <v>1220927.6159723122</v>
      </c>
      <c r="O101" s="702">
        <f>+Q100</f>
        <v>2008491.356060602</v>
      </c>
      <c r="P101" s="470">
        <f>+O$31</f>
        <v>119316.31818181818</v>
      </c>
      <c r="Q101" s="470">
        <f t="shared" si="11"/>
        <v>1889175.0378787839</v>
      </c>
      <c r="R101" s="683">
        <f>+O$28*Q101+P101</f>
        <v>531161.92905291822</v>
      </c>
      <c r="S101" s="710">
        <f>+U100</f>
        <v>884454.86606060283</v>
      </c>
      <c r="T101" s="711">
        <f>+S$31</f>
        <v>58315.705454545445</v>
      </c>
      <c r="U101" s="711">
        <f t="shared" si="12"/>
        <v>826139.16060605738</v>
      </c>
      <c r="V101" s="684">
        <f>+S$28*U101+T101</f>
        <v>238416.42690297836</v>
      </c>
      <c r="W101" s="710">
        <f>+Y100</f>
        <v>11670442.496212129</v>
      </c>
      <c r="X101" s="711">
        <f>+W$31</f>
        <v>693293.61363636365</v>
      </c>
      <c r="Y101" s="711">
        <f t="shared" si="13"/>
        <v>10977148.882575765</v>
      </c>
      <c r="Z101" s="684">
        <f>+W$28*Y101+X101</f>
        <v>3086343.752729672</v>
      </c>
      <c r="AA101" s="710">
        <f>+AC100</f>
        <v>7626596.5814393945</v>
      </c>
      <c r="AB101" s="711">
        <f>+AA$31</f>
        <v>450833.29545454547</v>
      </c>
      <c r="AC101" s="711">
        <f t="shared" si="14"/>
        <v>7175763.2859848486</v>
      </c>
      <c r="AD101" s="684">
        <f>+AA$28*AC101+AB101</f>
        <v>2015170.40277793</v>
      </c>
      <c r="AE101" s="710">
        <f>+AG100</f>
        <v>75865.125000000102</v>
      </c>
      <c r="AF101" s="711">
        <f>+AE$31</f>
        <v>4597.886363636364</v>
      </c>
      <c r="AG101" s="711">
        <f t="shared" si="15"/>
        <v>71267.238636363734</v>
      </c>
      <c r="AH101" s="684">
        <f>+AE$28*AG101+AF101</f>
        <v>20134.350080754863</v>
      </c>
      <c r="AI101" s="710">
        <f>+AK100</f>
        <v>5270595.8674242459</v>
      </c>
      <c r="AJ101" s="711">
        <f>+AI$31</f>
        <v>295547.43181818182</v>
      </c>
      <c r="AK101" s="711">
        <f t="shared" si="19"/>
        <v>4975048.4356060643</v>
      </c>
      <c r="AL101" s="684">
        <f>+AI$28*AK101+AJ101</f>
        <v>1380122.349966639</v>
      </c>
      <c r="AM101" s="710">
        <f>+AO100</f>
        <v>1940171.0244318191</v>
      </c>
      <c r="AN101" s="711">
        <f>+AM$31</f>
        <v>110866.91568181818</v>
      </c>
      <c r="AO101" s="711">
        <f t="shared" si="16"/>
        <v>1829304.1087500008</v>
      </c>
      <c r="AP101" s="684">
        <f>+AM$28*AO101+AN101</f>
        <v>509660.49120094255</v>
      </c>
      <c r="AQ101" s="710">
        <f>+AS100</f>
        <v>16062547.211590903</v>
      </c>
      <c r="AR101" s="711">
        <f>+AQ$31</f>
        <v>904932.23727272719</v>
      </c>
      <c r="AS101" s="711">
        <f t="shared" si="17"/>
        <v>15157614.974318177</v>
      </c>
      <c r="AT101" s="684">
        <f>+AQ$28*AS101+AR101</f>
        <v>4209336.050196466</v>
      </c>
      <c r="AU101" s="470"/>
      <c r="AV101" s="470"/>
      <c r="AW101" s="470"/>
      <c r="AX101" s="683"/>
      <c r="AY101" s="470"/>
      <c r="AZ101" s="470"/>
      <c r="BA101" s="470"/>
      <c r="BB101" s="683"/>
      <c r="BC101" s="470"/>
      <c r="BD101" s="470"/>
      <c r="BE101" s="470"/>
      <c r="BF101" s="683"/>
      <c r="BG101" s="470"/>
      <c r="BH101" s="470"/>
      <c r="BI101" s="470"/>
      <c r="BJ101" s="683"/>
      <c r="BK101" s="470"/>
      <c r="BL101" s="470"/>
      <c r="BM101" s="470"/>
      <c r="BN101" s="683"/>
      <c r="BO101" s="470"/>
      <c r="BP101" s="470"/>
      <c r="BQ101" s="470"/>
      <c r="BR101" s="683"/>
      <c r="BS101" s="710">
        <f>+BU100</f>
        <v>149595.95454545482</v>
      </c>
      <c r="BT101" s="711">
        <f>+BS$31</f>
        <v>8310.886363636364</v>
      </c>
      <c r="BU101" s="711">
        <f t="shared" si="18"/>
        <v>141285.06818181847</v>
      </c>
      <c r="BV101" s="684">
        <f>+BS$28*BU101+BT101</f>
        <v>39111.439009960064</v>
      </c>
      <c r="BW101" s="710">
        <f>+BY100</f>
        <v>10527352.397727288</v>
      </c>
      <c r="BX101" s="711">
        <f>+BW$31</f>
        <v>576841.22727272729</v>
      </c>
      <c r="BY101" s="711">
        <f t="shared" si="20"/>
        <v>9950511.1704545617</v>
      </c>
      <c r="BZ101" s="684">
        <f>+BW$28*BY101+BX101</f>
        <v>2746081.3820002591</v>
      </c>
      <c r="CA101" s="710">
        <f>+CC100</f>
        <v>993419.04000000167</v>
      </c>
      <c r="CB101" s="711">
        <f>+CA$31</f>
        <v>54433.919999999998</v>
      </c>
      <c r="CC101" s="711">
        <f t="shared" si="21"/>
        <v>938985.12000000163</v>
      </c>
      <c r="CD101" s="684">
        <f>+CA$28*CC101+CB101</f>
        <v>259135.38629689219</v>
      </c>
      <c r="CE101" s="710">
        <f>+CG100</f>
        <v>86231.780909091089</v>
      </c>
      <c r="CF101" s="711">
        <f>+CE$31</f>
        <v>4725.0290909090909</v>
      </c>
      <c r="CG101" s="711">
        <f t="shared" si="22"/>
        <v>81506.751818182005</v>
      </c>
      <c r="CH101" s="684">
        <f>+CE$28*CG101+CF101</f>
        <v>22493.736235361721</v>
      </c>
      <c r="CI101" s="710">
        <f>+CK100</f>
        <v>237982.49999999959</v>
      </c>
      <c r="CJ101" s="711">
        <f>+CI$31</f>
        <v>12362.727272727272</v>
      </c>
      <c r="CK101" s="711">
        <f t="shared" si="24"/>
        <v>225619.77272727233</v>
      </c>
      <c r="CL101" s="684">
        <f>+CI$28*CK101+CJ101</f>
        <v>61548.488920200587</v>
      </c>
      <c r="CM101" s="967">
        <f t="shared" si="25"/>
        <v>18700917.09540651</v>
      </c>
      <c r="CN101" s="543"/>
      <c r="CO101" s="707">
        <f>+CM101</f>
        <v>18700917.09540651</v>
      </c>
      <c r="CR101" s="710"/>
      <c r="CS101" s="711"/>
      <c r="CT101" s="711"/>
      <c r="CU101" s="684"/>
    </row>
    <row r="102" spans="1:99">
      <c r="A102" s="514" t="s">
        <v>608</v>
      </c>
      <c r="B102" s="474">
        <v>2037</v>
      </c>
      <c r="C102" s="470">
        <f>+C101</f>
        <v>7021223.7494318113</v>
      </c>
      <c r="D102" s="470">
        <f>+D101</f>
        <v>445791.98409090913</v>
      </c>
      <c r="E102" s="470">
        <f t="shared" si="6"/>
        <v>6575431.7653409019</v>
      </c>
      <c r="F102" s="683">
        <f>+C$29*E102+D102</f>
        <v>1931440.886261221</v>
      </c>
      <c r="G102" s="470">
        <f>+G101</f>
        <v>1795531.6179545433</v>
      </c>
      <c r="H102" s="470">
        <f>+H101</f>
        <v>115840.74954545456</v>
      </c>
      <c r="I102" s="470">
        <f t="shared" si="30"/>
        <v>1679690.8684090888</v>
      </c>
      <c r="J102" s="683">
        <f>+G$29*I102+H102</f>
        <v>495349.04401075124</v>
      </c>
      <c r="K102" s="702">
        <f>+K101</f>
        <v>4504941.4767613607</v>
      </c>
      <c r="L102" s="470">
        <f>+L101</f>
        <v>305419.76113636367</v>
      </c>
      <c r="M102" s="470">
        <f t="shared" si="8"/>
        <v>4199521.7156249974</v>
      </c>
      <c r="N102" s="683">
        <f>+K$29*M102+L102</f>
        <v>1254257.0465211056</v>
      </c>
      <c r="O102" s="702">
        <f>+O101</f>
        <v>2008491.356060602</v>
      </c>
      <c r="P102" s="470">
        <f>+P101</f>
        <v>119316.31818181818</v>
      </c>
      <c r="Q102" s="470">
        <f t="shared" si="11"/>
        <v>1889175.0378787839</v>
      </c>
      <c r="R102" s="683">
        <f>+O$29*Q102+P102</f>
        <v>546155.33365545259</v>
      </c>
      <c r="S102" s="710">
        <f>+S101</f>
        <v>884454.86606060283</v>
      </c>
      <c r="T102" s="711">
        <f>+T101</f>
        <v>58315.705454545445</v>
      </c>
      <c r="U102" s="711">
        <f t="shared" si="12"/>
        <v>826139.16060605738</v>
      </c>
      <c r="V102" s="684">
        <f>+S$29*U102+T102</f>
        <v>244973.06588274849</v>
      </c>
      <c r="W102" s="710">
        <f>+W101</f>
        <v>11670442.496212129</v>
      </c>
      <c r="X102" s="711">
        <f>+X101</f>
        <v>693293.61363636365</v>
      </c>
      <c r="Y102" s="711">
        <f t="shared" si="13"/>
        <v>10977148.882575765</v>
      </c>
      <c r="Z102" s="684">
        <f>+W$29*Y102+X102</f>
        <v>3173463.7025907058</v>
      </c>
      <c r="AA102" s="710">
        <f>+AA101</f>
        <v>7626596.5814393945</v>
      </c>
      <c r="AB102" s="711">
        <f>+AB101</f>
        <v>450833.29545454547</v>
      </c>
      <c r="AC102" s="711">
        <f t="shared" si="14"/>
        <v>7175763.2859848486</v>
      </c>
      <c r="AD102" s="684">
        <f>+AA$29*AC102+AB102</f>
        <v>2072120.7224262282</v>
      </c>
      <c r="AE102" s="710">
        <f>+AE101</f>
        <v>75865.125000000102</v>
      </c>
      <c r="AF102" s="711">
        <f>+AF101</f>
        <v>4597.886363636364</v>
      </c>
      <c r="AG102" s="711">
        <f t="shared" si="15"/>
        <v>71267.238636363734</v>
      </c>
      <c r="AH102" s="684">
        <f>+AE$29*AG102+AF102</f>
        <v>20699.961272071552</v>
      </c>
      <c r="AI102" s="710">
        <f>+AI101</f>
        <v>5270595.8674242459</v>
      </c>
      <c r="AJ102" s="711">
        <f>+AJ101</f>
        <v>295547.43181818182</v>
      </c>
      <c r="AK102" s="711">
        <f t="shared" si="19"/>
        <v>4975048.4356060643</v>
      </c>
      <c r="AL102" s="684">
        <f>+AI$29*AK102+AJ102</f>
        <v>1419606.7347465705</v>
      </c>
      <c r="AM102" s="710">
        <f>+AM101</f>
        <v>1940171.0244318191</v>
      </c>
      <c r="AN102" s="711">
        <f>+AN101</f>
        <v>110866.91568181818</v>
      </c>
      <c r="AO102" s="711">
        <f t="shared" si="16"/>
        <v>1829304.1087500008</v>
      </c>
      <c r="AP102" s="684">
        <f>+AM$29*AO102+AN102</f>
        <v>524178.73122298077</v>
      </c>
      <c r="AQ102" s="710">
        <f>+AQ101</f>
        <v>16062547.211590903</v>
      </c>
      <c r="AR102" s="711">
        <f>+AR101</f>
        <v>904932.23727272719</v>
      </c>
      <c r="AS102" s="711">
        <f t="shared" si="17"/>
        <v>15157614.974318177</v>
      </c>
      <c r="AT102" s="684">
        <f>+AQ$29*AS102+AR102</f>
        <v>4329634.1959810751</v>
      </c>
      <c r="AU102" s="470"/>
      <c r="AV102" s="470"/>
      <c r="AW102" s="470"/>
      <c r="AX102" s="683"/>
      <c r="AY102" s="470"/>
      <c r="AZ102" s="470"/>
      <c r="BA102" s="470"/>
      <c r="BB102" s="683"/>
      <c r="BC102" s="470"/>
      <c r="BD102" s="470"/>
      <c r="BE102" s="470"/>
      <c r="BF102" s="683"/>
      <c r="BG102" s="470"/>
      <c r="BH102" s="470"/>
      <c r="BI102" s="470"/>
      <c r="BJ102" s="683"/>
      <c r="BK102" s="470"/>
      <c r="BL102" s="470"/>
      <c r="BM102" s="470"/>
      <c r="BN102" s="683"/>
      <c r="BO102" s="470"/>
      <c r="BP102" s="470"/>
      <c r="BQ102" s="470"/>
      <c r="BR102" s="683"/>
      <c r="BS102" s="710">
        <f>+BS101</f>
        <v>149595.95454545482</v>
      </c>
      <c r="BT102" s="711">
        <f>+BT101</f>
        <v>8310.886363636364</v>
      </c>
      <c r="BU102" s="711">
        <f t="shared" si="18"/>
        <v>141285.06818181847</v>
      </c>
      <c r="BV102" s="684">
        <f>+BS$29*BU102+BT102</f>
        <v>40232.745479224657</v>
      </c>
      <c r="BW102" s="710">
        <f>+BW101</f>
        <v>10527352.397727288</v>
      </c>
      <c r="BX102" s="711">
        <f>+BX101</f>
        <v>576841.22727272729</v>
      </c>
      <c r="BY102" s="711">
        <f t="shared" si="20"/>
        <v>9950511.1704545617</v>
      </c>
      <c r="BZ102" s="684">
        <f>+BW$29*BY102+BX102</f>
        <v>2746081.3820002591</v>
      </c>
      <c r="CA102" s="710">
        <f>+CA101</f>
        <v>993419.04000000167</v>
      </c>
      <c r="CB102" s="711">
        <f>+CB101</f>
        <v>54433.919999999998</v>
      </c>
      <c r="CC102" s="711">
        <f t="shared" si="21"/>
        <v>938985.12000000163</v>
      </c>
      <c r="CD102" s="684">
        <f>+CA$29*CC102+CB102</f>
        <v>266587.62525709311</v>
      </c>
      <c r="CE102" s="710">
        <f>+CE101</f>
        <v>86231.780909091089</v>
      </c>
      <c r="CF102" s="711">
        <f>+CF101</f>
        <v>4725.0290909090909</v>
      </c>
      <c r="CG102" s="711">
        <f t="shared" si="22"/>
        <v>81506.751818182005</v>
      </c>
      <c r="CH102" s="684">
        <f>+CE$29*CG102+CF102</f>
        <v>23140.61314371878</v>
      </c>
      <c r="CI102" s="710">
        <f>+CI101</f>
        <v>237982.49999999959</v>
      </c>
      <c r="CJ102" s="711">
        <f>+CJ101</f>
        <v>12362.727272727272</v>
      </c>
      <c r="CK102" s="711">
        <f t="shared" si="24"/>
        <v>225619.77272727233</v>
      </c>
      <c r="CL102" s="684">
        <f>+CI$29*CK102+CJ102</f>
        <v>61548.488920200587</v>
      </c>
      <c r="CM102" s="967">
        <f t="shared" si="25"/>
        <v>19149470.279371407</v>
      </c>
      <c r="CN102" s="708">
        <f>+CM102</f>
        <v>19149470.279371407</v>
      </c>
      <c r="CO102" s="679"/>
      <c r="CR102" s="710"/>
      <c r="CS102" s="711"/>
      <c r="CT102" s="711"/>
      <c r="CU102" s="684"/>
    </row>
    <row r="103" spans="1:99">
      <c r="A103" s="514" t="s">
        <v>609</v>
      </c>
      <c r="B103" s="474">
        <v>2038</v>
      </c>
      <c r="C103" s="470">
        <f>+E102</f>
        <v>6575431.7653409019</v>
      </c>
      <c r="D103" s="470">
        <f>+C$31</f>
        <v>445791.98409090913</v>
      </c>
      <c r="E103" s="470">
        <f t="shared" si="6"/>
        <v>6129639.7812499925</v>
      </c>
      <c r="F103" s="683">
        <f>+C$28*E103+D103</f>
        <v>1782071.148018057</v>
      </c>
      <c r="G103" s="470">
        <f>+I102</f>
        <v>1679690.8684090888</v>
      </c>
      <c r="H103" s="470">
        <f>+G$31</f>
        <v>115840.74954545456</v>
      </c>
      <c r="I103" s="470">
        <f t="shared" si="30"/>
        <v>1563850.1188636343</v>
      </c>
      <c r="J103" s="683">
        <f>+G$28*I103+H103</f>
        <v>456764.58910529182</v>
      </c>
      <c r="K103" s="702">
        <f>+M102</f>
        <v>4199521.7156249974</v>
      </c>
      <c r="L103" s="470">
        <f>+K$31</f>
        <v>305419.76113636367</v>
      </c>
      <c r="M103" s="470">
        <f t="shared" si="8"/>
        <v>3894101.9544886337</v>
      </c>
      <c r="N103" s="683">
        <f>+K$28*M103+L103</f>
        <v>1154345.2265296977</v>
      </c>
      <c r="O103" s="702">
        <f>+Q102</f>
        <v>1889175.0378787839</v>
      </c>
      <c r="P103" s="470">
        <f>+O$31</f>
        <v>119316.31818181818</v>
      </c>
      <c r="Q103" s="470">
        <f t="shared" si="11"/>
        <v>1769858.7196969658</v>
      </c>
      <c r="R103" s="683">
        <f>+O$28*Q103+P103</f>
        <v>505150.62731369084</v>
      </c>
      <c r="S103" s="710">
        <f>+U102</f>
        <v>826139.16060605738</v>
      </c>
      <c r="T103" s="711">
        <f>+S$31</f>
        <v>58315.705454545445</v>
      </c>
      <c r="U103" s="711">
        <f t="shared" si="12"/>
        <v>767823.45515151194</v>
      </c>
      <c r="V103" s="684">
        <f>+S$28*U103+T103</f>
        <v>225703.43480073599</v>
      </c>
      <c r="W103" s="710">
        <f>+Y102</f>
        <v>10977148.882575765</v>
      </c>
      <c r="X103" s="711">
        <f>+W$31</f>
        <v>693293.61363636365</v>
      </c>
      <c r="Y103" s="711">
        <f t="shared" si="13"/>
        <v>10283855.268939402</v>
      </c>
      <c r="Z103" s="684">
        <f>+W$28*Y103+X103</f>
        <v>2935203.7439448317</v>
      </c>
      <c r="AA103" s="710">
        <f>+AC102</f>
        <v>7175763.2859848486</v>
      </c>
      <c r="AB103" s="711">
        <f>+AA$31</f>
        <v>450833.29545454547</v>
      </c>
      <c r="AC103" s="711">
        <f t="shared" si="14"/>
        <v>6724929.9905303027</v>
      </c>
      <c r="AD103" s="684">
        <f>+AA$28*AC103+AB103</f>
        <v>1916887.4431555183</v>
      </c>
      <c r="AE103" s="710">
        <f>+AG102</f>
        <v>71267.238636363734</v>
      </c>
      <c r="AF103" s="711">
        <f>+AE$31</f>
        <v>4597.886363636364</v>
      </c>
      <c r="AG103" s="711">
        <f t="shared" si="15"/>
        <v>66669.352272727367</v>
      </c>
      <c r="AH103" s="684">
        <f>+AE$28*AG103+AF103</f>
        <v>19131.997582876247</v>
      </c>
      <c r="AI103" s="710">
        <f>+AK102</f>
        <v>4975048.4356060643</v>
      </c>
      <c r="AJ103" s="711">
        <f>+AI$31</f>
        <v>295547.43181818182</v>
      </c>
      <c r="AK103" s="711">
        <f t="shared" si="19"/>
        <v>4679501.0037878826</v>
      </c>
      <c r="AL103" s="684">
        <f>+AI$28*AK103+AJ103</f>
        <v>1315692.1568093048</v>
      </c>
      <c r="AM103" s="710">
        <f>+AO102</f>
        <v>1829304.1087500008</v>
      </c>
      <c r="AN103" s="711">
        <f>+AM$31</f>
        <v>110866.91568181818</v>
      </c>
      <c r="AO103" s="711">
        <f t="shared" si="16"/>
        <v>1718437.1930681826</v>
      </c>
      <c r="AP103" s="684">
        <f>+AM$28*AO103+AN103</f>
        <v>485491.18359372288</v>
      </c>
      <c r="AQ103" s="710">
        <f>+AS102</f>
        <v>15157614.974318177</v>
      </c>
      <c r="AR103" s="711">
        <f>+AQ$31</f>
        <v>904932.23727272719</v>
      </c>
      <c r="AS103" s="711">
        <f t="shared" si="17"/>
        <v>14252682.73704545</v>
      </c>
      <c r="AT103" s="684">
        <f>+AQ$28*AS103+AR103</f>
        <v>4012058.2106189299</v>
      </c>
      <c r="AU103" s="470"/>
      <c r="AV103" s="470"/>
      <c r="AW103" s="470"/>
      <c r="AX103" s="683"/>
      <c r="AY103" s="470"/>
      <c r="AZ103" s="470"/>
      <c r="BA103" s="470"/>
      <c r="BB103" s="683"/>
      <c r="BC103" s="470"/>
      <c r="BD103" s="470"/>
      <c r="BE103" s="470"/>
      <c r="BF103" s="683"/>
      <c r="BG103" s="470"/>
      <c r="BH103" s="470"/>
      <c r="BI103" s="470"/>
      <c r="BJ103" s="683"/>
      <c r="BK103" s="470"/>
      <c r="BL103" s="470"/>
      <c r="BM103" s="470"/>
      <c r="BN103" s="683"/>
      <c r="BO103" s="470"/>
      <c r="BP103" s="470"/>
      <c r="BQ103" s="470"/>
      <c r="BR103" s="683"/>
      <c r="BS103" s="710">
        <f>+BU102</f>
        <v>141285.06818181847</v>
      </c>
      <c r="BT103" s="711">
        <f>+BS$31</f>
        <v>8310.886363636364</v>
      </c>
      <c r="BU103" s="711">
        <f t="shared" si="18"/>
        <v>132974.18181818211</v>
      </c>
      <c r="BV103" s="684">
        <f>+BS$28*BU103+BT103</f>
        <v>37299.641795470438</v>
      </c>
      <c r="BW103" s="710">
        <f>+BY102</f>
        <v>9950511.1704545617</v>
      </c>
      <c r="BX103" s="711">
        <f>+BW$31</f>
        <v>576841.22727272729</v>
      </c>
      <c r="BY103" s="711">
        <f t="shared" si="20"/>
        <v>9373669.9431818351</v>
      </c>
      <c r="BZ103" s="684">
        <f>+BW$28*BY103+BX103</f>
        <v>2620328.3295522863</v>
      </c>
      <c r="CA103" s="710">
        <f>+CC102</f>
        <v>938985.12000000163</v>
      </c>
      <c r="CB103" s="711">
        <f>+CA$31</f>
        <v>54433.919999999998</v>
      </c>
      <c r="CC103" s="711">
        <f t="shared" si="21"/>
        <v>884551.20000000158</v>
      </c>
      <c r="CD103" s="684">
        <f>+CA$28*CC103+CB103</f>
        <v>247268.63462750713</v>
      </c>
      <c r="CE103" s="710">
        <f>+CG102</f>
        <v>81506.751818182005</v>
      </c>
      <c r="CF103" s="711">
        <f>+CE$31</f>
        <v>4725.0290909090909</v>
      </c>
      <c r="CG103" s="711">
        <f t="shared" si="22"/>
        <v>76781.722727272921</v>
      </c>
      <c r="CH103" s="684">
        <f>+CE$28*CG103+CF103</f>
        <v>21463.666255973167</v>
      </c>
      <c r="CI103" s="710">
        <f>+CK102</f>
        <v>225619.77272727233</v>
      </c>
      <c r="CJ103" s="711">
        <f>+CI$31</f>
        <v>12362.727272727272</v>
      </c>
      <c r="CK103" s="711">
        <f t="shared" si="24"/>
        <v>213257.04545454506</v>
      </c>
      <c r="CL103" s="684">
        <f>+CI$28*CK103+CJ103</f>
        <v>58853.378692941769</v>
      </c>
      <c r="CM103" s="967">
        <f t="shared" si="25"/>
        <v>17793713.412396837</v>
      </c>
      <c r="CN103" s="543"/>
      <c r="CO103" s="707">
        <f>+CM103</f>
        <v>17793713.412396837</v>
      </c>
      <c r="CR103" s="710"/>
      <c r="CS103" s="711"/>
      <c r="CT103" s="711"/>
      <c r="CU103" s="684"/>
    </row>
    <row r="104" spans="1:99">
      <c r="A104" s="514" t="s">
        <v>608</v>
      </c>
      <c r="B104" s="474">
        <v>2038</v>
      </c>
      <c r="C104" s="470">
        <f>+C103</f>
        <v>6575431.7653409019</v>
      </c>
      <c r="D104" s="470">
        <f>+D103</f>
        <v>445791.98409090913</v>
      </c>
      <c r="E104" s="470">
        <f t="shared" si="6"/>
        <v>6129639.7812499925</v>
      </c>
      <c r="F104" s="683">
        <f>+C$29*E104+D104</f>
        <v>1830718.9267920472</v>
      </c>
      <c r="G104" s="470">
        <f>+G103</f>
        <v>1679690.8684090888</v>
      </c>
      <c r="H104" s="470">
        <f>+H103</f>
        <v>115840.74954545456</v>
      </c>
      <c r="I104" s="470">
        <f t="shared" si="30"/>
        <v>1563850.1188636343</v>
      </c>
      <c r="J104" s="683">
        <f>+G$29*I104+H104</f>
        <v>469176.05818555836</v>
      </c>
      <c r="K104" s="702">
        <f>+K103</f>
        <v>4199521.7156249974</v>
      </c>
      <c r="L104" s="470">
        <f>+L103</f>
        <v>305419.76113636367</v>
      </c>
      <c r="M104" s="470">
        <f t="shared" si="8"/>
        <v>3894101.9544886337</v>
      </c>
      <c r="N104" s="683">
        <f>+K$29*M104+L104</f>
        <v>1185250.6984931242</v>
      </c>
      <c r="O104" s="702">
        <f>+O103</f>
        <v>1889175.0378787839</v>
      </c>
      <c r="P104" s="470">
        <f>+P103</f>
        <v>119316.31818181818</v>
      </c>
      <c r="Q104" s="470">
        <f t="shared" si="11"/>
        <v>1769858.7196969658</v>
      </c>
      <c r="R104" s="683">
        <f>+O$29*Q104+P104</f>
        <v>519197.08004659147</v>
      </c>
      <c r="S104" s="710">
        <f>+S103</f>
        <v>826139.16060605738</v>
      </c>
      <c r="T104" s="711">
        <f>+T103</f>
        <v>58315.705454545445</v>
      </c>
      <c r="U104" s="711">
        <f t="shared" si="12"/>
        <v>767823.45515151194</v>
      </c>
      <c r="V104" s="684">
        <f>+S$29*U104+T104</f>
        <v>231797.2522054635</v>
      </c>
      <c r="W104" s="710">
        <f>+W103</f>
        <v>10977148.882575765</v>
      </c>
      <c r="X104" s="711">
        <f>+X103</f>
        <v>693293.61363636365</v>
      </c>
      <c r="Y104" s="711">
        <f t="shared" si="13"/>
        <v>10283855.268939402</v>
      </c>
      <c r="Z104" s="684">
        <f>+W$29*Y104+X104</f>
        <v>3016821.3811830636</v>
      </c>
      <c r="AA104" s="710">
        <f>+AA103</f>
        <v>7175763.2859848486</v>
      </c>
      <c r="AB104" s="711">
        <f>+AB103</f>
        <v>450833.29545454547</v>
      </c>
      <c r="AC104" s="711">
        <f t="shared" si="14"/>
        <v>6724929.9905303027</v>
      </c>
      <c r="AD104" s="684">
        <f>+AA$29*AC104+AB104</f>
        <v>1970259.7322499966</v>
      </c>
      <c r="AE104" s="710">
        <f>+AE103</f>
        <v>71267.238636363734</v>
      </c>
      <c r="AF104" s="711">
        <f>+AF103</f>
        <v>4597.886363636364</v>
      </c>
      <c r="AG104" s="711">
        <f t="shared" si="15"/>
        <v>66669.352272727367</v>
      </c>
      <c r="AH104" s="684">
        <f>+AE$29*AG104+AF104</f>
        <v>19661.117729591861</v>
      </c>
      <c r="AI104" s="710">
        <f>+AI103</f>
        <v>4975048.4356060643</v>
      </c>
      <c r="AJ104" s="711">
        <f>+AJ103</f>
        <v>295547.43181818182</v>
      </c>
      <c r="AK104" s="711">
        <f t="shared" si="19"/>
        <v>4679501.0037878826</v>
      </c>
      <c r="AL104" s="684">
        <f>+AI$29*AK104+AJ104</f>
        <v>1352830.9345726068</v>
      </c>
      <c r="AM104" s="710">
        <f>+AM103</f>
        <v>1829304.1087500008</v>
      </c>
      <c r="AN104" s="711">
        <f>+AN103</f>
        <v>110866.91568181818</v>
      </c>
      <c r="AO104" s="711">
        <f t="shared" si="16"/>
        <v>1718437.1930681826</v>
      </c>
      <c r="AP104" s="684">
        <f>+AM$29*AO104+AN104</f>
        <v>499129.53028109204</v>
      </c>
      <c r="AQ104" s="710">
        <f>+AQ103</f>
        <v>15157614.974318177</v>
      </c>
      <c r="AR104" s="711">
        <f>+AR103</f>
        <v>904932.23727272719</v>
      </c>
      <c r="AS104" s="711">
        <f t="shared" si="17"/>
        <v>14252682.73704545</v>
      </c>
      <c r="AT104" s="684">
        <f>+AQ$29*AS104+AR104</f>
        <v>4125174.3775507268</v>
      </c>
      <c r="AU104" s="470"/>
      <c r="AV104" s="470"/>
      <c r="AW104" s="470"/>
      <c r="AX104" s="683"/>
      <c r="AY104" s="470"/>
      <c r="AZ104" s="470"/>
      <c r="BA104" s="470"/>
      <c r="BB104" s="683"/>
      <c r="BC104" s="470"/>
      <c r="BD104" s="470"/>
      <c r="BE104" s="470"/>
      <c r="BF104" s="683"/>
      <c r="BG104" s="470"/>
      <c r="BH104" s="470"/>
      <c r="BI104" s="470"/>
      <c r="BJ104" s="683"/>
      <c r="BK104" s="470"/>
      <c r="BL104" s="470"/>
      <c r="BM104" s="470"/>
      <c r="BN104" s="683"/>
      <c r="BO104" s="470"/>
      <c r="BP104" s="470"/>
      <c r="BQ104" s="470"/>
      <c r="BR104" s="683"/>
      <c r="BS104" s="710">
        <f>+BS103</f>
        <v>141285.06818181847</v>
      </c>
      <c r="BT104" s="711">
        <f>+BT103</f>
        <v>8310.886363636364</v>
      </c>
      <c r="BU104" s="711">
        <f t="shared" si="18"/>
        <v>132974.18181818211</v>
      </c>
      <c r="BV104" s="684">
        <f>+BS$29*BU104+BT104</f>
        <v>38354.989060660642</v>
      </c>
      <c r="BW104" s="710">
        <f>+BW103</f>
        <v>9950511.1704545617</v>
      </c>
      <c r="BX104" s="711">
        <f>+BX103</f>
        <v>576841.22727272729</v>
      </c>
      <c r="BY104" s="711">
        <f t="shared" si="20"/>
        <v>9373669.9431818351</v>
      </c>
      <c r="BZ104" s="684">
        <f>+BW$29*BY104+BX104</f>
        <v>2620328.3295522863</v>
      </c>
      <c r="CA104" s="710">
        <f>+CA103</f>
        <v>938985.12000000163</v>
      </c>
      <c r="CB104" s="711">
        <f>+CB103</f>
        <v>54433.919999999998</v>
      </c>
      <c r="CC104" s="711">
        <f t="shared" si="21"/>
        <v>884551.20000000158</v>
      </c>
      <c r="CD104" s="684">
        <f>+CA$29*CC104+CB104</f>
        <v>254288.85973494279</v>
      </c>
      <c r="CE104" s="710">
        <f>+CE103</f>
        <v>81506.751818182005</v>
      </c>
      <c r="CF104" s="711">
        <f>+CF103</f>
        <v>4725.0290909090909</v>
      </c>
      <c r="CG104" s="711">
        <f t="shared" si="22"/>
        <v>76781.722727272921</v>
      </c>
      <c r="CH104" s="684">
        <f>+CE$29*CG104+CF104</f>
        <v>22073.043053700829</v>
      </c>
      <c r="CI104" s="710">
        <f>+CI103</f>
        <v>225619.77272727233</v>
      </c>
      <c r="CJ104" s="711">
        <f>+CJ103</f>
        <v>12362.727272727272</v>
      </c>
      <c r="CK104" s="711">
        <f t="shared" si="24"/>
        <v>213257.04545454506</v>
      </c>
      <c r="CL104" s="684">
        <f>+CI$29*CK104+CJ104</f>
        <v>58853.378692941769</v>
      </c>
      <c r="CM104" s="967">
        <f t="shared" si="25"/>
        <v>18213915.689384393</v>
      </c>
      <c r="CN104" s="708">
        <f>+CM104</f>
        <v>18213915.689384393</v>
      </c>
      <c r="CO104" s="679"/>
      <c r="CR104" s="710"/>
      <c r="CS104" s="711"/>
      <c r="CT104" s="711"/>
      <c r="CU104" s="684"/>
    </row>
    <row r="105" spans="1:99">
      <c r="A105" s="514" t="s">
        <v>609</v>
      </c>
      <c r="B105" s="474">
        <v>2039</v>
      </c>
      <c r="C105" s="470">
        <f>+E104</f>
        <v>6129639.7812499925</v>
      </c>
      <c r="D105" s="470">
        <f>+C$31</f>
        <v>445791.98409090913</v>
      </c>
      <c r="E105" s="470">
        <f t="shared" si="6"/>
        <v>5683847.7971590832</v>
      </c>
      <c r="F105" s="683">
        <f>+C$28*E105+D105</f>
        <v>1684887.2088233551</v>
      </c>
      <c r="G105" s="470">
        <f>+I104</f>
        <v>1563850.1188636343</v>
      </c>
      <c r="H105" s="470">
        <f>+G$31</f>
        <v>115840.74954545456</v>
      </c>
      <c r="I105" s="470">
        <f t="shared" si="30"/>
        <v>1448009.3693181798</v>
      </c>
      <c r="J105" s="683">
        <f>+G$28*I105+H105</f>
        <v>431510.97136011865</v>
      </c>
      <c r="K105" s="702">
        <f>+M104</f>
        <v>3894101.9544886337</v>
      </c>
      <c r="L105" s="470">
        <f>+K$31</f>
        <v>305419.76113636367</v>
      </c>
      <c r="M105" s="470">
        <f t="shared" si="8"/>
        <v>3588682.1933522699</v>
      </c>
      <c r="N105" s="683">
        <f>+K$28*M105+L105</f>
        <v>1087762.8370870831</v>
      </c>
      <c r="O105" s="702">
        <f>+Q104</f>
        <v>1769858.7196969658</v>
      </c>
      <c r="P105" s="470">
        <f>+O$31</f>
        <v>119316.31818181818</v>
      </c>
      <c r="Q105" s="470">
        <f t="shared" ref="Q105:Q132" si="31">+O105-P105</f>
        <v>1650542.4015151476</v>
      </c>
      <c r="R105" s="683">
        <f>+O$28*Q105+P105</f>
        <v>479139.32557446341</v>
      </c>
      <c r="S105" s="710">
        <f>+U104</f>
        <v>767823.45515151194</v>
      </c>
      <c r="T105" s="711">
        <f>+S$31</f>
        <v>58315.705454545445</v>
      </c>
      <c r="U105" s="711">
        <f t="shared" si="12"/>
        <v>709507.74969696649</v>
      </c>
      <c r="V105" s="684">
        <f>+S$28*U105+T105</f>
        <v>212990.44269849363</v>
      </c>
      <c r="W105" s="710">
        <f>+Y104</f>
        <v>10283855.268939402</v>
      </c>
      <c r="X105" s="711">
        <f>+W$31</f>
        <v>693293.61363636365</v>
      </c>
      <c r="Y105" s="711">
        <f t="shared" si="13"/>
        <v>9590561.6553030387</v>
      </c>
      <c r="Z105" s="684">
        <f>+W$28*Y105+X105</f>
        <v>2784063.7351599913</v>
      </c>
      <c r="AA105" s="710">
        <f>+AC104</f>
        <v>6724929.9905303027</v>
      </c>
      <c r="AB105" s="711">
        <f>+AA$31</f>
        <v>450833.29545454547</v>
      </c>
      <c r="AC105" s="711">
        <f t="shared" si="14"/>
        <v>6274096.6950757569</v>
      </c>
      <c r="AD105" s="684">
        <f>+AA$28*AC105+AB105</f>
        <v>1818604.4835331067</v>
      </c>
      <c r="AE105" s="710">
        <f>+AG104</f>
        <v>66669.352272727367</v>
      </c>
      <c r="AF105" s="711">
        <f>+AE$31</f>
        <v>4597.886363636364</v>
      </c>
      <c r="AG105" s="711">
        <f t="shared" si="15"/>
        <v>62071.465909090999</v>
      </c>
      <c r="AH105" s="684">
        <f>+AE$28*AG105+AF105</f>
        <v>18129.645084997635</v>
      </c>
      <c r="AI105" s="710">
        <f>+AK104</f>
        <v>4679501.0037878826</v>
      </c>
      <c r="AJ105" s="711">
        <f>+AI$31</f>
        <v>295547.43181818182</v>
      </c>
      <c r="AK105" s="711">
        <f t="shared" si="19"/>
        <v>4383953.571969701</v>
      </c>
      <c r="AL105" s="684">
        <f>+AI$28*AK105+AJ105</f>
        <v>1251261.963651971</v>
      </c>
      <c r="AM105" s="710">
        <f>+AO104</f>
        <v>1718437.1930681826</v>
      </c>
      <c r="AN105" s="711">
        <f>+AM$31</f>
        <v>110866.91568181818</v>
      </c>
      <c r="AO105" s="711">
        <f t="shared" si="16"/>
        <v>1607570.2773863643</v>
      </c>
      <c r="AP105" s="684">
        <f>+AM$28*AO105+AN105</f>
        <v>461321.8759865032</v>
      </c>
      <c r="AQ105" s="710">
        <f>+AS104</f>
        <v>14252682.73704545</v>
      </c>
      <c r="AR105" s="711">
        <f>+AQ$31</f>
        <v>904932.23727272719</v>
      </c>
      <c r="AS105" s="711">
        <f t="shared" si="17"/>
        <v>13347750.499772724</v>
      </c>
      <c r="AT105" s="684">
        <f>+AQ$28*AS105+AR105</f>
        <v>3814780.3710413934</v>
      </c>
      <c r="AU105" s="470"/>
      <c r="AV105" s="470"/>
      <c r="AW105" s="470"/>
      <c r="AX105" s="683"/>
      <c r="AY105" s="470"/>
      <c r="AZ105" s="470"/>
      <c r="BA105" s="470"/>
      <c r="BB105" s="683"/>
      <c r="BC105" s="470"/>
      <c r="BD105" s="470"/>
      <c r="BE105" s="470"/>
      <c r="BF105" s="683"/>
      <c r="BG105" s="470"/>
      <c r="BH105" s="470"/>
      <c r="BI105" s="470"/>
      <c r="BJ105" s="683"/>
      <c r="BK105" s="470"/>
      <c r="BL105" s="470"/>
      <c r="BM105" s="470"/>
      <c r="BN105" s="683"/>
      <c r="BO105" s="470"/>
      <c r="BP105" s="470"/>
      <c r="BQ105" s="470"/>
      <c r="BR105" s="683"/>
      <c r="BS105" s="710">
        <f>+BU104</f>
        <v>132974.18181818211</v>
      </c>
      <c r="BT105" s="711">
        <f>+BS$31</f>
        <v>8310.886363636364</v>
      </c>
      <c r="BU105" s="711">
        <f t="shared" si="18"/>
        <v>124663.29545454575</v>
      </c>
      <c r="BV105" s="684">
        <f>+BS$28*BU105+BT105</f>
        <v>35487.844580980818</v>
      </c>
      <c r="BW105" s="710">
        <f>+BY104</f>
        <v>9373669.9431818351</v>
      </c>
      <c r="BX105" s="711">
        <f>+BW$31</f>
        <v>576841.22727272729</v>
      </c>
      <c r="BY105" s="711">
        <f t="shared" si="20"/>
        <v>8796828.7159091085</v>
      </c>
      <c r="BZ105" s="684">
        <f>+BW$28*BY105+BX105</f>
        <v>2494575.2771043144</v>
      </c>
      <c r="CA105" s="710">
        <f>+CC104</f>
        <v>884551.20000000158</v>
      </c>
      <c r="CB105" s="711">
        <f>+CA$31</f>
        <v>54433.919999999998</v>
      </c>
      <c r="CC105" s="711">
        <f t="shared" si="21"/>
        <v>830117.28000000154</v>
      </c>
      <c r="CD105" s="684">
        <f>+CA$28*CC105+CB105</f>
        <v>235401.88295812206</v>
      </c>
      <c r="CE105" s="710">
        <f>+CG104</f>
        <v>76781.722727272921</v>
      </c>
      <c r="CF105" s="711">
        <f>+CE$31</f>
        <v>4725.0290909090909</v>
      </c>
      <c r="CG105" s="711">
        <f t="shared" si="22"/>
        <v>72056.693636363838</v>
      </c>
      <c r="CH105" s="684">
        <f>+CE$28*CG105+CF105</f>
        <v>20433.596276584612</v>
      </c>
      <c r="CI105" s="710">
        <f>+CK104</f>
        <v>213257.04545454506</v>
      </c>
      <c r="CJ105" s="711">
        <f>+CI$31</f>
        <v>12362.727272727272</v>
      </c>
      <c r="CK105" s="711">
        <f t="shared" si="24"/>
        <v>200894.3181818178</v>
      </c>
      <c r="CL105" s="684">
        <f>+CI$28*CK105+CJ105</f>
        <v>56158.268465682959</v>
      </c>
      <c r="CM105" s="967">
        <f t="shared" si="25"/>
        <v>16886509.729387164</v>
      </c>
      <c r="CN105" s="543"/>
      <c r="CO105" s="707">
        <f>+CM105</f>
        <v>16886509.729387164</v>
      </c>
      <c r="CR105" s="710"/>
      <c r="CS105" s="711"/>
      <c r="CT105" s="711"/>
      <c r="CU105" s="684"/>
    </row>
    <row r="106" spans="1:99">
      <c r="A106" s="514" t="s">
        <v>608</v>
      </c>
      <c r="B106" s="474">
        <v>2039</v>
      </c>
      <c r="C106" s="470">
        <f>+C105</f>
        <v>6129639.7812499925</v>
      </c>
      <c r="D106" s="470">
        <f>+D105</f>
        <v>445791.98409090913</v>
      </c>
      <c r="E106" s="470">
        <f t="shared" si="6"/>
        <v>5683847.7971590832</v>
      </c>
      <c r="F106" s="683">
        <f>+C$29*E106+D106</f>
        <v>1729996.9673228734</v>
      </c>
      <c r="G106" s="470">
        <f>+G105</f>
        <v>1563850.1188636343</v>
      </c>
      <c r="H106" s="470">
        <f>+H105</f>
        <v>115840.74954545456</v>
      </c>
      <c r="I106" s="470">
        <f t="shared" si="30"/>
        <v>1448009.3693181798</v>
      </c>
      <c r="J106" s="683">
        <f>+G$29*I106+H106</f>
        <v>443003.07236036548</v>
      </c>
      <c r="K106" s="702">
        <f>+K105</f>
        <v>3894101.9544886337</v>
      </c>
      <c r="L106" s="470">
        <f>+L105</f>
        <v>305419.76113636367</v>
      </c>
      <c r="M106" s="470">
        <f t="shared" si="8"/>
        <v>3588682.1933522699</v>
      </c>
      <c r="N106" s="683">
        <f>+K$29*M106+L106</f>
        <v>1116244.3504651429</v>
      </c>
      <c r="O106" s="702">
        <f>+O105</f>
        <v>1769858.7196969658</v>
      </c>
      <c r="P106" s="470">
        <f>+P105</f>
        <v>119316.31818181818</v>
      </c>
      <c r="Q106" s="470">
        <f t="shared" si="31"/>
        <v>1650542.4015151476</v>
      </c>
      <c r="R106" s="683">
        <f>+O$29*Q106+P106</f>
        <v>492238.82643773028</v>
      </c>
      <c r="S106" s="710">
        <f>+S105</f>
        <v>767823.45515151194</v>
      </c>
      <c r="T106" s="711">
        <f>+T105</f>
        <v>58315.705454545445</v>
      </c>
      <c r="U106" s="711">
        <f t="shared" si="12"/>
        <v>709507.74969696649</v>
      </c>
      <c r="V106" s="684">
        <f>+S$29*U106+T106</f>
        <v>218621.43852817855</v>
      </c>
      <c r="W106" s="710">
        <f>+W105</f>
        <v>10283855.268939402</v>
      </c>
      <c r="X106" s="711">
        <f>+X105</f>
        <v>693293.61363636365</v>
      </c>
      <c r="Y106" s="711">
        <f t="shared" si="13"/>
        <v>9590561.6553030387</v>
      </c>
      <c r="Z106" s="684">
        <f>+W$29*Y106+X106</f>
        <v>2860179.0597754209</v>
      </c>
      <c r="AA106" s="710">
        <f>+AA105</f>
        <v>6724929.9905303027</v>
      </c>
      <c r="AB106" s="711">
        <f>+AB105</f>
        <v>450833.29545454547</v>
      </c>
      <c r="AC106" s="711">
        <f t="shared" si="14"/>
        <v>6274096.6950757569</v>
      </c>
      <c r="AD106" s="684">
        <f>+AA$29*AC106+AB106</f>
        <v>1868398.7420737653</v>
      </c>
      <c r="AE106" s="710">
        <f>+AE105</f>
        <v>66669.352272727367</v>
      </c>
      <c r="AF106" s="711">
        <f>+AF105</f>
        <v>4597.886363636364</v>
      </c>
      <c r="AG106" s="711">
        <f t="shared" si="15"/>
        <v>62071.465909090999</v>
      </c>
      <c r="AH106" s="684">
        <f>+AE$29*AG106+AF106</f>
        <v>18622.274187112173</v>
      </c>
      <c r="AI106" s="710">
        <f>+AI105</f>
        <v>4679501.0037878826</v>
      </c>
      <c r="AJ106" s="711">
        <f>+AJ105</f>
        <v>295547.43181818182</v>
      </c>
      <c r="AK106" s="711">
        <f t="shared" si="19"/>
        <v>4383953.571969701</v>
      </c>
      <c r="AL106" s="684">
        <f>+AI$29*AK106+AJ106</f>
        <v>1286055.1343986432</v>
      </c>
      <c r="AM106" s="710">
        <f>+AM105</f>
        <v>1718437.1930681826</v>
      </c>
      <c r="AN106" s="711">
        <f>+AN105</f>
        <v>110866.91568181818</v>
      </c>
      <c r="AO106" s="711">
        <f t="shared" si="16"/>
        <v>1607570.2773863643</v>
      </c>
      <c r="AP106" s="684">
        <f>+AM$29*AO106+AN106</f>
        <v>474080.32933920342</v>
      </c>
      <c r="AQ106" s="710">
        <f>+AQ105</f>
        <v>14252682.73704545</v>
      </c>
      <c r="AR106" s="711">
        <f>+AR105</f>
        <v>904932.23727272719</v>
      </c>
      <c r="AS106" s="711">
        <f t="shared" si="17"/>
        <v>13347750.499772724</v>
      </c>
      <c r="AT106" s="684">
        <f>+AQ$29*AS106+AR106</f>
        <v>3920714.5591203775</v>
      </c>
      <c r="AU106" s="470"/>
      <c r="AV106" s="470"/>
      <c r="AW106" s="470"/>
      <c r="AX106" s="683"/>
      <c r="AY106" s="470"/>
      <c r="AZ106" s="470"/>
      <c r="BA106" s="470"/>
      <c r="BB106" s="683"/>
      <c r="BC106" s="470"/>
      <c r="BD106" s="470"/>
      <c r="BE106" s="470"/>
      <c r="BF106" s="683"/>
      <c r="BG106" s="470"/>
      <c r="BH106" s="470"/>
      <c r="BI106" s="470"/>
      <c r="BJ106" s="683"/>
      <c r="BK106" s="470"/>
      <c r="BL106" s="470"/>
      <c r="BM106" s="470"/>
      <c r="BN106" s="683"/>
      <c r="BO106" s="470"/>
      <c r="BP106" s="470"/>
      <c r="BQ106" s="470"/>
      <c r="BR106" s="683"/>
      <c r="BS106" s="710">
        <f>+BS105</f>
        <v>132974.18181818211</v>
      </c>
      <c r="BT106" s="711">
        <f>+BT105</f>
        <v>8310.886363636364</v>
      </c>
      <c r="BU106" s="711">
        <f t="shared" si="18"/>
        <v>124663.29545454575</v>
      </c>
      <c r="BV106" s="684">
        <f>+BS$29*BU106+BT106</f>
        <v>36477.232642096627</v>
      </c>
      <c r="BW106" s="710">
        <f>+BW105</f>
        <v>9373669.9431818351</v>
      </c>
      <c r="BX106" s="711">
        <f>+BX105</f>
        <v>576841.22727272729</v>
      </c>
      <c r="BY106" s="711">
        <f t="shared" si="20"/>
        <v>8796828.7159091085</v>
      </c>
      <c r="BZ106" s="684">
        <f>+BW$29*BY106+BX106</f>
        <v>2494575.2771043144</v>
      </c>
      <c r="CA106" s="710">
        <f>+CA105</f>
        <v>884551.20000000158</v>
      </c>
      <c r="CB106" s="711">
        <f>+CB105</f>
        <v>54433.919999999998</v>
      </c>
      <c r="CC106" s="711">
        <f t="shared" si="21"/>
        <v>830117.28000000154</v>
      </c>
      <c r="CD106" s="684">
        <f>+CA$29*CC106+CB106</f>
        <v>241990.09421279246</v>
      </c>
      <c r="CE106" s="710">
        <f>+CE105</f>
        <v>76781.722727272921</v>
      </c>
      <c r="CF106" s="711">
        <f>+CF105</f>
        <v>4725.0290909090909</v>
      </c>
      <c r="CG106" s="711">
        <f t="shared" si="22"/>
        <v>72056.693636363838</v>
      </c>
      <c r="CH106" s="684">
        <f>+CE$29*CG106+CF106</f>
        <v>21005.472963682882</v>
      </c>
      <c r="CI106" s="710">
        <f>+CI105</f>
        <v>213257.04545454506</v>
      </c>
      <c r="CJ106" s="711">
        <f>+CJ105</f>
        <v>12362.727272727272</v>
      </c>
      <c r="CK106" s="711">
        <f t="shared" si="24"/>
        <v>200894.3181818178</v>
      </c>
      <c r="CL106" s="684">
        <f>+CI$29*CK106+CJ106</f>
        <v>56158.268465682959</v>
      </c>
      <c r="CM106" s="967">
        <f t="shared" si="25"/>
        <v>17278361.099397384</v>
      </c>
      <c r="CN106" s="708">
        <f>+CM106</f>
        <v>17278361.099397384</v>
      </c>
      <c r="CO106" s="679"/>
      <c r="CR106" s="710"/>
      <c r="CS106" s="711"/>
      <c r="CT106" s="711"/>
      <c r="CU106" s="684"/>
    </row>
    <row r="107" spans="1:99">
      <c r="A107" s="514" t="s">
        <v>609</v>
      </c>
      <c r="B107" s="474">
        <v>2040</v>
      </c>
      <c r="C107" s="470">
        <f>+E106</f>
        <v>5683847.7971590832</v>
      </c>
      <c r="D107" s="470">
        <f>+C$31</f>
        <v>445791.98409090913</v>
      </c>
      <c r="E107" s="470">
        <f t="shared" si="6"/>
        <v>5238055.8130681738</v>
      </c>
      <c r="F107" s="683">
        <f>+C$28*E107+D107</f>
        <v>1587703.2696286533</v>
      </c>
      <c r="G107" s="470">
        <f>+I106</f>
        <v>1448009.3693181798</v>
      </c>
      <c r="H107" s="470">
        <f>+G$31</f>
        <v>115840.74954545456</v>
      </c>
      <c r="I107" s="470">
        <f t="shared" si="30"/>
        <v>1332168.6197727253</v>
      </c>
      <c r="J107" s="683">
        <f>+G$28*I107+H107</f>
        <v>406257.35361494549</v>
      </c>
      <c r="K107" s="702">
        <f>+M106</f>
        <v>3588682.1933522699</v>
      </c>
      <c r="L107" s="470">
        <f>+K$31</f>
        <v>305419.76113636367</v>
      </c>
      <c r="M107" s="470">
        <f t="shared" ref="M107:M130" si="32">+K107-L107</f>
        <v>3283262.4322159062</v>
      </c>
      <c r="N107" s="683">
        <f>+K$28*M107+L107</f>
        <v>1021180.4476444686</v>
      </c>
      <c r="O107" s="702">
        <f>+Q106</f>
        <v>1650542.4015151476</v>
      </c>
      <c r="P107" s="470">
        <f>+O$31</f>
        <v>119316.31818181818</v>
      </c>
      <c r="Q107" s="470">
        <f t="shared" si="31"/>
        <v>1531226.0833333295</v>
      </c>
      <c r="R107" s="683">
        <f>+O$28*Q107+P107</f>
        <v>453128.02383523603</v>
      </c>
      <c r="S107" s="710">
        <f>+U106</f>
        <v>709507.74969696649</v>
      </c>
      <c r="T107" s="711">
        <f>+S$31</f>
        <v>58315.705454545445</v>
      </c>
      <c r="U107" s="711">
        <f t="shared" si="12"/>
        <v>651192.04424242105</v>
      </c>
      <c r="V107" s="684">
        <f>+S$28*U107+T107</f>
        <v>200277.45059625123</v>
      </c>
      <c r="W107" s="710">
        <f>+Y106</f>
        <v>9590561.6553030387</v>
      </c>
      <c r="X107" s="711">
        <f>+W$31</f>
        <v>693293.61363636365</v>
      </c>
      <c r="Y107" s="711">
        <f t="shared" si="13"/>
        <v>8897268.0416666754</v>
      </c>
      <c r="Z107" s="684">
        <f>+W$28*Y107+X107</f>
        <v>2632923.726375151</v>
      </c>
      <c r="AA107" s="710">
        <f>+AC106</f>
        <v>6274096.6950757569</v>
      </c>
      <c r="AB107" s="711">
        <f>+AA$31</f>
        <v>450833.29545454547</v>
      </c>
      <c r="AC107" s="711">
        <f t="shared" si="14"/>
        <v>5823263.399621211</v>
      </c>
      <c r="AD107" s="684">
        <f>+AA$28*AC107+AB107</f>
        <v>1720321.523910695</v>
      </c>
      <c r="AE107" s="710">
        <f>+AG106</f>
        <v>62071.465909090999</v>
      </c>
      <c r="AF107" s="711">
        <f>+AE$31</f>
        <v>4597.886363636364</v>
      </c>
      <c r="AG107" s="711">
        <f t="shared" si="15"/>
        <v>57473.579545454631</v>
      </c>
      <c r="AH107" s="684">
        <f>+AE$28*AG107+AF107</f>
        <v>17127.292587119024</v>
      </c>
      <c r="AI107" s="710">
        <f>+AK106</f>
        <v>4383953.571969701</v>
      </c>
      <c r="AJ107" s="711">
        <f>+AI$31</f>
        <v>295547.43181818182</v>
      </c>
      <c r="AK107" s="711">
        <f t="shared" si="19"/>
        <v>4088406.1401515193</v>
      </c>
      <c r="AL107" s="684">
        <f>+AI$28*AK107+AJ107</f>
        <v>1186831.7704946368</v>
      </c>
      <c r="AM107" s="710">
        <f>+AO106</f>
        <v>1607570.2773863643</v>
      </c>
      <c r="AN107" s="711">
        <f>+AM$31</f>
        <v>110866.91568181818</v>
      </c>
      <c r="AO107" s="711">
        <f t="shared" si="16"/>
        <v>1496703.361704546</v>
      </c>
      <c r="AP107" s="684">
        <f>+AM$28*AO107+AN107</f>
        <v>437152.56837928353</v>
      </c>
      <c r="AQ107" s="710">
        <f>+AS106</f>
        <v>13347750.499772724</v>
      </c>
      <c r="AR107" s="711">
        <f>+AQ$31</f>
        <v>904932.23727272719</v>
      </c>
      <c r="AS107" s="711">
        <f t="shared" si="17"/>
        <v>12442818.262499997</v>
      </c>
      <c r="AT107" s="684">
        <f>+AQ$28*AS107+AR107</f>
        <v>3617502.5314638573</v>
      </c>
      <c r="AU107" s="470"/>
      <c r="AV107" s="470"/>
      <c r="AW107" s="470"/>
      <c r="AX107" s="683"/>
      <c r="AY107" s="470"/>
      <c r="AZ107" s="470"/>
      <c r="BA107" s="470"/>
      <c r="BB107" s="683"/>
      <c r="BC107" s="470"/>
      <c r="BD107" s="470"/>
      <c r="BE107" s="470"/>
      <c r="BF107" s="683"/>
      <c r="BG107" s="470"/>
      <c r="BH107" s="470"/>
      <c r="BI107" s="470"/>
      <c r="BJ107" s="683"/>
      <c r="BK107" s="470"/>
      <c r="BL107" s="470"/>
      <c r="BM107" s="470"/>
      <c r="BN107" s="683"/>
      <c r="BO107" s="470"/>
      <c r="BP107" s="470"/>
      <c r="BQ107" s="470"/>
      <c r="BR107" s="683"/>
      <c r="BS107" s="710">
        <f>+BU106</f>
        <v>124663.29545454575</v>
      </c>
      <c r="BT107" s="711">
        <f>+BS$31</f>
        <v>8310.886363636364</v>
      </c>
      <c r="BU107" s="711">
        <f t="shared" si="18"/>
        <v>116352.40909090938</v>
      </c>
      <c r="BV107" s="684">
        <f>+BS$28*BU107+BT107</f>
        <v>33676.047366491184</v>
      </c>
      <c r="BW107" s="710">
        <f>+BY106</f>
        <v>8796828.7159091085</v>
      </c>
      <c r="BX107" s="711">
        <f>+BW$31</f>
        <v>576841.22727272729</v>
      </c>
      <c r="BY107" s="711">
        <f t="shared" si="20"/>
        <v>8219987.488636381</v>
      </c>
      <c r="BZ107" s="684">
        <f>+BW$28*BY107+BX107</f>
        <v>2368822.2246563416</v>
      </c>
      <c r="CA107" s="710">
        <f>+CC106</f>
        <v>830117.28000000154</v>
      </c>
      <c r="CB107" s="711">
        <f>+CA$31</f>
        <v>54433.919999999998</v>
      </c>
      <c r="CC107" s="711">
        <f t="shared" si="21"/>
        <v>775683.3600000015</v>
      </c>
      <c r="CD107" s="684">
        <f>+CA$28*CC107+CB107</f>
        <v>223535.13128873706</v>
      </c>
      <c r="CE107" s="710">
        <f>+CG106</f>
        <v>72056.693636363838</v>
      </c>
      <c r="CF107" s="711">
        <f>+CE$31</f>
        <v>4725.0290909090909</v>
      </c>
      <c r="CG107" s="711">
        <f t="shared" si="22"/>
        <v>67331.664545454754</v>
      </c>
      <c r="CH107" s="684">
        <f>+CE$28*CG107+CF107</f>
        <v>19403.526297196058</v>
      </c>
      <c r="CI107" s="710">
        <f>+CK106</f>
        <v>200894.3181818178</v>
      </c>
      <c r="CJ107" s="711">
        <f>+CI$31</f>
        <v>12362.727272727272</v>
      </c>
      <c r="CK107" s="711">
        <f t="shared" si="24"/>
        <v>188531.59090909053</v>
      </c>
      <c r="CL107" s="684">
        <f>+CI$28*CK107+CJ107</f>
        <v>53463.158238424141</v>
      </c>
      <c r="CM107" s="967">
        <f t="shared" si="25"/>
        <v>15979306.046377487</v>
      </c>
      <c r="CN107" s="543"/>
      <c r="CO107" s="707">
        <f>+CM107</f>
        <v>15979306.046377487</v>
      </c>
      <c r="CR107" s="710"/>
      <c r="CS107" s="711"/>
      <c r="CT107" s="711"/>
      <c r="CU107" s="684"/>
    </row>
    <row r="108" spans="1:99">
      <c r="A108" s="514" t="s">
        <v>608</v>
      </c>
      <c r="B108" s="474">
        <v>2040</v>
      </c>
      <c r="C108" s="470">
        <f>+C107</f>
        <v>5683847.7971590832</v>
      </c>
      <c r="D108" s="470">
        <f>+D107</f>
        <v>445791.98409090913</v>
      </c>
      <c r="E108" s="470">
        <f t="shared" si="6"/>
        <v>5238055.8130681738</v>
      </c>
      <c r="F108" s="683">
        <f>+C$29*E108+D108</f>
        <v>1629275.0078536994</v>
      </c>
      <c r="G108" s="470">
        <f>+G107</f>
        <v>1448009.3693181798</v>
      </c>
      <c r="H108" s="470">
        <f>+H107</f>
        <v>115840.74954545456</v>
      </c>
      <c r="I108" s="470">
        <f t="shared" si="30"/>
        <v>1332168.6197727253</v>
      </c>
      <c r="J108" s="683">
        <f>+G$29*I108+H108</f>
        <v>416830.08653517254</v>
      </c>
      <c r="K108" s="702">
        <f>+K107</f>
        <v>3588682.1933522699</v>
      </c>
      <c r="L108" s="470">
        <f>+L107</f>
        <v>305419.76113636367</v>
      </c>
      <c r="M108" s="470">
        <f t="shared" si="32"/>
        <v>3283262.4322159062</v>
      </c>
      <c r="N108" s="683">
        <f>+K$29*M108+L108</f>
        <v>1047238.0024371617</v>
      </c>
      <c r="O108" s="702">
        <f>+O107</f>
        <v>1650542.4015151476</v>
      </c>
      <c r="P108" s="470">
        <f>+P107</f>
        <v>119316.31818181818</v>
      </c>
      <c r="Q108" s="470">
        <f t="shared" si="31"/>
        <v>1531226.0833333295</v>
      </c>
      <c r="R108" s="683">
        <f>+O$29*Q108+P108</f>
        <v>465280.5728288691</v>
      </c>
      <c r="S108" s="710">
        <f>+S107</f>
        <v>709507.74969696649</v>
      </c>
      <c r="T108" s="711">
        <f>+T107</f>
        <v>58315.705454545445</v>
      </c>
      <c r="U108" s="711">
        <f t="shared" si="12"/>
        <v>651192.04424242105</v>
      </c>
      <c r="V108" s="684">
        <f>+S$29*U108+T108</f>
        <v>205445.62485089357</v>
      </c>
      <c r="W108" s="710">
        <f>+W107</f>
        <v>9590561.6553030387</v>
      </c>
      <c r="X108" s="711">
        <f>+X107</f>
        <v>693293.61363636365</v>
      </c>
      <c r="Y108" s="711">
        <f t="shared" si="13"/>
        <v>8897268.0416666754</v>
      </c>
      <c r="Z108" s="684">
        <f>+W$29*Y108+X108</f>
        <v>2703536.7383677782</v>
      </c>
      <c r="AA108" s="710">
        <f>+AA107</f>
        <v>6274096.6950757569</v>
      </c>
      <c r="AB108" s="711">
        <f>+AB107</f>
        <v>450833.29545454547</v>
      </c>
      <c r="AC108" s="711">
        <f t="shared" si="14"/>
        <v>5823263.399621211</v>
      </c>
      <c r="AD108" s="684">
        <f>+AA$29*AC108+AB108</f>
        <v>1766537.7518975337</v>
      </c>
      <c r="AE108" s="710">
        <f>+AE107</f>
        <v>62071.465909090999</v>
      </c>
      <c r="AF108" s="711">
        <f>+AF107</f>
        <v>4597.886363636364</v>
      </c>
      <c r="AG108" s="711">
        <f t="shared" si="15"/>
        <v>57473.579545454631</v>
      </c>
      <c r="AH108" s="684">
        <f>+AE$29*AG108+AF108</f>
        <v>17583.430644632484</v>
      </c>
      <c r="AI108" s="710">
        <f>+AI107</f>
        <v>4383953.571969701</v>
      </c>
      <c r="AJ108" s="711">
        <f>+AJ107</f>
        <v>295547.43181818182</v>
      </c>
      <c r="AK108" s="711">
        <f t="shared" si="19"/>
        <v>4088406.1401515193</v>
      </c>
      <c r="AL108" s="684">
        <f>+AI$29*AK108+AJ108</f>
        <v>1219279.3342246795</v>
      </c>
      <c r="AM108" s="710">
        <f>+AM107</f>
        <v>1607570.2773863643</v>
      </c>
      <c r="AN108" s="711">
        <f>+AN107</f>
        <v>110866.91568181818</v>
      </c>
      <c r="AO108" s="711">
        <f t="shared" si="16"/>
        <v>1496703.361704546</v>
      </c>
      <c r="AP108" s="684">
        <f>+AM$29*AO108+AN108</f>
        <v>449031.12839731481</v>
      </c>
      <c r="AQ108" s="710">
        <f>+AQ107</f>
        <v>13347750.499772724</v>
      </c>
      <c r="AR108" s="711">
        <f>+AR107</f>
        <v>904932.23727272719</v>
      </c>
      <c r="AS108" s="711">
        <f t="shared" si="17"/>
        <v>12442818.262499997</v>
      </c>
      <c r="AT108" s="684">
        <f>+AQ$29*AS108+AR108</f>
        <v>3716254.7406900288</v>
      </c>
      <c r="AU108" s="470"/>
      <c r="AV108" s="470"/>
      <c r="AW108" s="470"/>
      <c r="AX108" s="683"/>
      <c r="AY108" s="470"/>
      <c r="AZ108" s="470"/>
      <c r="BA108" s="470"/>
      <c r="BB108" s="683"/>
      <c r="BC108" s="470"/>
      <c r="BD108" s="470"/>
      <c r="BE108" s="470"/>
      <c r="BF108" s="683"/>
      <c r="BG108" s="470"/>
      <c r="BH108" s="470"/>
      <c r="BI108" s="470"/>
      <c r="BJ108" s="683"/>
      <c r="BK108" s="470"/>
      <c r="BL108" s="470"/>
      <c r="BM108" s="470"/>
      <c r="BN108" s="683"/>
      <c r="BO108" s="470"/>
      <c r="BP108" s="470"/>
      <c r="BQ108" s="470"/>
      <c r="BR108" s="683"/>
      <c r="BS108" s="710">
        <f>+BS107</f>
        <v>124663.29545454575</v>
      </c>
      <c r="BT108" s="711">
        <f>+BT107</f>
        <v>8310.886363636364</v>
      </c>
      <c r="BU108" s="711">
        <f t="shared" si="18"/>
        <v>116352.40909090938</v>
      </c>
      <c r="BV108" s="684">
        <f>+BS$29*BU108+BT108</f>
        <v>34599.47622353262</v>
      </c>
      <c r="BW108" s="710">
        <f>+BW107</f>
        <v>8796828.7159091085</v>
      </c>
      <c r="BX108" s="711">
        <f>+BX107</f>
        <v>576841.22727272729</v>
      </c>
      <c r="BY108" s="711">
        <f t="shared" si="20"/>
        <v>8219987.488636381</v>
      </c>
      <c r="BZ108" s="684">
        <f>+BW$29*BY108+BX108</f>
        <v>2368822.2246563416</v>
      </c>
      <c r="CA108" s="710">
        <f>+CA107</f>
        <v>830117.28000000154</v>
      </c>
      <c r="CB108" s="711">
        <f>+CB107</f>
        <v>54433.919999999998</v>
      </c>
      <c r="CC108" s="711">
        <f t="shared" si="21"/>
        <v>775683.3600000015</v>
      </c>
      <c r="CD108" s="684">
        <f>+CA$29*CC108+CB108</f>
        <v>229691.32869064214</v>
      </c>
      <c r="CE108" s="710">
        <f>+CE107</f>
        <v>72056.693636363838</v>
      </c>
      <c r="CF108" s="711">
        <f>+CF107</f>
        <v>4725.0290909090909</v>
      </c>
      <c r="CG108" s="711">
        <f t="shared" si="22"/>
        <v>67331.664545454754</v>
      </c>
      <c r="CH108" s="684">
        <f>+CE$29*CG108+CF108</f>
        <v>19937.902873664934</v>
      </c>
      <c r="CI108" s="710">
        <f>+CI107</f>
        <v>200894.3181818178</v>
      </c>
      <c r="CJ108" s="711">
        <f>+CJ107</f>
        <v>12362.727272727272</v>
      </c>
      <c r="CK108" s="711">
        <f t="shared" si="24"/>
        <v>188531.59090909053</v>
      </c>
      <c r="CL108" s="684">
        <f>+CI$29*CK108+CJ108</f>
        <v>53463.158238424141</v>
      </c>
      <c r="CM108" s="967">
        <f t="shared" si="25"/>
        <v>16342806.50941037</v>
      </c>
      <c r="CN108" s="708">
        <f>+CM108</f>
        <v>16342806.50941037</v>
      </c>
      <c r="CO108" s="679"/>
      <c r="CR108" s="710"/>
      <c r="CS108" s="711"/>
      <c r="CT108" s="711"/>
      <c r="CU108" s="684"/>
    </row>
    <row r="109" spans="1:99">
      <c r="A109" s="514" t="s">
        <v>609</v>
      </c>
      <c r="B109" s="474">
        <v>2041</v>
      </c>
      <c r="C109" s="470">
        <f>+E108</f>
        <v>5238055.8130681738</v>
      </c>
      <c r="D109" s="470">
        <f>+C$31</f>
        <v>445791.98409090913</v>
      </c>
      <c r="E109" s="470">
        <f t="shared" ref="E109:E129" si="33">+C109-D109</f>
        <v>4792263.8289772645</v>
      </c>
      <c r="F109" s="683">
        <f>+C$28*E109+D109</f>
        <v>1490519.3304339517</v>
      </c>
      <c r="G109" s="470">
        <f>+I108</f>
        <v>1332168.6197727253</v>
      </c>
      <c r="H109" s="470">
        <f>+G$31</f>
        <v>115840.74954545456</v>
      </c>
      <c r="I109" s="470">
        <f t="shared" si="30"/>
        <v>1216327.8702272708</v>
      </c>
      <c r="J109" s="683">
        <f>+G$28*I109+H109</f>
        <v>381003.73586977232</v>
      </c>
      <c r="K109" s="702">
        <f>+M108</f>
        <v>3283262.4322159062</v>
      </c>
      <c r="L109" s="470">
        <f>+K$31</f>
        <v>305419.76113636367</v>
      </c>
      <c r="M109" s="470">
        <f t="shared" si="32"/>
        <v>2977842.6710795425</v>
      </c>
      <c r="N109" s="683">
        <f>+K$28*M109+L109</f>
        <v>954598.05820185412</v>
      </c>
      <c r="O109" s="702">
        <f>+Q108</f>
        <v>1531226.0833333295</v>
      </c>
      <c r="P109" s="470">
        <f>+O$31</f>
        <v>119316.31818181818</v>
      </c>
      <c r="Q109" s="470">
        <f t="shared" si="31"/>
        <v>1411909.7651515114</v>
      </c>
      <c r="R109" s="683">
        <f>+O$28*Q109+P109</f>
        <v>427116.7220960086</v>
      </c>
      <c r="S109" s="710">
        <f>+U108</f>
        <v>651192.04424242105</v>
      </c>
      <c r="T109" s="711">
        <f>+S$31</f>
        <v>58315.705454545445</v>
      </c>
      <c r="U109" s="711">
        <f t="shared" ref="U109:U132" si="34">+S109-T109</f>
        <v>592876.3387878756</v>
      </c>
      <c r="V109" s="684">
        <f>+S$28*U109+T109</f>
        <v>187564.45849400887</v>
      </c>
      <c r="W109" s="710">
        <f>+Y108</f>
        <v>8897268.0416666754</v>
      </c>
      <c r="X109" s="711">
        <f>+W$31</f>
        <v>693293.61363636365</v>
      </c>
      <c r="Y109" s="711">
        <f t="shared" ref="Y109:Y132" si="35">+W109-X109</f>
        <v>8203974.4280303121</v>
      </c>
      <c r="Z109" s="684">
        <f>+W$28*Y109+X109</f>
        <v>2481783.7175903106</v>
      </c>
      <c r="AA109" s="710">
        <f>+AC108</f>
        <v>5823263.399621211</v>
      </c>
      <c r="AB109" s="711">
        <f>+AA$31</f>
        <v>450833.29545454547</v>
      </c>
      <c r="AC109" s="711">
        <f t="shared" si="14"/>
        <v>5372430.1041666651</v>
      </c>
      <c r="AD109" s="684">
        <f>+AA$28*AC109+AB109</f>
        <v>1622038.5642882832</v>
      </c>
      <c r="AE109" s="710">
        <f>+AG108</f>
        <v>57473.579545454631</v>
      </c>
      <c r="AF109" s="711">
        <f>+AE$31</f>
        <v>4597.886363636364</v>
      </c>
      <c r="AG109" s="711">
        <f t="shared" ref="AG109:AG132" si="36">+AE109-AF109</f>
        <v>52875.693181818264</v>
      </c>
      <c r="AH109" s="684">
        <f>+AE$28*AG109+AF109</f>
        <v>16124.940089240412</v>
      </c>
      <c r="AI109" s="710">
        <f>+AK108</f>
        <v>4088406.1401515193</v>
      </c>
      <c r="AJ109" s="711">
        <f>+AI$31</f>
        <v>295547.43181818182</v>
      </c>
      <c r="AK109" s="711">
        <f t="shared" si="19"/>
        <v>3792858.7083333377</v>
      </c>
      <c r="AL109" s="684">
        <f>+AI$28*AK109+AJ109</f>
        <v>1122401.577337303</v>
      </c>
      <c r="AM109" s="710">
        <f>+AO108</f>
        <v>1496703.361704546</v>
      </c>
      <c r="AN109" s="711">
        <f>+AM$31</f>
        <v>110866.91568181818</v>
      </c>
      <c r="AO109" s="711">
        <f t="shared" si="16"/>
        <v>1385836.4460227278</v>
      </c>
      <c r="AP109" s="684">
        <f>+AM$28*AO109+AN109</f>
        <v>412983.26077206386</v>
      </c>
      <c r="AQ109" s="710">
        <f>+AS108</f>
        <v>12442818.262499997</v>
      </c>
      <c r="AR109" s="711">
        <f>+AQ$31</f>
        <v>904932.23727272719</v>
      </c>
      <c r="AS109" s="711">
        <f t="shared" si="17"/>
        <v>11537886.025227271</v>
      </c>
      <c r="AT109" s="684">
        <f>+AQ$28*AS109+AR109</f>
        <v>3420224.6918863207</v>
      </c>
      <c r="AU109" s="470"/>
      <c r="AV109" s="470"/>
      <c r="AW109" s="470"/>
      <c r="AX109" s="683"/>
      <c r="AY109" s="470"/>
      <c r="AZ109" s="470"/>
      <c r="BA109" s="470"/>
      <c r="BB109" s="683"/>
      <c r="BC109" s="470"/>
      <c r="BD109" s="470"/>
      <c r="BE109" s="470"/>
      <c r="BF109" s="683"/>
      <c r="BG109" s="470"/>
      <c r="BH109" s="470"/>
      <c r="BI109" s="470"/>
      <c r="BJ109" s="683"/>
      <c r="BK109" s="470"/>
      <c r="BL109" s="470"/>
      <c r="BM109" s="470"/>
      <c r="BN109" s="683"/>
      <c r="BO109" s="470"/>
      <c r="BP109" s="470"/>
      <c r="BQ109" s="470"/>
      <c r="BR109" s="683"/>
      <c r="BS109" s="710">
        <f>+BU108</f>
        <v>116352.40909090938</v>
      </c>
      <c r="BT109" s="711">
        <f>+BS$31</f>
        <v>8310.886363636364</v>
      </c>
      <c r="BU109" s="711">
        <f t="shared" si="18"/>
        <v>108041.52272727301</v>
      </c>
      <c r="BV109" s="684">
        <f>+BS$28*BU109+BT109</f>
        <v>31864.250152001561</v>
      </c>
      <c r="BW109" s="710">
        <f>+BY108</f>
        <v>8219987.488636381</v>
      </c>
      <c r="BX109" s="711">
        <f>+BW$31</f>
        <v>576841.22727272729</v>
      </c>
      <c r="BY109" s="711">
        <f t="shared" si="20"/>
        <v>7643146.2613636535</v>
      </c>
      <c r="BZ109" s="684">
        <f>+BW$28*BY109+BX109</f>
        <v>2243069.1722083688</v>
      </c>
      <c r="CA109" s="710">
        <f>+CC108</f>
        <v>775683.3600000015</v>
      </c>
      <c r="CB109" s="711">
        <f>+CA$31</f>
        <v>54433.919999999998</v>
      </c>
      <c r="CC109" s="711">
        <f t="shared" si="21"/>
        <v>721249.44000000146</v>
      </c>
      <c r="CD109" s="684">
        <f>+CA$28*CC109+CB109</f>
        <v>211668.379619352</v>
      </c>
      <c r="CE109" s="710">
        <f>+CG108</f>
        <v>67331.664545454754</v>
      </c>
      <c r="CF109" s="711">
        <f>+CE$31</f>
        <v>4725.0290909090909</v>
      </c>
      <c r="CG109" s="711">
        <f t="shared" si="22"/>
        <v>62606.635454545663</v>
      </c>
      <c r="CH109" s="684">
        <f>+CE$28*CG109+CF109</f>
        <v>18373.456317807504</v>
      </c>
      <c r="CI109" s="710">
        <f>+CK108</f>
        <v>188531.59090909053</v>
      </c>
      <c r="CJ109" s="711">
        <f>+CI$31</f>
        <v>12362.727272727272</v>
      </c>
      <c r="CK109" s="711">
        <f t="shared" si="24"/>
        <v>176168.86363636327</v>
      </c>
      <c r="CL109" s="684">
        <f>+CI$28*CK109+CJ109</f>
        <v>50768.048011165331</v>
      </c>
      <c r="CM109" s="967">
        <f t="shared" si="25"/>
        <v>15072102.363367811</v>
      </c>
      <c r="CN109" s="543"/>
      <c r="CO109" s="707">
        <f>+CM109</f>
        <v>15072102.363367811</v>
      </c>
      <c r="CR109" s="710"/>
      <c r="CS109" s="711"/>
      <c r="CT109" s="711"/>
      <c r="CU109" s="684"/>
    </row>
    <row r="110" spans="1:99">
      <c r="A110" s="514" t="s">
        <v>608</v>
      </c>
      <c r="B110" s="474">
        <v>2041</v>
      </c>
      <c r="C110" s="470">
        <f>+C109</f>
        <v>5238055.8130681738</v>
      </c>
      <c r="D110" s="470">
        <f>+D109</f>
        <v>445791.98409090913</v>
      </c>
      <c r="E110" s="470">
        <f t="shared" si="33"/>
        <v>4792263.8289772645</v>
      </c>
      <c r="F110" s="683">
        <f>+C$29*E110+D110</f>
        <v>1528553.0483845256</v>
      </c>
      <c r="G110" s="470">
        <f>+G109</f>
        <v>1332168.6197727253</v>
      </c>
      <c r="H110" s="470">
        <f>+H109</f>
        <v>115840.74954545456</v>
      </c>
      <c r="I110" s="470">
        <f t="shared" si="30"/>
        <v>1216327.8702272708</v>
      </c>
      <c r="J110" s="683">
        <f>+G$29*I110+H110</f>
        <v>390657.10070997966</v>
      </c>
      <c r="K110" s="702">
        <f>+K109</f>
        <v>3283262.4322159062</v>
      </c>
      <c r="L110" s="470">
        <f>+L109</f>
        <v>305419.76113636367</v>
      </c>
      <c r="M110" s="470">
        <f t="shared" si="32"/>
        <v>2977842.6710795425</v>
      </c>
      <c r="N110" s="683">
        <f>+K$29*M110+L110</f>
        <v>978231.6544091804</v>
      </c>
      <c r="O110" s="702">
        <f>+O109</f>
        <v>1531226.0833333295</v>
      </c>
      <c r="P110" s="470">
        <f>+P109</f>
        <v>119316.31818181818</v>
      </c>
      <c r="Q110" s="470">
        <f t="shared" si="31"/>
        <v>1411909.7651515114</v>
      </c>
      <c r="R110" s="683">
        <f>+O$29*Q110+P110</f>
        <v>438322.31922000798</v>
      </c>
      <c r="S110" s="710">
        <f>+S109</f>
        <v>651192.04424242105</v>
      </c>
      <c r="T110" s="711">
        <f>+T109</f>
        <v>58315.705454545445</v>
      </c>
      <c r="U110" s="711">
        <f t="shared" si="34"/>
        <v>592876.3387878756</v>
      </c>
      <c r="V110" s="684">
        <f>+S$29*U110+T110</f>
        <v>192269.81117360861</v>
      </c>
      <c r="W110" s="710">
        <f>+W109</f>
        <v>8897268.0416666754</v>
      </c>
      <c r="X110" s="711">
        <f>+X109</f>
        <v>693293.61363636365</v>
      </c>
      <c r="Y110" s="711">
        <f t="shared" si="35"/>
        <v>8203974.4280303121</v>
      </c>
      <c r="Z110" s="684">
        <f>+W$29*Y110+X110</f>
        <v>2546894.416960136</v>
      </c>
      <c r="AA110" s="710">
        <f>+AA109</f>
        <v>5823263.399621211</v>
      </c>
      <c r="AB110" s="711">
        <f>+AB109</f>
        <v>450833.29545454547</v>
      </c>
      <c r="AC110" s="711">
        <f t="shared" si="14"/>
        <v>5372430.1041666651</v>
      </c>
      <c r="AD110" s="684">
        <f>+AA$29*AC110+AB110</f>
        <v>1664676.7617213023</v>
      </c>
      <c r="AE110" s="710">
        <f>+AE109</f>
        <v>57473.579545454631</v>
      </c>
      <c r="AF110" s="711">
        <f>+AF109</f>
        <v>4597.886363636364</v>
      </c>
      <c r="AG110" s="711">
        <f t="shared" si="36"/>
        <v>52875.693181818264</v>
      </c>
      <c r="AH110" s="684">
        <f>+AE$29*AG110+AF110</f>
        <v>16544.587102152793</v>
      </c>
      <c r="AI110" s="710">
        <f>+AI109</f>
        <v>4088406.1401515193</v>
      </c>
      <c r="AJ110" s="711">
        <f>+AJ109</f>
        <v>295547.43181818182</v>
      </c>
      <c r="AK110" s="711">
        <f t="shared" si="19"/>
        <v>3792858.7083333377</v>
      </c>
      <c r="AL110" s="684">
        <f>+AI$29*AK110+AJ110</f>
        <v>1152503.5340507159</v>
      </c>
      <c r="AM110" s="710">
        <f>+AM109</f>
        <v>1496703.361704546</v>
      </c>
      <c r="AN110" s="711">
        <f>+AN109</f>
        <v>110866.91568181818</v>
      </c>
      <c r="AO110" s="711">
        <f t="shared" si="16"/>
        <v>1385836.4460227278</v>
      </c>
      <c r="AP110" s="684">
        <f>+AM$29*AO110+AN110</f>
        <v>423981.92745542608</v>
      </c>
      <c r="AQ110" s="710">
        <f>+AQ109</f>
        <v>12442818.262499997</v>
      </c>
      <c r="AR110" s="711">
        <f>+AR109</f>
        <v>904932.23727272719</v>
      </c>
      <c r="AS110" s="711">
        <f t="shared" si="17"/>
        <v>11537886.025227271</v>
      </c>
      <c r="AT110" s="684">
        <f>+AQ$29*AS110+AR110</f>
        <v>3511794.9222596795</v>
      </c>
      <c r="AU110" s="470"/>
      <c r="AV110" s="470"/>
      <c r="AW110" s="470"/>
      <c r="AX110" s="683"/>
      <c r="AY110" s="470"/>
      <c r="AZ110" s="470"/>
      <c r="BA110" s="470"/>
      <c r="BB110" s="683"/>
      <c r="BC110" s="470"/>
      <c r="BD110" s="470"/>
      <c r="BE110" s="470"/>
      <c r="BF110" s="683"/>
      <c r="BG110" s="470"/>
      <c r="BH110" s="470"/>
      <c r="BI110" s="470"/>
      <c r="BJ110" s="683"/>
      <c r="BK110" s="470"/>
      <c r="BL110" s="470"/>
      <c r="BM110" s="470"/>
      <c r="BN110" s="683"/>
      <c r="BO110" s="470"/>
      <c r="BP110" s="470"/>
      <c r="BQ110" s="470"/>
      <c r="BR110" s="683"/>
      <c r="BS110" s="710">
        <f>+BS109</f>
        <v>116352.40909090938</v>
      </c>
      <c r="BT110" s="711">
        <f>+BT109</f>
        <v>8310.886363636364</v>
      </c>
      <c r="BU110" s="711">
        <f t="shared" si="18"/>
        <v>108041.52272727301</v>
      </c>
      <c r="BV110" s="684">
        <f>+BS$29*BU110+BT110</f>
        <v>32721.719804968601</v>
      </c>
      <c r="BW110" s="710">
        <f>+BW109</f>
        <v>8219987.488636381</v>
      </c>
      <c r="BX110" s="711">
        <f>+BX109</f>
        <v>576841.22727272729</v>
      </c>
      <c r="BY110" s="711">
        <f t="shared" si="20"/>
        <v>7643146.2613636535</v>
      </c>
      <c r="BZ110" s="684">
        <f>+BW$29*BY110+BX110</f>
        <v>2243069.1722083688</v>
      </c>
      <c r="CA110" s="710">
        <f>+CA109</f>
        <v>775683.3600000015</v>
      </c>
      <c r="CB110" s="711">
        <f>+CB109</f>
        <v>54433.919999999998</v>
      </c>
      <c r="CC110" s="711">
        <f t="shared" si="21"/>
        <v>721249.44000000146</v>
      </c>
      <c r="CD110" s="684">
        <f>+CA$29*CC110+CB110</f>
        <v>217392.56316849182</v>
      </c>
      <c r="CE110" s="710">
        <f>+CE109</f>
        <v>67331.664545454754</v>
      </c>
      <c r="CF110" s="711">
        <f>+CF109</f>
        <v>4725.0290909090909</v>
      </c>
      <c r="CG110" s="711">
        <f t="shared" si="22"/>
        <v>62606.635454545663</v>
      </c>
      <c r="CH110" s="684">
        <f>+CE$29*CG110+CF110</f>
        <v>18870.332783646983</v>
      </c>
      <c r="CI110" s="710">
        <f>+CI109</f>
        <v>188531.59090909053</v>
      </c>
      <c r="CJ110" s="711">
        <f>+CJ109</f>
        <v>12362.727272727272</v>
      </c>
      <c r="CK110" s="711">
        <f t="shared" si="24"/>
        <v>176168.86363636327</v>
      </c>
      <c r="CL110" s="684">
        <f>+CI$29*CK110+CJ110</f>
        <v>50768.048011165331</v>
      </c>
      <c r="CM110" s="967">
        <f t="shared" si="25"/>
        <v>15407251.919423355</v>
      </c>
      <c r="CN110" s="708">
        <f>+CM110</f>
        <v>15407251.919423355</v>
      </c>
      <c r="CO110" s="679"/>
      <c r="CR110" s="710"/>
      <c r="CS110" s="711"/>
      <c r="CT110" s="711"/>
      <c r="CU110" s="684"/>
    </row>
    <row r="111" spans="1:99">
      <c r="A111" s="514" t="s">
        <v>609</v>
      </c>
      <c r="B111" s="474">
        <v>2042</v>
      </c>
      <c r="C111" s="470">
        <f>+E110</f>
        <v>4792263.8289772645</v>
      </c>
      <c r="D111" s="470">
        <f>+C$31</f>
        <v>445791.98409090913</v>
      </c>
      <c r="E111" s="470">
        <f t="shared" si="33"/>
        <v>4346471.8448863551</v>
      </c>
      <c r="F111" s="683">
        <f>+C$28*E111+D111</f>
        <v>1393335.3912392496</v>
      </c>
      <c r="G111" s="470">
        <f>+I110</f>
        <v>1216327.8702272708</v>
      </c>
      <c r="H111" s="470">
        <f>+G$31</f>
        <v>115840.74954545456</v>
      </c>
      <c r="I111" s="470">
        <f t="shared" si="30"/>
        <v>1100487.1206818162</v>
      </c>
      <c r="J111" s="683">
        <f>+G$28*I111+H111</f>
        <v>355750.11812459916</v>
      </c>
      <c r="K111" s="702">
        <f>+M110</f>
        <v>2977842.6710795425</v>
      </c>
      <c r="L111" s="470">
        <f>+K$31</f>
        <v>305419.76113636367</v>
      </c>
      <c r="M111" s="470">
        <f t="shared" si="32"/>
        <v>2672422.9099431788</v>
      </c>
      <c r="N111" s="683">
        <f>+K$28*M111+L111</f>
        <v>888015.6687592396</v>
      </c>
      <c r="O111" s="702">
        <f>+Q110</f>
        <v>1411909.7651515114</v>
      </c>
      <c r="P111" s="470">
        <f>+O$31</f>
        <v>119316.31818181818</v>
      </c>
      <c r="Q111" s="470">
        <f t="shared" si="31"/>
        <v>1292593.4469696933</v>
      </c>
      <c r="R111" s="683">
        <f>+O$28*Q111+P111</f>
        <v>401105.42035678116</v>
      </c>
      <c r="S111" s="710">
        <f>+U110</f>
        <v>592876.3387878756</v>
      </c>
      <c r="T111" s="711">
        <f>+S$31</f>
        <v>58315.705454545445</v>
      </c>
      <c r="U111" s="711">
        <f t="shared" si="34"/>
        <v>534560.63333333016</v>
      </c>
      <c r="V111" s="684">
        <f>+S$28*U111+T111</f>
        <v>174851.4663917665</v>
      </c>
      <c r="W111" s="710">
        <f>+Y110</f>
        <v>8203974.4280303121</v>
      </c>
      <c r="X111" s="711">
        <f>+W$31</f>
        <v>693293.61363636365</v>
      </c>
      <c r="Y111" s="711">
        <f t="shared" si="35"/>
        <v>7510680.8143939488</v>
      </c>
      <c r="Z111" s="684">
        <f>+W$28*Y111+X111</f>
        <v>2330643.7088054703</v>
      </c>
      <c r="AA111" s="710">
        <f>+AC110</f>
        <v>5372430.1041666651</v>
      </c>
      <c r="AB111" s="711">
        <f>+AA$31</f>
        <v>450833.29545454547</v>
      </c>
      <c r="AC111" s="711">
        <f t="shared" ref="AC111:AC132" si="37">+AA111-AB111</f>
        <v>4921596.8087121192</v>
      </c>
      <c r="AD111" s="684">
        <f>+AA$28*AC111+AB111</f>
        <v>1523755.6046658715</v>
      </c>
      <c r="AE111" s="710">
        <f>+AG110</f>
        <v>52875.693181818264</v>
      </c>
      <c r="AF111" s="711">
        <f>+AE$31</f>
        <v>4597.886363636364</v>
      </c>
      <c r="AG111" s="711">
        <f t="shared" si="36"/>
        <v>48277.806818181896</v>
      </c>
      <c r="AH111" s="684">
        <f>+AE$28*AG111+AF111</f>
        <v>15122.5875913618</v>
      </c>
      <c r="AI111" s="710">
        <f>+AK110</f>
        <v>3792858.7083333377</v>
      </c>
      <c r="AJ111" s="711">
        <f>+AI$31</f>
        <v>295547.43181818182</v>
      </c>
      <c r="AK111" s="711">
        <f t="shared" ref="AK111:AK132" si="38">+AI111-AJ111</f>
        <v>3497311.276515156</v>
      </c>
      <c r="AL111" s="684">
        <f>+AI$28*AK111+AJ111</f>
        <v>1057971.3841799689</v>
      </c>
      <c r="AM111" s="710">
        <f>+AO110</f>
        <v>1385836.4460227278</v>
      </c>
      <c r="AN111" s="711">
        <f>+AM$31</f>
        <v>110866.91568181818</v>
      </c>
      <c r="AO111" s="711">
        <f t="shared" ref="AO111:AO132" si="39">+AM111-AN111</f>
        <v>1274969.5303409095</v>
      </c>
      <c r="AP111" s="684">
        <f>+AM$28*AO111+AN111</f>
        <v>388813.95316484419</v>
      </c>
      <c r="AQ111" s="710">
        <f>+AS110</f>
        <v>11537886.025227271</v>
      </c>
      <c r="AR111" s="711">
        <f>+AQ$31</f>
        <v>904932.23727272719</v>
      </c>
      <c r="AS111" s="711">
        <f t="shared" ref="AS111:AS132" si="40">+AQ111-AR111</f>
        <v>10632953.787954545</v>
      </c>
      <c r="AT111" s="684">
        <f>+AQ$28*AS111+AR111</f>
        <v>3222946.8523087841</v>
      </c>
      <c r="AU111" s="470"/>
      <c r="AV111" s="470"/>
      <c r="AW111" s="470"/>
      <c r="AX111" s="683"/>
      <c r="AY111" s="470"/>
      <c r="AZ111" s="470"/>
      <c r="BA111" s="470"/>
      <c r="BB111" s="683"/>
      <c r="BC111" s="470"/>
      <c r="BD111" s="470"/>
      <c r="BE111" s="470"/>
      <c r="BF111" s="683"/>
      <c r="BG111" s="470"/>
      <c r="BH111" s="470"/>
      <c r="BI111" s="470"/>
      <c r="BJ111" s="683"/>
      <c r="BK111" s="470"/>
      <c r="BL111" s="470"/>
      <c r="BM111" s="470"/>
      <c r="BN111" s="683"/>
      <c r="BO111" s="470"/>
      <c r="BP111" s="470"/>
      <c r="BQ111" s="470"/>
      <c r="BR111" s="683"/>
      <c r="BS111" s="710">
        <f>+BU110</f>
        <v>108041.52272727301</v>
      </c>
      <c r="BT111" s="711">
        <f>+BS$31</f>
        <v>8310.886363636364</v>
      </c>
      <c r="BU111" s="711">
        <f t="shared" ref="BU111:BU132" si="41">+BS111-BT111</f>
        <v>99730.636363636644</v>
      </c>
      <c r="BV111" s="684">
        <f>+BS$28*BU111+BT111</f>
        <v>30052.452937511935</v>
      </c>
      <c r="BW111" s="710">
        <f>+BY110</f>
        <v>7643146.2613636535</v>
      </c>
      <c r="BX111" s="711">
        <f>+BW$31</f>
        <v>576841.22727272729</v>
      </c>
      <c r="BY111" s="711">
        <f t="shared" si="20"/>
        <v>7066305.0340909259</v>
      </c>
      <c r="BZ111" s="684">
        <f>+BW$28*BY111+BX111</f>
        <v>2117316.119760396</v>
      </c>
      <c r="CA111" s="710">
        <f>+CC110</f>
        <v>721249.44000000146</v>
      </c>
      <c r="CB111" s="711">
        <f>+CA$31</f>
        <v>54433.919999999998</v>
      </c>
      <c r="CC111" s="711">
        <f t="shared" si="21"/>
        <v>666815.52000000142</v>
      </c>
      <c r="CD111" s="684">
        <f>+CA$28*CC111+CB111</f>
        <v>199801.62794996699</v>
      </c>
      <c r="CE111" s="710">
        <f>+CG110</f>
        <v>62606.635454545663</v>
      </c>
      <c r="CF111" s="711">
        <f>+CE$31</f>
        <v>4725.0290909090909</v>
      </c>
      <c r="CG111" s="711">
        <f t="shared" ref="CG111:CG132" si="42">+CE111-CF111</f>
        <v>57881.606363636572</v>
      </c>
      <c r="CH111" s="684">
        <f>+CE$28*CG111+CF111</f>
        <v>17343.386338418946</v>
      </c>
      <c r="CI111" s="710">
        <f>+CK110</f>
        <v>176168.86363636327</v>
      </c>
      <c r="CJ111" s="711">
        <f>+CI$31</f>
        <v>12362.727272727272</v>
      </c>
      <c r="CK111" s="711">
        <f t="shared" si="24"/>
        <v>163806.136363636</v>
      </c>
      <c r="CL111" s="684">
        <f>+CI$28*CK111+CJ111</f>
        <v>48072.937783906513</v>
      </c>
      <c r="CM111" s="967">
        <f t="shared" si="25"/>
        <v>14164898.680358136</v>
      </c>
      <c r="CN111" s="543"/>
      <c r="CO111" s="707">
        <f>+CM111</f>
        <v>14164898.680358136</v>
      </c>
      <c r="CR111" s="710"/>
      <c r="CS111" s="711"/>
      <c r="CT111" s="711"/>
      <c r="CU111" s="684"/>
    </row>
    <row r="112" spans="1:99">
      <c r="A112" s="514" t="s">
        <v>608</v>
      </c>
      <c r="B112" s="474">
        <v>2042</v>
      </c>
      <c r="C112" s="470">
        <f>+C111</f>
        <v>4792263.8289772645</v>
      </c>
      <c r="D112" s="470">
        <f>+D111</f>
        <v>445791.98409090913</v>
      </c>
      <c r="E112" s="470">
        <f t="shared" si="33"/>
        <v>4346471.8448863551</v>
      </c>
      <c r="F112" s="683">
        <f>+C$29*E112+D112</f>
        <v>1427831.0889153518</v>
      </c>
      <c r="G112" s="470">
        <f>+G111</f>
        <v>1216327.8702272708</v>
      </c>
      <c r="H112" s="470">
        <f>+H111</f>
        <v>115840.74954545456</v>
      </c>
      <c r="I112" s="470">
        <f t="shared" si="30"/>
        <v>1100487.1206818162</v>
      </c>
      <c r="J112" s="683">
        <f>+G$29*I112+H112</f>
        <v>364484.11488478672</v>
      </c>
      <c r="K112" s="702">
        <f>+K111</f>
        <v>2977842.6710795425</v>
      </c>
      <c r="L112" s="470">
        <f>+L111</f>
        <v>305419.76113636367</v>
      </c>
      <c r="M112" s="470">
        <f t="shared" si="32"/>
        <v>2672422.9099431788</v>
      </c>
      <c r="N112" s="683">
        <f>+K$29*M112+L112</f>
        <v>909225.30638119904</v>
      </c>
      <c r="O112" s="702">
        <f>+O111</f>
        <v>1411909.7651515114</v>
      </c>
      <c r="P112" s="470">
        <f>+P111</f>
        <v>119316.31818181818</v>
      </c>
      <c r="Q112" s="470">
        <f t="shared" si="31"/>
        <v>1292593.4469696933</v>
      </c>
      <c r="R112" s="683">
        <f>+O$29*Q112+P112</f>
        <v>411364.0656111468</v>
      </c>
      <c r="S112" s="710">
        <f>+S111</f>
        <v>592876.3387878756</v>
      </c>
      <c r="T112" s="711">
        <f>+T111</f>
        <v>58315.705454545445</v>
      </c>
      <c r="U112" s="711">
        <f t="shared" si="34"/>
        <v>534560.63333333016</v>
      </c>
      <c r="V112" s="684">
        <f>+S$29*U112+T112</f>
        <v>179093.99749632366</v>
      </c>
      <c r="W112" s="710">
        <f>+W111</f>
        <v>8203974.4280303121</v>
      </c>
      <c r="X112" s="711">
        <f>+X111</f>
        <v>693293.61363636365</v>
      </c>
      <c r="Y112" s="711">
        <f t="shared" si="35"/>
        <v>7510680.8143939488</v>
      </c>
      <c r="Z112" s="684">
        <f>+W$29*Y112+X112</f>
        <v>2390252.0955524934</v>
      </c>
      <c r="AA112" s="710">
        <f>+AA111</f>
        <v>5372430.1041666651</v>
      </c>
      <c r="AB112" s="711">
        <f>+AB111</f>
        <v>450833.29545454547</v>
      </c>
      <c r="AC112" s="711">
        <f t="shared" si="37"/>
        <v>4921596.8087121192</v>
      </c>
      <c r="AD112" s="684">
        <f>+AA$29*AC112+AB112</f>
        <v>1562815.7715450707</v>
      </c>
      <c r="AE112" s="710">
        <f>+AE111</f>
        <v>52875.693181818264</v>
      </c>
      <c r="AF112" s="711">
        <f>+AF111</f>
        <v>4597.886363636364</v>
      </c>
      <c r="AG112" s="711">
        <f t="shared" si="36"/>
        <v>48277.806818181896</v>
      </c>
      <c r="AH112" s="684">
        <f>+AE$29*AG112+AF112</f>
        <v>15505.743559673107</v>
      </c>
      <c r="AI112" s="710">
        <f>+AI111</f>
        <v>3792858.7083333377</v>
      </c>
      <c r="AJ112" s="711">
        <f>+AJ111</f>
        <v>295547.43181818182</v>
      </c>
      <c r="AK112" s="711">
        <f t="shared" si="38"/>
        <v>3497311.276515156</v>
      </c>
      <c r="AL112" s="684">
        <f>+AI$29*AK112+AJ112</f>
        <v>1085727.7338767524</v>
      </c>
      <c r="AM112" s="710">
        <f>+AM111</f>
        <v>1385836.4460227278</v>
      </c>
      <c r="AN112" s="711">
        <f>+AN111</f>
        <v>110866.91568181818</v>
      </c>
      <c r="AO112" s="711">
        <f t="shared" si="39"/>
        <v>1274969.5303409095</v>
      </c>
      <c r="AP112" s="684">
        <f>+AM$29*AO112+AN112</f>
        <v>398932.72651353746</v>
      </c>
      <c r="AQ112" s="710">
        <f>+AQ111</f>
        <v>11537886.025227271</v>
      </c>
      <c r="AR112" s="711">
        <f>+AR111</f>
        <v>904932.23727272719</v>
      </c>
      <c r="AS112" s="711">
        <f t="shared" si="40"/>
        <v>10632953.787954545</v>
      </c>
      <c r="AT112" s="684">
        <f>+AQ$29*AS112+AR112</f>
        <v>3307335.1038293303</v>
      </c>
      <c r="AU112" s="470"/>
      <c r="AV112" s="470"/>
      <c r="AW112" s="470"/>
      <c r="AX112" s="683"/>
      <c r="AY112" s="470"/>
      <c r="AZ112" s="470"/>
      <c r="BA112" s="470"/>
      <c r="BB112" s="683"/>
      <c r="BC112" s="470"/>
      <c r="BD112" s="470"/>
      <c r="BE112" s="470"/>
      <c r="BF112" s="683"/>
      <c r="BG112" s="470"/>
      <c r="BH112" s="470"/>
      <c r="BI112" s="470"/>
      <c r="BJ112" s="683"/>
      <c r="BK112" s="470"/>
      <c r="BL112" s="470"/>
      <c r="BM112" s="470"/>
      <c r="BN112" s="683"/>
      <c r="BO112" s="470"/>
      <c r="BP112" s="470"/>
      <c r="BQ112" s="470"/>
      <c r="BR112" s="683"/>
      <c r="BS112" s="710">
        <f>+BS111</f>
        <v>108041.52272727301</v>
      </c>
      <c r="BT112" s="711">
        <f>+BT111</f>
        <v>8310.886363636364</v>
      </c>
      <c r="BU112" s="711">
        <f t="shared" si="41"/>
        <v>99730.636363636644</v>
      </c>
      <c r="BV112" s="684">
        <f>+BS$29*BU112+BT112</f>
        <v>30843.963386404586</v>
      </c>
      <c r="BW112" s="710">
        <f>+BW111</f>
        <v>7643146.2613636535</v>
      </c>
      <c r="BX112" s="711">
        <f>+BX111</f>
        <v>576841.22727272729</v>
      </c>
      <c r="BY112" s="711">
        <f t="shared" si="20"/>
        <v>7066305.0340909259</v>
      </c>
      <c r="BZ112" s="684">
        <f>+BW$29*BY112+BX112</f>
        <v>2117316.119760396</v>
      </c>
      <c r="CA112" s="710">
        <f>+CA111</f>
        <v>721249.44000000146</v>
      </c>
      <c r="CB112" s="711">
        <f>+CB111</f>
        <v>54433.919999999998</v>
      </c>
      <c r="CC112" s="711">
        <f t="shared" si="21"/>
        <v>666815.52000000142</v>
      </c>
      <c r="CD112" s="684">
        <f>+CA$29*CC112+CB112</f>
        <v>205093.79764634155</v>
      </c>
      <c r="CE112" s="710">
        <f>+CE111</f>
        <v>62606.635454545663</v>
      </c>
      <c r="CF112" s="711">
        <f>+CF111</f>
        <v>4725.0290909090909</v>
      </c>
      <c r="CG112" s="711">
        <f t="shared" si="42"/>
        <v>57881.606363636572</v>
      </c>
      <c r="CH112" s="684">
        <f>+CE$29*CG112+CF112</f>
        <v>17802.762693629033</v>
      </c>
      <c r="CI112" s="710">
        <f>+CI111</f>
        <v>176168.86363636327</v>
      </c>
      <c r="CJ112" s="711">
        <f>+CJ111</f>
        <v>12362.727272727272</v>
      </c>
      <c r="CK112" s="711">
        <f t="shared" si="24"/>
        <v>163806.136363636</v>
      </c>
      <c r="CL112" s="684">
        <f>+CI$29*CK112+CJ112</f>
        <v>48072.937783906513</v>
      </c>
      <c r="CM112" s="967">
        <f t="shared" si="25"/>
        <v>14471697.329436343</v>
      </c>
      <c r="CN112" s="708">
        <f>+CM112</f>
        <v>14471697.329436343</v>
      </c>
      <c r="CO112" s="679"/>
      <c r="CR112" s="710"/>
      <c r="CS112" s="711"/>
      <c r="CT112" s="711"/>
      <c r="CU112" s="684"/>
    </row>
    <row r="113" spans="1:99">
      <c r="A113" s="514" t="s">
        <v>609</v>
      </c>
      <c r="B113" s="474">
        <v>2043</v>
      </c>
      <c r="C113" s="470">
        <f>+E112</f>
        <v>4346471.8448863551</v>
      </c>
      <c r="D113" s="470">
        <f>+C$31</f>
        <v>445791.98409090913</v>
      </c>
      <c r="E113" s="470">
        <f t="shared" si="33"/>
        <v>3900679.8607954457</v>
      </c>
      <c r="F113" s="683">
        <f>+C$28*E113+D113</f>
        <v>1296151.452044548</v>
      </c>
      <c r="G113" s="470">
        <f>+I112</f>
        <v>1100487.1206818162</v>
      </c>
      <c r="H113" s="470">
        <f>+G$31</f>
        <v>115840.74954545456</v>
      </c>
      <c r="I113" s="470">
        <f t="shared" si="30"/>
        <v>984646.37113636173</v>
      </c>
      <c r="J113" s="683">
        <f>+G$28*I113+H113</f>
        <v>330496.500379426</v>
      </c>
      <c r="K113" s="702">
        <f>+M112</f>
        <v>2672422.9099431788</v>
      </c>
      <c r="L113" s="470">
        <f>+K$31</f>
        <v>305419.76113636367</v>
      </c>
      <c r="M113" s="470">
        <f t="shared" si="32"/>
        <v>2367003.148806815</v>
      </c>
      <c r="N113" s="683">
        <f>+K$28*M113+L113</f>
        <v>821433.27931662521</v>
      </c>
      <c r="O113" s="702">
        <f>+Q112</f>
        <v>1292593.4469696933</v>
      </c>
      <c r="P113" s="470">
        <f>+O$31</f>
        <v>119316.31818181818</v>
      </c>
      <c r="Q113" s="470">
        <f t="shared" si="31"/>
        <v>1173277.1287878752</v>
      </c>
      <c r="R113" s="683">
        <f>+O$28*Q113+P113</f>
        <v>375094.11861755373</v>
      </c>
      <c r="S113" s="710">
        <f>+U112</f>
        <v>534560.63333333016</v>
      </c>
      <c r="T113" s="711">
        <f>+S$31</f>
        <v>58315.705454545445</v>
      </c>
      <c r="U113" s="711">
        <f t="shared" si="34"/>
        <v>476244.92787878471</v>
      </c>
      <c r="V113" s="684">
        <f>+S$28*U113+T113</f>
        <v>162138.47428952414</v>
      </c>
      <c r="W113" s="710">
        <f>+Y112</f>
        <v>7510680.8143939488</v>
      </c>
      <c r="X113" s="711">
        <f>+W$31</f>
        <v>693293.61363636365</v>
      </c>
      <c r="Y113" s="711">
        <f t="shared" si="35"/>
        <v>6817387.2007575855</v>
      </c>
      <c r="Z113" s="684">
        <f>+W$28*Y113+X113</f>
        <v>2179503.7000206299</v>
      </c>
      <c r="AA113" s="710">
        <f>+AC112</f>
        <v>4921596.8087121192</v>
      </c>
      <c r="AB113" s="711">
        <f>+AA$31</f>
        <v>450833.29545454547</v>
      </c>
      <c r="AC113" s="711">
        <f t="shared" si="37"/>
        <v>4470763.5132575734</v>
      </c>
      <c r="AD113" s="684">
        <f>+AA$28*AC113+AB113</f>
        <v>1425472.64504346</v>
      </c>
      <c r="AE113" s="710">
        <f>+AG112</f>
        <v>48277.806818181896</v>
      </c>
      <c r="AF113" s="711">
        <f>+AE$31</f>
        <v>4597.886363636364</v>
      </c>
      <c r="AG113" s="711">
        <f t="shared" si="36"/>
        <v>43679.920454545529</v>
      </c>
      <c r="AH113" s="684">
        <f>+AE$28*AG113+AF113</f>
        <v>14120.235093483188</v>
      </c>
      <c r="AI113" s="710">
        <f>+AK112</f>
        <v>3497311.276515156</v>
      </c>
      <c r="AJ113" s="711">
        <f>+AI$31</f>
        <v>295547.43181818182</v>
      </c>
      <c r="AK113" s="711">
        <f t="shared" si="38"/>
        <v>3201763.8446969744</v>
      </c>
      <c r="AL113" s="684">
        <f>+AI$28*AK113+AJ113</f>
        <v>993541.19102263497</v>
      </c>
      <c r="AM113" s="710">
        <f>+AO112</f>
        <v>1274969.5303409095</v>
      </c>
      <c r="AN113" s="711">
        <f>+AM$31</f>
        <v>110866.91568181818</v>
      </c>
      <c r="AO113" s="711">
        <f t="shared" si="39"/>
        <v>1164102.6146590912</v>
      </c>
      <c r="AP113" s="684">
        <f>+AM$28*AO113+AN113</f>
        <v>364644.64555762452</v>
      </c>
      <c r="AQ113" s="710">
        <f>+AS112</f>
        <v>10632953.787954545</v>
      </c>
      <c r="AR113" s="711">
        <f>+AQ$31</f>
        <v>904932.23727272719</v>
      </c>
      <c r="AS113" s="711">
        <f t="shared" si="40"/>
        <v>9728021.5506818183</v>
      </c>
      <c r="AT113" s="684">
        <f>+AQ$28*AS113+AR113</f>
        <v>3025669.0127312476</v>
      </c>
      <c r="AU113" s="470"/>
      <c r="AV113" s="470"/>
      <c r="AW113" s="470"/>
      <c r="AX113" s="683"/>
      <c r="AY113" s="470"/>
      <c r="AZ113" s="470"/>
      <c r="BA113" s="470"/>
      <c r="BB113" s="683"/>
      <c r="BC113" s="470"/>
      <c r="BD113" s="470"/>
      <c r="BE113" s="470"/>
      <c r="BF113" s="683"/>
      <c r="BG113" s="470"/>
      <c r="BH113" s="470"/>
      <c r="BI113" s="470"/>
      <c r="BJ113" s="683"/>
      <c r="BK113" s="470"/>
      <c r="BL113" s="470"/>
      <c r="BM113" s="470"/>
      <c r="BN113" s="683"/>
      <c r="BO113" s="470"/>
      <c r="BP113" s="470"/>
      <c r="BQ113" s="470"/>
      <c r="BR113" s="683"/>
      <c r="BS113" s="710">
        <f>+BU112</f>
        <v>99730.636363636644</v>
      </c>
      <c r="BT113" s="711">
        <f>+BS$31</f>
        <v>8310.886363636364</v>
      </c>
      <c r="BU113" s="711">
        <f t="shared" si="41"/>
        <v>91419.750000000276</v>
      </c>
      <c r="BV113" s="684">
        <f>+BS$28*BU113+BT113</f>
        <v>28240.655723022308</v>
      </c>
      <c r="BW113" s="710">
        <f>+BY112</f>
        <v>7066305.0340909259</v>
      </c>
      <c r="BX113" s="711">
        <f>+BW$31</f>
        <v>576841.22727272729</v>
      </c>
      <c r="BY113" s="711">
        <f t="shared" si="20"/>
        <v>6489463.8068181984</v>
      </c>
      <c r="BZ113" s="684">
        <f>+BW$28*BY113+BX113</f>
        <v>1991563.0673124234</v>
      </c>
      <c r="CA113" s="710">
        <f>+CC112</f>
        <v>666815.52000000142</v>
      </c>
      <c r="CB113" s="711">
        <f>+CA$31</f>
        <v>54433.919999999998</v>
      </c>
      <c r="CC113" s="711">
        <f t="shared" si="21"/>
        <v>612381.60000000137</v>
      </c>
      <c r="CD113" s="684">
        <f>+CA$28*CC113+CB113</f>
        <v>187934.87628058193</v>
      </c>
      <c r="CE113" s="710">
        <f>+CG112</f>
        <v>57881.606363636572</v>
      </c>
      <c r="CF113" s="711">
        <f>+CE$31</f>
        <v>4725.0290909090909</v>
      </c>
      <c r="CG113" s="711">
        <f t="shared" si="42"/>
        <v>53156.577272727482</v>
      </c>
      <c r="CH113" s="684">
        <f>+CE$28*CG113+CF113</f>
        <v>16313.31635903039</v>
      </c>
      <c r="CI113" s="710">
        <f>+CK112</f>
        <v>163806.136363636</v>
      </c>
      <c r="CJ113" s="711">
        <f>+CI$31</f>
        <v>12362.727272727272</v>
      </c>
      <c r="CK113" s="711">
        <f t="shared" si="24"/>
        <v>151443.40909090874</v>
      </c>
      <c r="CL113" s="684">
        <f>+CI$28*CK113+CJ113</f>
        <v>45377.827556647695</v>
      </c>
      <c r="CM113" s="967">
        <f t="shared" si="25"/>
        <v>13257694.997348461</v>
      </c>
      <c r="CN113" s="543"/>
      <c r="CO113" s="707">
        <f>+CM113</f>
        <v>13257694.997348461</v>
      </c>
      <c r="CR113" s="710"/>
      <c r="CS113" s="711"/>
      <c r="CT113" s="711"/>
      <c r="CU113" s="684"/>
    </row>
    <row r="114" spans="1:99">
      <c r="A114" s="514" t="s">
        <v>608</v>
      </c>
      <c r="B114" s="474">
        <v>2043</v>
      </c>
      <c r="C114" s="470">
        <f>+C113</f>
        <v>4346471.8448863551</v>
      </c>
      <c r="D114" s="470">
        <f>+D113</f>
        <v>445791.98409090913</v>
      </c>
      <c r="E114" s="470">
        <f t="shared" si="33"/>
        <v>3900679.8607954457</v>
      </c>
      <c r="F114" s="683">
        <f>+C$29*E114+D114</f>
        <v>1327109.1294461777</v>
      </c>
      <c r="G114" s="470">
        <f>+G113</f>
        <v>1100487.1206818162</v>
      </c>
      <c r="H114" s="470">
        <f>+H113</f>
        <v>115840.74954545456</v>
      </c>
      <c r="I114" s="470">
        <f t="shared" si="30"/>
        <v>984646.37113636173</v>
      </c>
      <c r="J114" s="683">
        <f>+G$29*I114+H114</f>
        <v>338311.12905959383</v>
      </c>
      <c r="K114" s="702">
        <f>+K113</f>
        <v>2672422.9099431788</v>
      </c>
      <c r="L114" s="470">
        <f>+L113</f>
        <v>305419.76113636367</v>
      </c>
      <c r="M114" s="470">
        <f t="shared" si="32"/>
        <v>2367003.148806815</v>
      </c>
      <c r="N114" s="683">
        <f>+K$29*M114+L114</f>
        <v>840218.95835321769</v>
      </c>
      <c r="O114" s="702">
        <f>+O113</f>
        <v>1292593.4469696933</v>
      </c>
      <c r="P114" s="470">
        <f>+P113</f>
        <v>119316.31818181818</v>
      </c>
      <c r="Q114" s="470">
        <f t="shared" si="31"/>
        <v>1173277.1287878752</v>
      </c>
      <c r="R114" s="683">
        <f>+O$29*Q114+P114</f>
        <v>384405.81200228562</v>
      </c>
      <c r="S114" s="710">
        <f>+S113</f>
        <v>534560.63333333016</v>
      </c>
      <c r="T114" s="711">
        <f>+T113</f>
        <v>58315.705454545445</v>
      </c>
      <c r="U114" s="711">
        <f t="shared" si="34"/>
        <v>476244.92787878471</v>
      </c>
      <c r="V114" s="684">
        <f>+S$29*U114+T114</f>
        <v>165918.18381903868</v>
      </c>
      <c r="W114" s="710">
        <f>+W113</f>
        <v>7510680.8143939488</v>
      </c>
      <c r="X114" s="711">
        <f>+X113</f>
        <v>693293.61363636365</v>
      </c>
      <c r="Y114" s="711">
        <f t="shared" si="35"/>
        <v>6817387.2007575855</v>
      </c>
      <c r="Z114" s="684">
        <f>+W$29*Y114+X114</f>
        <v>2233609.7741448511</v>
      </c>
      <c r="AA114" s="710">
        <f>+AA113</f>
        <v>4921596.8087121192</v>
      </c>
      <c r="AB114" s="711">
        <f>+AB113</f>
        <v>450833.29545454547</v>
      </c>
      <c r="AC114" s="711">
        <f t="shared" si="37"/>
        <v>4470763.5132575734</v>
      </c>
      <c r="AD114" s="684">
        <f>+AA$29*AC114+AB114</f>
        <v>1460954.7813688393</v>
      </c>
      <c r="AE114" s="710">
        <f>+AE113</f>
        <v>48277.806818181896</v>
      </c>
      <c r="AF114" s="711">
        <f>+AF113</f>
        <v>4597.886363636364</v>
      </c>
      <c r="AG114" s="711">
        <f t="shared" si="36"/>
        <v>43679.920454545529</v>
      </c>
      <c r="AH114" s="684">
        <f>+AE$29*AG114+AF114</f>
        <v>14466.900017193417</v>
      </c>
      <c r="AI114" s="710">
        <f>+AI113</f>
        <v>3497311.276515156</v>
      </c>
      <c r="AJ114" s="711">
        <f>+AJ113</f>
        <v>295547.43181818182</v>
      </c>
      <c r="AK114" s="711">
        <f t="shared" si="38"/>
        <v>3201763.8446969744</v>
      </c>
      <c r="AL114" s="684">
        <f>+AI$29*AK114+AJ114</f>
        <v>1018951.9337027888</v>
      </c>
      <c r="AM114" s="710">
        <f>+AM113</f>
        <v>1274969.5303409095</v>
      </c>
      <c r="AN114" s="711">
        <f>+AN113</f>
        <v>110866.91568181818</v>
      </c>
      <c r="AO114" s="711">
        <f t="shared" si="39"/>
        <v>1164102.6146590912</v>
      </c>
      <c r="AP114" s="684">
        <f>+AM$29*AO114+AN114</f>
        <v>373883.52557164885</v>
      </c>
      <c r="AQ114" s="710">
        <f>+AQ113</f>
        <v>10632953.787954545</v>
      </c>
      <c r="AR114" s="711">
        <f>+AR113</f>
        <v>904932.23727272719</v>
      </c>
      <c r="AS114" s="711">
        <f t="shared" si="40"/>
        <v>9728021.5506818183</v>
      </c>
      <c r="AT114" s="684">
        <f>+AQ$29*AS114+AR114</f>
        <v>3102875.2853989815</v>
      </c>
      <c r="AU114" s="470"/>
      <c r="AV114" s="470"/>
      <c r="AW114" s="470"/>
      <c r="AX114" s="683"/>
      <c r="AY114" s="470"/>
      <c r="AZ114" s="470"/>
      <c r="BA114" s="470"/>
      <c r="BB114" s="683"/>
      <c r="BC114" s="470"/>
      <c r="BD114" s="470"/>
      <c r="BE114" s="470"/>
      <c r="BF114" s="683"/>
      <c r="BG114" s="470"/>
      <c r="BH114" s="470"/>
      <c r="BI114" s="470"/>
      <c r="BJ114" s="683"/>
      <c r="BK114" s="470"/>
      <c r="BL114" s="470"/>
      <c r="BM114" s="470"/>
      <c r="BN114" s="683"/>
      <c r="BO114" s="470"/>
      <c r="BP114" s="470"/>
      <c r="BQ114" s="470"/>
      <c r="BR114" s="683"/>
      <c r="BS114" s="710">
        <f>+BS113</f>
        <v>99730.636363636644</v>
      </c>
      <c r="BT114" s="711">
        <f>+BT113</f>
        <v>8310.886363636364</v>
      </c>
      <c r="BU114" s="711">
        <f t="shared" si="41"/>
        <v>91419.750000000276</v>
      </c>
      <c r="BV114" s="684">
        <f>+BS$29*BU114+BT114</f>
        <v>28966.206967840571</v>
      </c>
      <c r="BW114" s="710">
        <f>+BW113</f>
        <v>7066305.0340909259</v>
      </c>
      <c r="BX114" s="711">
        <f>+BX113</f>
        <v>576841.22727272729</v>
      </c>
      <c r="BY114" s="711">
        <f t="shared" ref="BY114:BY132" si="43">+BW114-BX114</f>
        <v>6489463.8068181984</v>
      </c>
      <c r="BZ114" s="684">
        <f>+BW$29*BY114+BX114</f>
        <v>1991563.0673124234</v>
      </c>
      <c r="CA114" s="710">
        <f>+CA113</f>
        <v>666815.52000000142</v>
      </c>
      <c r="CB114" s="711">
        <f>+CB113</f>
        <v>54433.919999999998</v>
      </c>
      <c r="CC114" s="711">
        <f t="shared" ref="CC114:CC132" si="44">+CA114-CB114</f>
        <v>612381.60000000137</v>
      </c>
      <c r="CD114" s="684">
        <f>+CA$29*CC114+CB114</f>
        <v>192795.03212419123</v>
      </c>
      <c r="CE114" s="710">
        <f>+CE113</f>
        <v>57881.606363636572</v>
      </c>
      <c r="CF114" s="711">
        <f>+CF113</f>
        <v>4725.0290909090909</v>
      </c>
      <c r="CG114" s="711">
        <f t="shared" si="42"/>
        <v>53156.577272727482</v>
      </c>
      <c r="CH114" s="684">
        <f>+CE$29*CG114+CF114</f>
        <v>16735.192603611082</v>
      </c>
      <c r="CI114" s="710">
        <f>+CI113</f>
        <v>163806.136363636</v>
      </c>
      <c r="CJ114" s="711">
        <f>+CJ113</f>
        <v>12362.727272727272</v>
      </c>
      <c r="CK114" s="711">
        <f t="shared" ref="CK114:CK132" si="45">+CI114-CJ114</f>
        <v>151443.40909090874</v>
      </c>
      <c r="CL114" s="684">
        <f>+CI$29*CK114+CJ114</f>
        <v>45377.827556647695</v>
      </c>
      <c r="CM114" s="967">
        <f t="shared" si="25"/>
        <v>13536142.73944933</v>
      </c>
      <c r="CN114" s="708">
        <f>+CM114</f>
        <v>13536142.73944933</v>
      </c>
      <c r="CO114" s="679"/>
      <c r="CR114" s="710"/>
      <c r="CS114" s="711"/>
      <c r="CT114" s="711"/>
      <c r="CU114" s="684"/>
    </row>
    <row r="115" spans="1:99">
      <c r="A115" s="514" t="s">
        <v>609</v>
      </c>
      <c r="B115" s="474">
        <v>2044</v>
      </c>
      <c r="C115" s="470">
        <f>+E114</f>
        <v>3900679.8607954457</v>
      </c>
      <c r="D115" s="470">
        <f>+C$31</f>
        <v>445791.98409090913</v>
      </c>
      <c r="E115" s="470">
        <f t="shared" si="33"/>
        <v>3454887.8767045364</v>
      </c>
      <c r="F115" s="683">
        <f>+C$28*E115+D115</f>
        <v>1198967.5128498459</v>
      </c>
      <c r="G115" s="470">
        <f>+I114</f>
        <v>984646.37113636173</v>
      </c>
      <c r="H115" s="470">
        <f>+G$31</f>
        <v>115840.74954545456</v>
      </c>
      <c r="I115" s="470">
        <f t="shared" si="30"/>
        <v>868805.62159090722</v>
      </c>
      <c r="J115" s="683">
        <f>+G$28*I115+H115</f>
        <v>305242.88263425283</v>
      </c>
      <c r="K115" s="702">
        <f>+M114</f>
        <v>2367003.148806815</v>
      </c>
      <c r="L115" s="470">
        <f>+K$31</f>
        <v>305419.76113636367</v>
      </c>
      <c r="M115" s="470">
        <f t="shared" si="32"/>
        <v>2061583.3876704513</v>
      </c>
      <c r="N115" s="683">
        <f>+K$28*M115+L115</f>
        <v>754850.8898740107</v>
      </c>
      <c r="O115" s="702">
        <f>+Q114</f>
        <v>1173277.1287878752</v>
      </c>
      <c r="P115" s="470">
        <f>+O$31</f>
        <v>119316.31818181818</v>
      </c>
      <c r="Q115" s="470">
        <f t="shared" si="31"/>
        <v>1053960.8106060571</v>
      </c>
      <c r="R115" s="683">
        <f>+O$28*Q115+P115</f>
        <v>349082.81687832635</v>
      </c>
      <c r="S115" s="710">
        <f>+U114</f>
        <v>476244.92787878471</v>
      </c>
      <c r="T115" s="711">
        <f>+S$31</f>
        <v>58315.705454545445</v>
      </c>
      <c r="U115" s="711">
        <f t="shared" si="34"/>
        <v>417929.22242423927</v>
      </c>
      <c r="V115" s="684">
        <f>+S$28*U115+T115</f>
        <v>149425.48218728177</v>
      </c>
      <c r="W115" s="710">
        <f>+Y114</f>
        <v>6817387.2007575855</v>
      </c>
      <c r="X115" s="711">
        <f>+W$31</f>
        <v>693293.61363636365</v>
      </c>
      <c r="Y115" s="711">
        <f t="shared" si="35"/>
        <v>6124093.5871212222</v>
      </c>
      <c r="Z115" s="684">
        <f>+W$28*Y115+X115</f>
        <v>2028363.6912357896</v>
      </c>
      <c r="AA115" s="710">
        <f>+AC114</f>
        <v>4470763.5132575734</v>
      </c>
      <c r="AB115" s="711">
        <f>+AA$31</f>
        <v>450833.29545454547</v>
      </c>
      <c r="AC115" s="711">
        <f t="shared" si="37"/>
        <v>4019930.2178030279</v>
      </c>
      <c r="AD115" s="684">
        <f>+AA$28*AC115+AB115</f>
        <v>1327189.6854210484</v>
      </c>
      <c r="AE115" s="710">
        <f>+AG114</f>
        <v>43679.920454545529</v>
      </c>
      <c r="AF115" s="711">
        <f>+AE$31</f>
        <v>4597.886363636364</v>
      </c>
      <c r="AG115" s="711">
        <f t="shared" si="36"/>
        <v>39082.034090909161</v>
      </c>
      <c r="AH115" s="684">
        <f>+AE$28*AG115+AF115</f>
        <v>13117.882595604575</v>
      </c>
      <c r="AI115" s="710">
        <f>+AK114</f>
        <v>3201763.8446969744</v>
      </c>
      <c r="AJ115" s="711">
        <f>+AI$31</f>
        <v>295547.43181818182</v>
      </c>
      <c r="AK115" s="711">
        <f t="shared" si="38"/>
        <v>2906216.4128787927</v>
      </c>
      <c r="AL115" s="684">
        <f>+AI$28*AK115+AJ115</f>
        <v>929110.99786530086</v>
      </c>
      <c r="AM115" s="710">
        <f>+AO114</f>
        <v>1164102.6146590912</v>
      </c>
      <c r="AN115" s="711">
        <f>+AM$31</f>
        <v>110866.91568181818</v>
      </c>
      <c r="AO115" s="711">
        <f t="shared" si="39"/>
        <v>1053235.698977273</v>
      </c>
      <c r="AP115" s="684">
        <f>+AM$28*AO115+AN115</f>
        <v>340475.33795040485</v>
      </c>
      <c r="AQ115" s="710">
        <f>+AS114</f>
        <v>9728021.5506818183</v>
      </c>
      <c r="AR115" s="711">
        <f>+AQ$31</f>
        <v>904932.23727272719</v>
      </c>
      <c r="AS115" s="711">
        <f t="shared" si="40"/>
        <v>8823089.3134090919</v>
      </c>
      <c r="AT115" s="684">
        <f>+AQ$28*AS115+AR115</f>
        <v>2828391.1731537106</v>
      </c>
      <c r="AU115" s="470"/>
      <c r="AV115" s="470"/>
      <c r="AW115" s="470"/>
      <c r="AX115" s="683"/>
      <c r="AY115" s="470"/>
      <c r="AZ115" s="470"/>
      <c r="BA115" s="470"/>
      <c r="BB115" s="683"/>
      <c r="BC115" s="470"/>
      <c r="BD115" s="470"/>
      <c r="BE115" s="470"/>
      <c r="BF115" s="683"/>
      <c r="BG115" s="470"/>
      <c r="BH115" s="470"/>
      <c r="BI115" s="470"/>
      <c r="BJ115" s="683"/>
      <c r="BK115" s="470"/>
      <c r="BL115" s="470"/>
      <c r="BM115" s="470"/>
      <c r="BN115" s="683"/>
      <c r="BO115" s="470"/>
      <c r="BP115" s="470"/>
      <c r="BQ115" s="470"/>
      <c r="BR115" s="683"/>
      <c r="BS115" s="710">
        <f>+BU114</f>
        <v>91419.750000000276</v>
      </c>
      <c r="BT115" s="711">
        <f>+BS$31</f>
        <v>8310.886363636364</v>
      </c>
      <c r="BU115" s="711">
        <f t="shared" si="41"/>
        <v>83108.863636363909</v>
      </c>
      <c r="BV115" s="684">
        <f>+BS$28*BU115+BT115</f>
        <v>26428.858508532681</v>
      </c>
      <c r="BW115" s="710">
        <f>+BY114</f>
        <v>6489463.8068181984</v>
      </c>
      <c r="BX115" s="711">
        <f>+BW$31</f>
        <v>576841.22727272729</v>
      </c>
      <c r="BY115" s="711">
        <f t="shared" si="43"/>
        <v>5912622.5795454709</v>
      </c>
      <c r="BZ115" s="684">
        <f>+BW$28*BY115+BX115</f>
        <v>1865810.0148644506</v>
      </c>
      <c r="CA115" s="710">
        <f>+CC114</f>
        <v>612381.60000000137</v>
      </c>
      <c r="CB115" s="711">
        <f>+CA$31</f>
        <v>54433.919999999998</v>
      </c>
      <c r="CC115" s="711">
        <f t="shared" si="44"/>
        <v>557947.68000000133</v>
      </c>
      <c r="CD115" s="684">
        <f>+CA$28*CC115+CB115</f>
        <v>176068.12461119686</v>
      </c>
      <c r="CE115" s="710">
        <f>+CG114</f>
        <v>53156.577272727482</v>
      </c>
      <c r="CF115" s="711">
        <f>+CE$31</f>
        <v>4725.0290909090909</v>
      </c>
      <c r="CG115" s="711">
        <f t="shared" si="42"/>
        <v>48431.548181818391</v>
      </c>
      <c r="CH115" s="684">
        <f>+CE$28*CG115+CF115</f>
        <v>15283.246379641834</v>
      </c>
      <c r="CI115" s="710">
        <f>+CK114</f>
        <v>151443.40909090874</v>
      </c>
      <c r="CJ115" s="711">
        <f>+CI$31</f>
        <v>12362.727272727272</v>
      </c>
      <c r="CK115" s="711">
        <f t="shared" si="45"/>
        <v>139080.68181818147</v>
      </c>
      <c r="CL115" s="684">
        <f>+CI$28*CK115+CJ115</f>
        <v>42682.717329388885</v>
      </c>
      <c r="CM115" s="967">
        <f t="shared" si="25"/>
        <v>12350491.314338787</v>
      </c>
      <c r="CN115" s="543"/>
      <c r="CO115" s="707">
        <f>+CM115</f>
        <v>12350491.314338787</v>
      </c>
      <c r="CR115" s="710"/>
      <c r="CS115" s="711"/>
      <c r="CT115" s="711"/>
      <c r="CU115" s="684"/>
    </row>
    <row r="116" spans="1:99">
      <c r="A116" s="514" t="s">
        <v>608</v>
      </c>
      <c r="B116" s="474">
        <v>2044</v>
      </c>
      <c r="C116" s="470">
        <f>+C115</f>
        <v>3900679.8607954457</v>
      </c>
      <c r="D116" s="470">
        <f>+D115</f>
        <v>445791.98409090913</v>
      </c>
      <c r="E116" s="470">
        <f t="shared" si="33"/>
        <v>3454887.8767045364</v>
      </c>
      <c r="F116" s="683">
        <f>+C$29*E116+D116</f>
        <v>1226387.1699770042</v>
      </c>
      <c r="G116" s="470">
        <f>+G115</f>
        <v>984646.37113636173</v>
      </c>
      <c r="H116" s="470">
        <f>+H115</f>
        <v>115840.74954545456</v>
      </c>
      <c r="I116" s="470">
        <f t="shared" si="30"/>
        <v>868805.62159090722</v>
      </c>
      <c r="J116" s="683">
        <f>+G$29*I116+H116</f>
        <v>312138.14323440095</v>
      </c>
      <c r="K116" s="702">
        <f>+K115</f>
        <v>2367003.148806815</v>
      </c>
      <c r="L116" s="470">
        <f>+L115</f>
        <v>305419.76113636367</v>
      </c>
      <c r="M116" s="470">
        <f t="shared" si="32"/>
        <v>2061583.3876704513</v>
      </c>
      <c r="N116" s="683">
        <f>+K$29*M116+L116</f>
        <v>771212.61032523657</v>
      </c>
      <c r="O116" s="702">
        <f>+O115</f>
        <v>1173277.1287878752</v>
      </c>
      <c r="P116" s="470">
        <f>+P115</f>
        <v>119316.31818181818</v>
      </c>
      <c r="Q116" s="470">
        <f t="shared" si="31"/>
        <v>1053960.8106060571</v>
      </c>
      <c r="R116" s="683">
        <f>+O$29*Q116+P116</f>
        <v>357447.55839342449</v>
      </c>
      <c r="S116" s="710">
        <f>+S115</f>
        <v>476244.92787878471</v>
      </c>
      <c r="T116" s="711">
        <f>+T115</f>
        <v>58315.705454545445</v>
      </c>
      <c r="U116" s="711">
        <f t="shared" si="34"/>
        <v>417929.22242423927</v>
      </c>
      <c r="V116" s="684">
        <f>+S$29*U116+T116</f>
        <v>152742.37014175369</v>
      </c>
      <c r="W116" s="710">
        <f>+W115</f>
        <v>6817387.2007575855</v>
      </c>
      <c r="X116" s="711">
        <f>+X115</f>
        <v>693293.61363636365</v>
      </c>
      <c r="Y116" s="711">
        <f t="shared" si="35"/>
        <v>6124093.5871212222</v>
      </c>
      <c r="Z116" s="684">
        <f>+W$29*Y116+X116</f>
        <v>2076967.4527372085</v>
      </c>
      <c r="AA116" s="710">
        <f>+AA115</f>
        <v>4470763.5132575734</v>
      </c>
      <c r="AB116" s="711">
        <f>+AB115</f>
        <v>450833.29545454547</v>
      </c>
      <c r="AC116" s="711">
        <f t="shared" si="37"/>
        <v>4019930.2178030279</v>
      </c>
      <c r="AD116" s="684">
        <f>+AA$29*AC116+AB116</f>
        <v>1359093.791192608</v>
      </c>
      <c r="AE116" s="710">
        <f>+AE115</f>
        <v>43679.920454545529</v>
      </c>
      <c r="AF116" s="711">
        <f>+AF115</f>
        <v>4597.886363636364</v>
      </c>
      <c r="AG116" s="711">
        <f t="shared" si="36"/>
        <v>39082.034090909161</v>
      </c>
      <c r="AH116" s="684">
        <f>+AE$29*AG116+AF116</f>
        <v>13428.056474713729</v>
      </c>
      <c r="AI116" s="710">
        <f>+AI115</f>
        <v>3201763.8446969744</v>
      </c>
      <c r="AJ116" s="711">
        <f>+AJ115</f>
        <v>295547.43181818182</v>
      </c>
      <c r="AK116" s="711">
        <f t="shared" si="38"/>
        <v>2906216.4128787927</v>
      </c>
      <c r="AL116" s="684">
        <f>+AI$29*AK116+AJ116</f>
        <v>952176.13352882513</v>
      </c>
      <c r="AM116" s="710">
        <f>+AM115</f>
        <v>1164102.6146590912</v>
      </c>
      <c r="AN116" s="711">
        <f>+AN115</f>
        <v>110866.91568181818</v>
      </c>
      <c r="AO116" s="711">
        <f t="shared" si="39"/>
        <v>1053235.698977273</v>
      </c>
      <c r="AP116" s="684">
        <f>+AM$29*AO116+AN116</f>
        <v>348834.32462976023</v>
      </c>
      <c r="AQ116" s="710">
        <f>+AQ115</f>
        <v>9728021.5506818183</v>
      </c>
      <c r="AR116" s="711">
        <f>+AR115</f>
        <v>904932.23727272719</v>
      </c>
      <c r="AS116" s="711">
        <f t="shared" si="40"/>
        <v>8823089.3134090919</v>
      </c>
      <c r="AT116" s="684">
        <f>+AQ$29*AS116+AR116</f>
        <v>2898415.4669686323</v>
      </c>
      <c r="AU116" s="470"/>
      <c r="AV116" s="470"/>
      <c r="AW116" s="470"/>
      <c r="AX116" s="683"/>
      <c r="AY116" s="470"/>
      <c r="AZ116" s="470"/>
      <c r="BA116" s="470"/>
      <c r="BB116" s="683"/>
      <c r="BC116" s="470"/>
      <c r="BD116" s="470"/>
      <c r="BE116" s="470"/>
      <c r="BF116" s="683"/>
      <c r="BG116" s="470"/>
      <c r="BH116" s="470"/>
      <c r="BI116" s="470"/>
      <c r="BJ116" s="683"/>
      <c r="BK116" s="470"/>
      <c r="BL116" s="470"/>
      <c r="BM116" s="470"/>
      <c r="BN116" s="683"/>
      <c r="BO116" s="470"/>
      <c r="BP116" s="470"/>
      <c r="BQ116" s="470"/>
      <c r="BR116" s="683"/>
      <c r="BS116" s="710">
        <f>+BS115</f>
        <v>91419.750000000276</v>
      </c>
      <c r="BT116" s="711">
        <f>+BT115</f>
        <v>8310.886363636364</v>
      </c>
      <c r="BU116" s="711">
        <f t="shared" si="41"/>
        <v>83108.863636363909</v>
      </c>
      <c r="BV116" s="684">
        <f>+BS$29*BU116+BT116</f>
        <v>27088.450549276557</v>
      </c>
      <c r="BW116" s="710">
        <f>+BW115</f>
        <v>6489463.8068181984</v>
      </c>
      <c r="BX116" s="711">
        <f>+BX115</f>
        <v>576841.22727272729</v>
      </c>
      <c r="BY116" s="711">
        <f t="shared" si="43"/>
        <v>5912622.5795454709</v>
      </c>
      <c r="BZ116" s="684">
        <f>+BW$29*BY116+BX116</f>
        <v>1865810.0148644506</v>
      </c>
      <c r="CA116" s="710">
        <f>+CA115</f>
        <v>612381.60000000137</v>
      </c>
      <c r="CB116" s="711">
        <f>+CB115</f>
        <v>54433.919999999998</v>
      </c>
      <c r="CC116" s="711">
        <f t="shared" si="44"/>
        <v>557947.68000000133</v>
      </c>
      <c r="CD116" s="684">
        <f>+CA$29*CC116+CB116</f>
        <v>180496.26660204091</v>
      </c>
      <c r="CE116" s="710">
        <f>+CE115</f>
        <v>53156.577272727482</v>
      </c>
      <c r="CF116" s="711">
        <f>+CF115</f>
        <v>4725.0290909090909</v>
      </c>
      <c r="CG116" s="711">
        <f t="shared" si="42"/>
        <v>48431.548181818391</v>
      </c>
      <c r="CH116" s="684">
        <f>+CE$29*CG116+CF116</f>
        <v>15667.622513593131</v>
      </c>
      <c r="CI116" s="710">
        <f>+CI115</f>
        <v>151443.40909090874</v>
      </c>
      <c r="CJ116" s="711">
        <f>+CJ115</f>
        <v>12362.727272727272</v>
      </c>
      <c r="CK116" s="711">
        <f t="shared" si="45"/>
        <v>139080.68181818147</v>
      </c>
      <c r="CL116" s="684">
        <f>+CI$29*CK116+CJ116</f>
        <v>42682.717329388885</v>
      </c>
      <c r="CM116" s="967">
        <f t="shared" si="25"/>
        <v>12600588.149462316</v>
      </c>
      <c r="CN116" s="708">
        <f>+CM116</f>
        <v>12600588.149462316</v>
      </c>
      <c r="CO116" s="679"/>
      <c r="CR116" s="710"/>
      <c r="CS116" s="711"/>
      <c r="CT116" s="711"/>
      <c r="CU116" s="684"/>
    </row>
    <row r="117" spans="1:99">
      <c r="A117" s="514" t="s">
        <v>609</v>
      </c>
      <c r="B117" s="474">
        <v>2045</v>
      </c>
      <c r="C117" s="470">
        <f>+E116</f>
        <v>3454887.8767045364</v>
      </c>
      <c r="D117" s="470">
        <f>+C$31</f>
        <v>445791.98409090913</v>
      </c>
      <c r="E117" s="470">
        <f t="shared" si="33"/>
        <v>3009095.892613627</v>
      </c>
      <c r="F117" s="683">
        <f>+C$28*E117+D117</f>
        <v>1101783.5736551443</v>
      </c>
      <c r="G117" s="470">
        <f>+I116</f>
        <v>868805.62159090722</v>
      </c>
      <c r="H117" s="470">
        <f>+G$31</f>
        <v>115840.74954545456</v>
      </c>
      <c r="I117" s="470">
        <f t="shared" si="30"/>
        <v>752964.87204545271</v>
      </c>
      <c r="J117" s="683">
        <f>+G$28*I117+H117</f>
        <v>279989.26488907973</v>
      </c>
      <c r="K117" s="702">
        <f>+M116</f>
        <v>2061583.3876704513</v>
      </c>
      <c r="L117" s="470">
        <f>+K$31</f>
        <v>305419.76113636367</v>
      </c>
      <c r="M117" s="470">
        <f t="shared" si="32"/>
        <v>1756163.6265340876</v>
      </c>
      <c r="N117" s="683">
        <f>+K$28*M117+L117</f>
        <v>688268.50043139618</v>
      </c>
      <c r="O117" s="702">
        <f>+Q116</f>
        <v>1053960.8106060571</v>
      </c>
      <c r="P117" s="470">
        <f>+O$31</f>
        <v>119316.31818181818</v>
      </c>
      <c r="Q117" s="470">
        <f t="shared" si="31"/>
        <v>934644.49242423894</v>
      </c>
      <c r="R117" s="683">
        <f>+O$28*Q117+P117</f>
        <v>323071.51513909898</v>
      </c>
      <c r="S117" s="710">
        <f>+U116</f>
        <v>417929.22242423927</v>
      </c>
      <c r="T117" s="711">
        <f>+S$31</f>
        <v>58315.705454545445</v>
      </c>
      <c r="U117" s="711">
        <f t="shared" si="34"/>
        <v>359613.51696969382</v>
      </c>
      <c r="V117" s="684">
        <f>+S$28*U117+T117</f>
        <v>136712.4900850394</v>
      </c>
      <c r="W117" s="710">
        <f>+Y116</f>
        <v>6124093.5871212222</v>
      </c>
      <c r="X117" s="711">
        <f>+W$31</f>
        <v>693293.61363636365</v>
      </c>
      <c r="Y117" s="711">
        <f t="shared" si="35"/>
        <v>5430799.9734848589</v>
      </c>
      <c r="Z117" s="684">
        <f>+W$28*Y117+X117</f>
        <v>1877223.6824509492</v>
      </c>
      <c r="AA117" s="710">
        <f>+AC116</f>
        <v>4019930.2178030279</v>
      </c>
      <c r="AB117" s="711">
        <f>+AA$31</f>
        <v>450833.29545454547</v>
      </c>
      <c r="AC117" s="711">
        <f t="shared" si="37"/>
        <v>3569096.9223484825</v>
      </c>
      <c r="AD117" s="684">
        <f>+AA$28*AC117+AB117</f>
        <v>1228906.7257986367</v>
      </c>
      <c r="AE117" s="710">
        <f>+AG116</f>
        <v>39082.034090909161</v>
      </c>
      <c r="AF117" s="711">
        <f>+AE$31</f>
        <v>4597.886363636364</v>
      </c>
      <c r="AG117" s="711">
        <f t="shared" si="36"/>
        <v>34484.147727272793</v>
      </c>
      <c r="AH117" s="684">
        <f>+AE$28*AG117+AF117</f>
        <v>12115.530097725963</v>
      </c>
      <c r="AI117" s="710">
        <f>+AK116</f>
        <v>2906216.4128787927</v>
      </c>
      <c r="AJ117" s="711">
        <f>+AI$31</f>
        <v>295547.43181818182</v>
      </c>
      <c r="AK117" s="711">
        <f t="shared" si="38"/>
        <v>2610668.9810606111</v>
      </c>
      <c r="AL117" s="684">
        <f>+AI$28*AK117+AJ117</f>
        <v>864680.80470796698</v>
      </c>
      <c r="AM117" s="710">
        <f>+AO116</f>
        <v>1053235.698977273</v>
      </c>
      <c r="AN117" s="711">
        <f>+AM$31</f>
        <v>110866.91568181818</v>
      </c>
      <c r="AO117" s="711">
        <f t="shared" si="39"/>
        <v>942368.78329545481</v>
      </c>
      <c r="AP117" s="684">
        <f>+AM$28*AO117+AN117</f>
        <v>316306.03034318524</v>
      </c>
      <c r="AQ117" s="710">
        <f>+AS116</f>
        <v>8823089.3134090919</v>
      </c>
      <c r="AR117" s="711">
        <f>+AQ$31</f>
        <v>904932.23727272719</v>
      </c>
      <c r="AS117" s="711">
        <f t="shared" si="40"/>
        <v>7918157.0761363646</v>
      </c>
      <c r="AT117" s="684">
        <f>+AQ$28*AS117+AR117</f>
        <v>2631113.333576174</v>
      </c>
      <c r="AU117" s="470"/>
      <c r="AV117" s="470"/>
      <c r="AW117" s="470"/>
      <c r="AX117" s="683"/>
      <c r="AY117" s="470"/>
      <c r="AZ117" s="470"/>
      <c r="BA117" s="470"/>
      <c r="BB117" s="683"/>
      <c r="BC117" s="470"/>
      <c r="BD117" s="470"/>
      <c r="BE117" s="470"/>
      <c r="BF117" s="683"/>
      <c r="BG117" s="470"/>
      <c r="BH117" s="470"/>
      <c r="BI117" s="470"/>
      <c r="BJ117" s="683"/>
      <c r="BK117" s="470"/>
      <c r="BL117" s="470"/>
      <c r="BM117" s="470"/>
      <c r="BN117" s="683"/>
      <c r="BO117" s="470"/>
      <c r="BP117" s="470"/>
      <c r="BQ117" s="470"/>
      <c r="BR117" s="683"/>
      <c r="BS117" s="710">
        <f>+BU116</f>
        <v>83108.863636363909</v>
      </c>
      <c r="BT117" s="711">
        <f>+BS$31</f>
        <v>8310.886363636364</v>
      </c>
      <c r="BU117" s="711">
        <f t="shared" si="41"/>
        <v>74797.977272727541</v>
      </c>
      <c r="BV117" s="684">
        <f>+BS$28*BU117+BT117</f>
        <v>24617.061294043051</v>
      </c>
      <c r="BW117" s="710">
        <f>+BY116</f>
        <v>5912622.5795454709</v>
      </c>
      <c r="BX117" s="711">
        <f>+BW$31</f>
        <v>576841.22727272729</v>
      </c>
      <c r="BY117" s="711">
        <f t="shared" si="43"/>
        <v>5335781.3522727434</v>
      </c>
      <c r="BZ117" s="684">
        <f>+BW$28*BY117+BX117</f>
        <v>1740056.962416478</v>
      </c>
      <c r="CA117" s="710">
        <f>+CC116</f>
        <v>557947.68000000133</v>
      </c>
      <c r="CB117" s="711">
        <f>+CA$31</f>
        <v>54433.919999999998</v>
      </c>
      <c r="CC117" s="711">
        <f t="shared" si="44"/>
        <v>503513.76000000135</v>
      </c>
      <c r="CD117" s="684">
        <f>+CA$28*CC117+CB117</f>
        <v>164201.37294181186</v>
      </c>
      <c r="CE117" s="710">
        <f>+CG116</f>
        <v>48431.548181818391</v>
      </c>
      <c r="CF117" s="711">
        <f>+CE$31</f>
        <v>4725.0290909090909</v>
      </c>
      <c r="CG117" s="711">
        <f t="shared" si="42"/>
        <v>43706.5190909093</v>
      </c>
      <c r="CH117" s="684">
        <f>+CE$28*CG117+CF117</f>
        <v>14253.176400253278</v>
      </c>
      <c r="CI117" s="710">
        <f>+CK116</f>
        <v>139080.68181818147</v>
      </c>
      <c r="CJ117" s="711">
        <f>+CI$31</f>
        <v>12362.727272727272</v>
      </c>
      <c r="CK117" s="711">
        <f t="shared" si="45"/>
        <v>126717.95454545421</v>
      </c>
      <c r="CL117" s="684">
        <f>+CI$28*CK117+CJ117</f>
        <v>39987.607102130074</v>
      </c>
      <c r="CM117" s="967">
        <f t="shared" ref="CM117:CM134" si="46">+R117+J117+F117+N117+V117+Z117+AD117+AH117+AL117+AP117+AT117+BV117+BZ117+CD117+CH117+CL117</f>
        <v>11443287.631329114</v>
      </c>
      <c r="CN117" s="543"/>
      <c r="CO117" s="707">
        <f>+CM117</f>
        <v>11443287.631329114</v>
      </c>
      <c r="CR117" s="710"/>
      <c r="CS117" s="711"/>
      <c r="CT117" s="711"/>
      <c r="CU117" s="684"/>
    </row>
    <row r="118" spans="1:99">
      <c r="A118" s="514" t="s">
        <v>608</v>
      </c>
      <c r="B118" s="474">
        <v>2045</v>
      </c>
      <c r="C118" s="470">
        <f>+C117</f>
        <v>3454887.8767045364</v>
      </c>
      <c r="D118" s="470">
        <f>+D117</f>
        <v>445791.98409090913</v>
      </c>
      <c r="E118" s="470">
        <f t="shared" si="33"/>
        <v>3009095.892613627</v>
      </c>
      <c r="F118" s="683">
        <f>+C$29*E118+D118</f>
        <v>1125665.2105078301</v>
      </c>
      <c r="G118" s="470">
        <f>+G117</f>
        <v>868805.62159090722</v>
      </c>
      <c r="H118" s="470">
        <f>+H117</f>
        <v>115840.74954545456</v>
      </c>
      <c r="I118" s="470">
        <f t="shared" si="30"/>
        <v>752964.87204545271</v>
      </c>
      <c r="J118" s="683">
        <f>+G$29*I118+H118</f>
        <v>285965.15740920807</v>
      </c>
      <c r="K118" s="702">
        <f>+K117</f>
        <v>2061583.3876704513</v>
      </c>
      <c r="L118" s="470">
        <f>+L117</f>
        <v>305419.76113636367</v>
      </c>
      <c r="M118" s="470">
        <f t="shared" si="32"/>
        <v>1756163.6265340876</v>
      </c>
      <c r="N118" s="683">
        <f>+K$29*M118+L118</f>
        <v>702206.26229725522</v>
      </c>
      <c r="O118" s="702">
        <f>+O117</f>
        <v>1053960.8106060571</v>
      </c>
      <c r="P118" s="470">
        <f>+P117</f>
        <v>119316.31818181818</v>
      </c>
      <c r="Q118" s="470">
        <f t="shared" si="31"/>
        <v>934644.49242423894</v>
      </c>
      <c r="R118" s="683">
        <f>+O$29*Q118+P118</f>
        <v>330489.30478456331</v>
      </c>
      <c r="S118" s="710">
        <f>+S117</f>
        <v>417929.22242423927</v>
      </c>
      <c r="T118" s="711">
        <f>+T117</f>
        <v>58315.705454545445</v>
      </c>
      <c r="U118" s="711">
        <f t="shared" si="34"/>
        <v>359613.51696969382</v>
      </c>
      <c r="V118" s="684">
        <f>+S$29*U118+T118</f>
        <v>139566.55646446871</v>
      </c>
      <c r="W118" s="710">
        <f>+W117</f>
        <v>6124093.5871212222</v>
      </c>
      <c r="X118" s="711">
        <f>+X117</f>
        <v>693293.61363636365</v>
      </c>
      <c r="Y118" s="711">
        <f t="shared" si="35"/>
        <v>5430799.9734848589</v>
      </c>
      <c r="Z118" s="684">
        <f>+W$29*Y118+X118</f>
        <v>1920325.1313295658</v>
      </c>
      <c r="AA118" s="710">
        <f>+AA117</f>
        <v>4019930.2178030279</v>
      </c>
      <c r="AB118" s="711">
        <f>+AB117</f>
        <v>450833.29545454547</v>
      </c>
      <c r="AC118" s="711">
        <f t="shared" si="37"/>
        <v>3569096.9223484825</v>
      </c>
      <c r="AD118" s="684">
        <f>+AA$29*AC118+AB118</f>
        <v>1257232.8010163766</v>
      </c>
      <c r="AE118" s="710">
        <f>+AE117</f>
        <v>39082.034090909161</v>
      </c>
      <c r="AF118" s="711">
        <f>+AF117</f>
        <v>4597.886363636364</v>
      </c>
      <c r="AG118" s="711">
        <f t="shared" si="36"/>
        <v>34484.147727272793</v>
      </c>
      <c r="AH118" s="684">
        <f>+AE$29*AG118+AF118</f>
        <v>12389.212932234039</v>
      </c>
      <c r="AI118" s="710">
        <f>+AI117</f>
        <v>2906216.4128787927</v>
      </c>
      <c r="AJ118" s="711">
        <f>+AJ117</f>
        <v>295547.43181818182</v>
      </c>
      <c r="AK118" s="711">
        <f t="shared" si="38"/>
        <v>2610668.9810606111</v>
      </c>
      <c r="AL118" s="684">
        <f>+AI$29*AK118+AJ118</f>
        <v>885400.33335486171</v>
      </c>
      <c r="AM118" s="710">
        <f>+AM117</f>
        <v>1053235.698977273</v>
      </c>
      <c r="AN118" s="711">
        <f>+AN117</f>
        <v>110866.91568181818</v>
      </c>
      <c r="AO118" s="711">
        <f t="shared" si="39"/>
        <v>942368.78329545481</v>
      </c>
      <c r="AP118" s="684">
        <f>+AM$29*AO118+AN118</f>
        <v>323785.12368787156</v>
      </c>
      <c r="AQ118" s="710">
        <f>+AQ117</f>
        <v>8823089.3134090919</v>
      </c>
      <c r="AR118" s="711">
        <f>+AR117</f>
        <v>904932.23727272719</v>
      </c>
      <c r="AS118" s="711">
        <f t="shared" si="40"/>
        <v>7918157.0761363646</v>
      </c>
      <c r="AT118" s="684">
        <f>+AQ$29*AS118+AR118</f>
        <v>2693955.6485382831</v>
      </c>
      <c r="AU118" s="470"/>
      <c r="AV118" s="470"/>
      <c r="AW118" s="470"/>
      <c r="AX118" s="683"/>
      <c r="AY118" s="470"/>
      <c r="AZ118" s="470"/>
      <c r="BA118" s="470"/>
      <c r="BB118" s="683"/>
      <c r="BC118" s="470"/>
      <c r="BD118" s="470"/>
      <c r="BE118" s="470"/>
      <c r="BF118" s="683"/>
      <c r="BG118" s="470"/>
      <c r="BH118" s="470"/>
      <c r="BI118" s="470"/>
      <c r="BJ118" s="683"/>
      <c r="BK118" s="470"/>
      <c r="BL118" s="470"/>
      <c r="BM118" s="470"/>
      <c r="BN118" s="683"/>
      <c r="BO118" s="470"/>
      <c r="BP118" s="470"/>
      <c r="BQ118" s="470"/>
      <c r="BR118" s="683"/>
      <c r="BS118" s="710">
        <f>+BS117</f>
        <v>83108.863636363909</v>
      </c>
      <c r="BT118" s="711">
        <f>+BT117</f>
        <v>8310.886363636364</v>
      </c>
      <c r="BU118" s="711">
        <f t="shared" si="41"/>
        <v>74797.977272727541</v>
      </c>
      <c r="BV118" s="684">
        <f>+BS$29*BU118+BT118</f>
        <v>25210.694130712545</v>
      </c>
      <c r="BW118" s="710">
        <f>+BW117</f>
        <v>5912622.5795454709</v>
      </c>
      <c r="BX118" s="711">
        <f>+BX117</f>
        <v>576841.22727272729</v>
      </c>
      <c r="BY118" s="711">
        <f t="shared" si="43"/>
        <v>5335781.3522727434</v>
      </c>
      <c r="BZ118" s="684">
        <f>+BW$29*BY118+BX118</f>
        <v>1740056.962416478</v>
      </c>
      <c r="CA118" s="710">
        <f>+CA117</f>
        <v>557947.68000000133</v>
      </c>
      <c r="CB118" s="711">
        <f>+CB117</f>
        <v>54433.919999999998</v>
      </c>
      <c r="CC118" s="711">
        <f t="shared" si="44"/>
        <v>503513.76000000135</v>
      </c>
      <c r="CD118" s="684">
        <f>+CA$29*CC118+CB118</f>
        <v>168197.50107989059</v>
      </c>
      <c r="CE118" s="710">
        <f>+CE117</f>
        <v>48431.548181818391</v>
      </c>
      <c r="CF118" s="711">
        <f>+CF117</f>
        <v>4725.0290909090909</v>
      </c>
      <c r="CG118" s="711">
        <f t="shared" si="42"/>
        <v>43706.5190909093</v>
      </c>
      <c r="CH118" s="684">
        <f>+CE$29*CG118+CF118</f>
        <v>14600.05242357518</v>
      </c>
      <c r="CI118" s="710">
        <f>+CI117</f>
        <v>139080.68181818147</v>
      </c>
      <c r="CJ118" s="711">
        <f>+CJ117</f>
        <v>12362.727272727272</v>
      </c>
      <c r="CK118" s="711">
        <f t="shared" si="45"/>
        <v>126717.95454545421</v>
      </c>
      <c r="CL118" s="684">
        <f>+CI$29*CK118+CJ118</f>
        <v>39987.607102130074</v>
      </c>
      <c r="CM118" s="967">
        <f t="shared" si="46"/>
        <v>11665033.559475305</v>
      </c>
      <c r="CN118" s="708">
        <f>+CM118</f>
        <v>11665033.559475305</v>
      </c>
      <c r="CO118" s="679"/>
      <c r="CR118" s="710"/>
      <c r="CS118" s="711"/>
      <c r="CT118" s="711"/>
      <c r="CU118" s="684"/>
    </row>
    <row r="119" spans="1:99">
      <c r="A119" s="514" t="s">
        <v>609</v>
      </c>
      <c r="B119" s="474">
        <v>2046</v>
      </c>
      <c r="C119" s="470">
        <f>+E118</f>
        <v>3009095.892613627</v>
      </c>
      <c r="D119" s="470">
        <f>+C$31</f>
        <v>445791.98409090913</v>
      </c>
      <c r="E119" s="470">
        <f t="shared" si="33"/>
        <v>2563303.9085227177</v>
      </c>
      <c r="F119" s="683">
        <f>+C$28*E119+D119</f>
        <v>1004599.6344604424</v>
      </c>
      <c r="G119" s="470">
        <f>+I118</f>
        <v>752964.87204545271</v>
      </c>
      <c r="H119" s="470">
        <f>+G$31</f>
        <v>115840.74954545456</v>
      </c>
      <c r="I119" s="470">
        <f t="shared" si="30"/>
        <v>637124.12249999819</v>
      </c>
      <c r="J119" s="683">
        <f>+G$28*I119+H119</f>
        <v>254735.64714390656</v>
      </c>
      <c r="K119" s="702">
        <f>+M118</f>
        <v>1756163.6265340876</v>
      </c>
      <c r="L119" s="470">
        <f>+K$31</f>
        <v>305419.76113636367</v>
      </c>
      <c r="M119" s="470">
        <f t="shared" si="32"/>
        <v>1450743.8653977239</v>
      </c>
      <c r="N119" s="683">
        <f>+K$28*M119+L119</f>
        <v>621686.11098878179</v>
      </c>
      <c r="O119" s="702">
        <f>+Q118</f>
        <v>934644.49242423894</v>
      </c>
      <c r="P119" s="470">
        <f>+O$31</f>
        <v>119316.31818181818</v>
      </c>
      <c r="Q119" s="470">
        <f t="shared" si="31"/>
        <v>815328.17424242082</v>
      </c>
      <c r="R119" s="683">
        <f>+O$28*Q119+P119</f>
        <v>297060.21339987149</v>
      </c>
      <c r="S119" s="710">
        <f>+U118</f>
        <v>359613.51696969382</v>
      </c>
      <c r="T119" s="711">
        <f>+S$31</f>
        <v>58315.705454545445</v>
      </c>
      <c r="U119" s="711">
        <f t="shared" si="34"/>
        <v>301297.81151514838</v>
      </c>
      <c r="V119" s="684">
        <f>+S$28*U119+T119</f>
        <v>123999.49798279702</v>
      </c>
      <c r="W119" s="710">
        <f>+Y118</f>
        <v>5430799.9734848589</v>
      </c>
      <c r="X119" s="711">
        <f>+W$31</f>
        <v>693293.61363636365</v>
      </c>
      <c r="Y119" s="711">
        <f t="shared" si="35"/>
        <v>4737506.3598484956</v>
      </c>
      <c r="Z119" s="684">
        <f>+W$28*Y119+X119</f>
        <v>1726083.6736661089</v>
      </c>
      <c r="AA119" s="710">
        <f>+AC118</f>
        <v>3569096.9223484825</v>
      </c>
      <c r="AB119" s="711">
        <f>+AA$31</f>
        <v>450833.29545454547</v>
      </c>
      <c r="AC119" s="711">
        <f t="shared" si="37"/>
        <v>3118263.6268939371</v>
      </c>
      <c r="AD119" s="684">
        <f>+AA$28*AC119+AB119</f>
        <v>1130623.7661762252</v>
      </c>
      <c r="AE119" s="710">
        <f>+AG118</f>
        <v>34484.147727272793</v>
      </c>
      <c r="AF119" s="711">
        <f>+AE$31</f>
        <v>4597.886363636364</v>
      </c>
      <c r="AG119" s="711">
        <f t="shared" si="36"/>
        <v>29886.261363636429</v>
      </c>
      <c r="AH119" s="684">
        <f>+AE$28*AG119+AF119</f>
        <v>11113.177599847353</v>
      </c>
      <c r="AI119" s="710">
        <f>+AK118</f>
        <v>2610668.9810606111</v>
      </c>
      <c r="AJ119" s="711">
        <f>+AI$31</f>
        <v>295547.43181818182</v>
      </c>
      <c r="AK119" s="711">
        <f t="shared" si="38"/>
        <v>2315121.5492424294</v>
      </c>
      <c r="AL119" s="684">
        <f>+AI$28*AK119+AJ119</f>
        <v>800250.61155063286</v>
      </c>
      <c r="AM119" s="710">
        <f>+AO118</f>
        <v>942368.78329545481</v>
      </c>
      <c r="AN119" s="711">
        <f>+AM$31</f>
        <v>110866.91568181818</v>
      </c>
      <c r="AO119" s="711">
        <f t="shared" si="39"/>
        <v>831501.86761363666</v>
      </c>
      <c r="AP119" s="684">
        <f>+AM$28*AO119+AN119</f>
        <v>292136.72273596562</v>
      </c>
      <c r="AQ119" s="710">
        <f>+AS118</f>
        <v>7918157.0761363646</v>
      </c>
      <c r="AR119" s="711">
        <f>+AQ$31</f>
        <v>904932.23727272719</v>
      </c>
      <c r="AS119" s="711">
        <f t="shared" si="40"/>
        <v>7013224.8388636373</v>
      </c>
      <c r="AT119" s="684">
        <f>+AQ$28*AS119+AR119</f>
        <v>2433835.4939986374</v>
      </c>
      <c r="AU119" s="470"/>
      <c r="AV119" s="470"/>
      <c r="AW119" s="470"/>
      <c r="AX119" s="683"/>
      <c r="AY119" s="470"/>
      <c r="AZ119" s="470"/>
      <c r="BA119" s="470"/>
      <c r="BB119" s="683"/>
      <c r="BC119" s="470"/>
      <c r="BD119" s="470"/>
      <c r="BE119" s="470"/>
      <c r="BF119" s="683"/>
      <c r="BG119" s="470"/>
      <c r="BH119" s="470"/>
      <c r="BI119" s="470"/>
      <c r="BJ119" s="683"/>
      <c r="BK119" s="470"/>
      <c r="BL119" s="470"/>
      <c r="BM119" s="470"/>
      <c r="BN119" s="683"/>
      <c r="BO119" s="470"/>
      <c r="BP119" s="470"/>
      <c r="BQ119" s="470"/>
      <c r="BR119" s="683"/>
      <c r="BS119" s="710">
        <f>+BU118</f>
        <v>74797.977272727541</v>
      </c>
      <c r="BT119" s="711">
        <f>+BS$31</f>
        <v>8310.886363636364</v>
      </c>
      <c r="BU119" s="711">
        <f t="shared" si="41"/>
        <v>66487.090909091174</v>
      </c>
      <c r="BV119" s="684">
        <f>+BS$28*BU119+BT119</f>
        <v>22805.264079553428</v>
      </c>
      <c r="BW119" s="710">
        <f>+BY118</f>
        <v>5335781.3522727434</v>
      </c>
      <c r="BX119" s="711">
        <f>+BW$31</f>
        <v>576841.22727272729</v>
      </c>
      <c r="BY119" s="711">
        <f t="shared" si="43"/>
        <v>4758940.1250000158</v>
      </c>
      <c r="BZ119" s="684">
        <f>+BW$28*BY119+BX119</f>
        <v>1614303.9099685051</v>
      </c>
      <c r="CA119" s="710">
        <f>+CC118</f>
        <v>503513.76000000135</v>
      </c>
      <c r="CB119" s="711">
        <f>+CA$31</f>
        <v>54433.919999999998</v>
      </c>
      <c r="CC119" s="711">
        <f t="shared" si="44"/>
        <v>449079.84000000136</v>
      </c>
      <c r="CD119" s="684">
        <f>+CA$28*CC119+CB119</f>
        <v>152334.6212724268</v>
      </c>
      <c r="CE119" s="710">
        <f>+CG118</f>
        <v>43706.5190909093</v>
      </c>
      <c r="CF119" s="711">
        <f>+CE$31</f>
        <v>4725.0290909090909</v>
      </c>
      <c r="CG119" s="711">
        <f t="shared" si="42"/>
        <v>38981.490000000209</v>
      </c>
      <c r="CH119" s="684">
        <f>+CE$28*CG119+CF119</f>
        <v>13223.106420864722</v>
      </c>
      <c r="CI119" s="710">
        <f>+CK118</f>
        <v>126717.95454545421</v>
      </c>
      <c r="CJ119" s="711">
        <f>+CI$31</f>
        <v>12362.727272727272</v>
      </c>
      <c r="CK119" s="711">
        <f t="shared" si="45"/>
        <v>114355.22727272694</v>
      </c>
      <c r="CL119" s="684">
        <f>+CI$28*CK119+CJ119</f>
        <v>37292.496874871256</v>
      </c>
      <c r="CM119" s="967">
        <f t="shared" si="46"/>
        <v>10536083.948319437</v>
      </c>
      <c r="CN119" s="543"/>
      <c r="CO119" s="707">
        <f>+CM119</f>
        <v>10536083.948319437</v>
      </c>
      <c r="CR119" s="710"/>
      <c r="CS119" s="711"/>
      <c r="CT119" s="711"/>
      <c r="CU119" s="684"/>
    </row>
    <row r="120" spans="1:99">
      <c r="A120" s="514" t="s">
        <v>608</v>
      </c>
      <c r="B120" s="474">
        <v>2046</v>
      </c>
      <c r="C120" s="470">
        <f>+C119</f>
        <v>3009095.892613627</v>
      </c>
      <c r="D120" s="470">
        <f>+D119</f>
        <v>445791.98409090913</v>
      </c>
      <c r="E120" s="470">
        <f t="shared" si="33"/>
        <v>2563303.9085227177</v>
      </c>
      <c r="F120" s="683">
        <f>+C$29*E120+D120</f>
        <v>1024943.2510386563</v>
      </c>
      <c r="G120" s="470">
        <f>+G119</f>
        <v>752964.87204545271</v>
      </c>
      <c r="H120" s="470">
        <f>+H119</f>
        <v>115840.74954545456</v>
      </c>
      <c r="I120" s="470">
        <f t="shared" si="30"/>
        <v>637124.12249999819</v>
      </c>
      <c r="J120" s="683">
        <f>+G$29*I120+H120</f>
        <v>259792.17158401513</v>
      </c>
      <c r="K120" s="702">
        <f>+K119</f>
        <v>1756163.6265340876</v>
      </c>
      <c r="L120" s="470">
        <f>+L119</f>
        <v>305419.76113636367</v>
      </c>
      <c r="M120" s="470">
        <f t="shared" si="32"/>
        <v>1450743.8653977239</v>
      </c>
      <c r="N120" s="683">
        <f>+K$29*M120+L120</f>
        <v>633199.91426927387</v>
      </c>
      <c r="O120" s="702">
        <f>+O119</f>
        <v>934644.49242423894</v>
      </c>
      <c r="P120" s="470">
        <f>+P119</f>
        <v>119316.31818181818</v>
      </c>
      <c r="Q120" s="470">
        <f t="shared" si="31"/>
        <v>815328.17424242082</v>
      </c>
      <c r="R120" s="683">
        <f>+O$29*Q120+P120</f>
        <v>303531.05117570213</v>
      </c>
      <c r="S120" s="710">
        <f>+S119</f>
        <v>359613.51696969382</v>
      </c>
      <c r="T120" s="711">
        <f>+T119</f>
        <v>58315.705454545445</v>
      </c>
      <c r="U120" s="711">
        <f t="shared" si="34"/>
        <v>301297.81151514838</v>
      </c>
      <c r="V120" s="684">
        <f>+S$29*U120+T120</f>
        <v>126390.74278718376</v>
      </c>
      <c r="W120" s="710">
        <f>+W119</f>
        <v>5430799.9734848589</v>
      </c>
      <c r="X120" s="711">
        <f>+X119</f>
        <v>693293.61363636365</v>
      </c>
      <c r="Y120" s="711">
        <f t="shared" si="35"/>
        <v>4737506.3598484956</v>
      </c>
      <c r="Z120" s="684">
        <f>+W$29*Y120+X120</f>
        <v>1763682.8099219236</v>
      </c>
      <c r="AA120" s="710">
        <f>+AA119</f>
        <v>3569096.9223484825</v>
      </c>
      <c r="AB120" s="711">
        <f>+AB119</f>
        <v>450833.29545454547</v>
      </c>
      <c r="AC120" s="711">
        <f t="shared" si="37"/>
        <v>3118263.6268939371</v>
      </c>
      <c r="AD120" s="684">
        <f>+AA$29*AC120+AB120</f>
        <v>1155371.8108401452</v>
      </c>
      <c r="AE120" s="710">
        <f>+AE119</f>
        <v>34484.147727272793</v>
      </c>
      <c r="AF120" s="711">
        <f>+AF119</f>
        <v>4597.886363636364</v>
      </c>
      <c r="AG120" s="711">
        <f t="shared" si="36"/>
        <v>29886.261363636429</v>
      </c>
      <c r="AH120" s="684">
        <f>+AE$29*AG120+AF120</f>
        <v>11350.369389754351</v>
      </c>
      <c r="AI120" s="710">
        <f>+AI119</f>
        <v>2610668.9810606111</v>
      </c>
      <c r="AJ120" s="711">
        <f>+AJ119</f>
        <v>295547.43181818182</v>
      </c>
      <c r="AK120" s="711">
        <f t="shared" si="38"/>
        <v>2315121.5492424294</v>
      </c>
      <c r="AL120" s="684">
        <f>+AI$29*AK120+AJ120</f>
        <v>818624.53318089806</v>
      </c>
      <c r="AM120" s="710">
        <f>+AM119</f>
        <v>942368.78329545481</v>
      </c>
      <c r="AN120" s="711">
        <f>+AN119</f>
        <v>110866.91568181818</v>
      </c>
      <c r="AO120" s="711">
        <f t="shared" si="39"/>
        <v>831501.86761363666</v>
      </c>
      <c r="AP120" s="684">
        <f>+AM$29*AO120+AN120</f>
        <v>298735.92274598294</v>
      </c>
      <c r="AQ120" s="710">
        <f>+AQ119</f>
        <v>7918157.0761363646</v>
      </c>
      <c r="AR120" s="711">
        <f>+AR119</f>
        <v>904932.23727272719</v>
      </c>
      <c r="AS120" s="711">
        <f t="shared" si="40"/>
        <v>7013224.8388636373</v>
      </c>
      <c r="AT120" s="684">
        <f>+AQ$29*AS120+AR120</f>
        <v>2489495.8301079338</v>
      </c>
      <c r="AU120" s="470"/>
      <c r="AV120" s="470"/>
      <c r="AW120" s="470"/>
      <c r="AX120" s="683"/>
      <c r="AY120" s="470"/>
      <c r="AZ120" s="470"/>
      <c r="BA120" s="470"/>
      <c r="BB120" s="683"/>
      <c r="BC120" s="470"/>
      <c r="BD120" s="470"/>
      <c r="BE120" s="470"/>
      <c r="BF120" s="683"/>
      <c r="BG120" s="470"/>
      <c r="BH120" s="470"/>
      <c r="BI120" s="470"/>
      <c r="BJ120" s="683"/>
      <c r="BK120" s="470"/>
      <c r="BL120" s="470"/>
      <c r="BM120" s="470"/>
      <c r="BN120" s="683"/>
      <c r="BO120" s="470"/>
      <c r="BP120" s="470"/>
      <c r="BQ120" s="470"/>
      <c r="BR120" s="683"/>
      <c r="BS120" s="710">
        <f>+BS119</f>
        <v>74797.977272727541</v>
      </c>
      <c r="BT120" s="711">
        <f>+BT119</f>
        <v>8310.886363636364</v>
      </c>
      <c r="BU120" s="711">
        <f t="shared" si="41"/>
        <v>66487.090909091174</v>
      </c>
      <c r="BV120" s="684">
        <f>+BS$29*BU120+BT120</f>
        <v>23332.93771214853</v>
      </c>
      <c r="BW120" s="710">
        <f>+BW119</f>
        <v>5335781.3522727434</v>
      </c>
      <c r="BX120" s="711">
        <f>+BX119</f>
        <v>576841.22727272729</v>
      </c>
      <c r="BY120" s="711">
        <f t="shared" si="43"/>
        <v>4758940.1250000158</v>
      </c>
      <c r="BZ120" s="684">
        <f>+BW$29*BY120+BX120</f>
        <v>1614303.9099685051</v>
      </c>
      <c r="CA120" s="710">
        <f>+CA119</f>
        <v>503513.76000000135</v>
      </c>
      <c r="CB120" s="711">
        <f>+CB119</f>
        <v>54433.919999999998</v>
      </c>
      <c r="CC120" s="711">
        <f t="shared" si="44"/>
        <v>449079.84000000136</v>
      </c>
      <c r="CD120" s="684">
        <f>+CA$29*CC120+CB120</f>
        <v>155898.73555774032</v>
      </c>
      <c r="CE120" s="710">
        <f>+CE119</f>
        <v>43706.5190909093</v>
      </c>
      <c r="CF120" s="711">
        <f>+CF119</f>
        <v>4725.0290909090909</v>
      </c>
      <c r="CG120" s="711">
        <f t="shared" si="42"/>
        <v>38981.490000000209</v>
      </c>
      <c r="CH120" s="684">
        <f>+CE$29*CG120+CF120</f>
        <v>13532.482333557229</v>
      </c>
      <c r="CI120" s="710">
        <f>+CI119</f>
        <v>126717.95454545421</v>
      </c>
      <c r="CJ120" s="711">
        <f>+CJ119</f>
        <v>12362.727272727272</v>
      </c>
      <c r="CK120" s="711">
        <f t="shared" si="45"/>
        <v>114355.22727272694</v>
      </c>
      <c r="CL120" s="684">
        <f>+CI$29*CK120+CJ120</f>
        <v>37292.496874871256</v>
      </c>
      <c r="CM120" s="967">
        <f t="shared" si="46"/>
        <v>10729478.969488293</v>
      </c>
      <c r="CN120" s="708">
        <f>+CM120</f>
        <v>10729478.969488293</v>
      </c>
      <c r="CO120" s="679"/>
      <c r="CR120" s="710"/>
      <c r="CS120" s="711"/>
      <c r="CT120" s="711"/>
      <c r="CU120" s="684"/>
    </row>
    <row r="121" spans="1:99">
      <c r="A121" s="514" t="s">
        <v>609</v>
      </c>
      <c r="B121" s="474">
        <v>2047</v>
      </c>
      <c r="C121" s="470">
        <f>+E120</f>
        <v>2563303.9085227177</v>
      </c>
      <c r="D121" s="470">
        <f>+C$31</f>
        <v>445791.98409090913</v>
      </c>
      <c r="E121" s="470">
        <f t="shared" si="33"/>
        <v>2117511.9244318083</v>
      </c>
      <c r="F121" s="683">
        <f>+C$28*E121+D121</f>
        <v>907415.69526574039</v>
      </c>
      <c r="G121" s="470">
        <f>+I120</f>
        <v>637124.12249999819</v>
      </c>
      <c r="H121" s="470">
        <f>+G$31</f>
        <v>115840.74954545456</v>
      </c>
      <c r="I121" s="470">
        <f t="shared" si="30"/>
        <v>521283.37295454362</v>
      </c>
      <c r="J121" s="683">
        <f>+G$28*I121+H121</f>
        <v>229482.0293987334</v>
      </c>
      <c r="K121" s="702">
        <f>+M120</f>
        <v>1450743.8653977239</v>
      </c>
      <c r="L121" s="470">
        <f>+K$31</f>
        <v>305419.76113636367</v>
      </c>
      <c r="M121" s="470">
        <f t="shared" si="32"/>
        <v>1145324.1042613601</v>
      </c>
      <c r="N121" s="683">
        <f>+K$28*M121+L121</f>
        <v>555103.72154616727</v>
      </c>
      <c r="O121" s="702">
        <f>+Q120</f>
        <v>815328.17424242082</v>
      </c>
      <c r="P121" s="470">
        <f>+O$31</f>
        <v>119316.31818181818</v>
      </c>
      <c r="Q121" s="470">
        <f t="shared" si="31"/>
        <v>696011.8560606027</v>
      </c>
      <c r="R121" s="683">
        <f>+O$28*Q121+P121</f>
        <v>271048.91166064411</v>
      </c>
      <c r="S121" s="710">
        <f>+U120</f>
        <v>301297.81151514838</v>
      </c>
      <c r="T121" s="711">
        <f>+S$31</f>
        <v>58315.705454545445</v>
      </c>
      <c r="U121" s="711">
        <f t="shared" si="34"/>
        <v>242982.10606060294</v>
      </c>
      <c r="V121" s="684">
        <f>+S$28*U121+T121</f>
        <v>111286.50588055464</v>
      </c>
      <c r="W121" s="710">
        <f>+Y120</f>
        <v>4737506.3598484956</v>
      </c>
      <c r="X121" s="711">
        <f>+W$31</f>
        <v>693293.61363636365</v>
      </c>
      <c r="Y121" s="711">
        <f t="shared" si="35"/>
        <v>4044212.7462121318</v>
      </c>
      <c r="Z121" s="684">
        <f>+W$28*Y121+X121</f>
        <v>1574943.6648812685</v>
      </c>
      <c r="AA121" s="710">
        <f>+AC120</f>
        <v>3118263.6268939371</v>
      </c>
      <c r="AB121" s="711">
        <f>+AA$31</f>
        <v>450833.29545454547</v>
      </c>
      <c r="AC121" s="711">
        <f t="shared" si="37"/>
        <v>2667430.3314393917</v>
      </c>
      <c r="AD121" s="684">
        <f>+AA$28*AC121+AB121</f>
        <v>1032340.8065538136</v>
      </c>
      <c r="AE121" s="710">
        <f>+AG120</f>
        <v>29886.261363636429</v>
      </c>
      <c r="AF121" s="711">
        <f>+AE$31</f>
        <v>4597.886363636364</v>
      </c>
      <c r="AG121" s="711">
        <f t="shared" si="36"/>
        <v>25288.375000000065</v>
      </c>
      <c r="AH121" s="684">
        <f>+AE$28*AG121+AF121</f>
        <v>10110.825101968741</v>
      </c>
      <c r="AI121" s="710">
        <f>+AK120</f>
        <v>2315121.5492424294</v>
      </c>
      <c r="AJ121" s="711">
        <f>+AI$31</f>
        <v>295547.43181818182</v>
      </c>
      <c r="AK121" s="711">
        <f t="shared" si="38"/>
        <v>2019574.1174242476</v>
      </c>
      <c r="AL121" s="684">
        <f>+AI$28*AK121+AJ121</f>
        <v>735820.41839329887</v>
      </c>
      <c r="AM121" s="710">
        <f>+AO120</f>
        <v>831501.86761363666</v>
      </c>
      <c r="AN121" s="711">
        <f>+AM$31</f>
        <v>110866.91568181818</v>
      </c>
      <c r="AO121" s="711">
        <f t="shared" si="39"/>
        <v>720634.9519318185</v>
      </c>
      <c r="AP121" s="684">
        <f>+AM$28*AO121+AN121</f>
        <v>267967.41512874595</v>
      </c>
      <c r="AQ121" s="710">
        <f>+AS120</f>
        <v>7013224.8388636373</v>
      </c>
      <c r="AR121" s="711">
        <f>+AQ$31</f>
        <v>904932.23727272719</v>
      </c>
      <c r="AS121" s="711">
        <f t="shared" si="40"/>
        <v>6108292.60159091</v>
      </c>
      <c r="AT121" s="684">
        <f>+AQ$28*AS121+AR121</f>
        <v>2236557.6544211004</v>
      </c>
      <c r="AU121" s="470"/>
      <c r="AV121" s="470"/>
      <c r="AW121" s="470"/>
      <c r="AX121" s="683"/>
      <c r="AY121" s="470"/>
      <c r="AZ121" s="470"/>
      <c r="BA121" s="470"/>
      <c r="BB121" s="683"/>
      <c r="BC121" s="470"/>
      <c r="BD121" s="470"/>
      <c r="BE121" s="470"/>
      <c r="BF121" s="683"/>
      <c r="BG121" s="470"/>
      <c r="BH121" s="470"/>
      <c r="BI121" s="470"/>
      <c r="BJ121" s="683"/>
      <c r="BK121" s="470"/>
      <c r="BL121" s="470"/>
      <c r="BM121" s="470"/>
      <c r="BN121" s="683"/>
      <c r="BO121" s="470"/>
      <c r="BP121" s="470"/>
      <c r="BQ121" s="470"/>
      <c r="BR121" s="683"/>
      <c r="BS121" s="710">
        <f>+BU120</f>
        <v>66487.090909091174</v>
      </c>
      <c r="BT121" s="711">
        <f>+BS$31</f>
        <v>8310.886363636364</v>
      </c>
      <c r="BU121" s="711">
        <f t="shared" si="41"/>
        <v>58176.204545454806</v>
      </c>
      <c r="BV121" s="684">
        <f>+BS$28*BU121+BT121</f>
        <v>20993.466865063801</v>
      </c>
      <c r="BW121" s="710">
        <f>+BY120</f>
        <v>4758940.1250000158</v>
      </c>
      <c r="BX121" s="711">
        <f>+BW$31</f>
        <v>576841.22727272729</v>
      </c>
      <c r="BY121" s="711">
        <f t="shared" si="43"/>
        <v>4182098.8977272883</v>
      </c>
      <c r="BZ121" s="684">
        <f>+BW$28*BY121+BX121</f>
        <v>1488550.8575205323</v>
      </c>
      <c r="CA121" s="710">
        <f>+CC120</f>
        <v>449079.84000000136</v>
      </c>
      <c r="CB121" s="711">
        <f>+CA$31</f>
        <v>54433.919999999998</v>
      </c>
      <c r="CC121" s="711">
        <f t="shared" si="44"/>
        <v>394645.92000000138</v>
      </c>
      <c r="CD121" s="684">
        <f>+CA$28*CC121+CB121</f>
        <v>140467.86960304179</v>
      </c>
      <c r="CE121" s="710">
        <f>+CG120</f>
        <v>38981.490000000209</v>
      </c>
      <c r="CF121" s="711">
        <f>+CE$31</f>
        <v>4725.0290909090909</v>
      </c>
      <c r="CG121" s="711">
        <f t="shared" si="42"/>
        <v>34256.460909091118</v>
      </c>
      <c r="CH121" s="684">
        <f>+CE$28*CG121+CF121</f>
        <v>12193.036441476166</v>
      </c>
      <c r="CI121" s="710">
        <f>+CK120</f>
        <v>114355.22727272694</v>
      </c>
      <c r="CJ121" s="711">
        <f>+CI$31</f>
        <v>12362.727272727272</v>
      </c>
      <c r="CK121" s="711">
        <f t="shared" si="45"/>
        <v>101992.49999999968</v>
      </c>
      <c r="CL121" s="684">
        <f>+CI$28*CK121+CJ121</f>
        <v>34597.386647612439</v>
      </c>
      <c r="CM121" s="967">
        <f t="shared" si="46"/>
        <v>9628880.2653097622</v>
      </c>
      <c r="CN121" s="543"/>
      <c r="CO121" s="707">
        <f>+CM121</f>
        <v>9628880.2653097622</v>
      </c>
      <c r="CR121" s="710"/>
      <c r="CS121" s="711"/>
      <c r="CT121" s="711"/>
      <c r="CU121" s="684"/>
    </row>
    <row r="122" spans="1:99">
      <c r="A122" s="514" t="s">
        <v>608</v>
      </c>
      <c r="B122" s="474">
        <v>2047</v>
      </c>
      <c r="C122" s="470">
        <f>+C121</f>
        <v>2563303.9085227177</v>
      </c>
      <c r="D122" s="470">
        <f>+D121</f>
        <v>445791.98409090913</v>
      </c>
      <c r="E122" s="470">
        <f t="shared" si="33"/>
        <v>2117511.9244318083</v>
      </c>
      <c r="F122" s="683">
        <f>+C$29*E122+D122</f>
        <v>924221.29156948242</v>
      </c>
      <c r="G122" s="470">
        <f>+G121</f>
        <v>637124.12249999819</v>
      </c>
      <c r="H122" s="470">
        <f>+H121</f>
        <v>115840.74954545456</v>
      </c>
      <c r="I122" s="470">
        <f t="shared" si="30"/>
        <v>521283.37295454362</v>
      </c>
      <c r="J122" s="683">
        <f>+G$29*I122+H122</f>
        <v>233619.18575882225</v>
      </c>
      <c r="K122" s="702">
        <f>+K121</f>
        <v>1450743.8653977239</v>
      </c>
      <c r="L122" s="470">
        <f>+L121</f>
        <v>305419.76113636367</v>
      </c>
      <c r="M122" s="470">
        <f t="shared" si="32"/>
        <v>1145324.1042613601</v>
      </c>
      <c r="N122" s="683">
        <f>+K$29*M122+L122</f>
        <v>564193.56624129263</v>
      </c>
      <c r="O122" s="702">
        <f>+O121</f>
        <v>815328.17424242082</v>
      </c>
      <c r="P122" s="470">
        <f>+P121</f>
        <v>119316.31818181818</v>
      </c>
      <c r="Q122" s="470">
        <f t="shared" si="31"/>
        <v>696011.8560606027</v>
      </c>
      <c r="R122" s="683">
        <f>+O$29*Q122+P122</f>
        <v>276572.79756684101</v>
      </c>
      <c r="S122" s="710">
        <f>+S121</f>
        <v>301297.81151514838</v>
      </c>
      <c r="T122" s="711">
        <f>+T121</f>
        <v>58315.705454545445</v>
      </c>
      <c r="U122" s="711">
        <f t="shared" si="34"/>
        <v>242982.10606060294</v>
      </c>
      <c r="V122" s="684">
        <f>+S$29*U122+T122</f>
        <v>113214.92910989879</v>
      </c>
      <c r="W122" s="710">
        <f>+W121</f>
        <v>4737506.3598484956</v>
      </c>
      <c r="X122" s="711">
        <f>+X121</f>
        <v>693293.61363636365</v>
      </c>
      <c r="Y122" s="711">
        <f t="shared" si="35"/>
        <v>4044212.7462121318</v>
      </c>
      <c r="Z122" s="684">
        <f>+W$29*Y122+X122</f>
        <v>1607040.4885142809</v>
      </c>
      <c r="AA122" s="710">
        <f>+AA121</f>
        <v>3118263.6268939371</v>
      </c>
      <c r="AB122" s="711">
        <f>+AB121</f>
        <v>450833.29545454547</v>
      </c>
      <c r="AC122" s="711">
        <f t="shared" si="37"/>
        <v>2667430.3314393917</v>
      </c>
      <c r="AD122" s="684">
        <f>+AA$29*AC122+AB122</f>
        <v>1053510.8206639139</v>
      </c>
      <c r="AE122" s="710">
        <f>+AE121</f>
        <v>29886.261363636429</v>
      </c>
      <c r="AF122" s="711">
        <f>+AF121</f>
        <v>4597.886363636364</v>
      </c>
      <c r="AG122" s="711">
        <f t="shared" si="36"/>
        <v>25288.375000000065</v>
      </c>
      <c r="AH122" s="684">
        <f>+AE$29*AG122+AF122</f>
        <v>10311.525847274663</v>
      </c>
      <c r="AI122" s="710">
        <f>+AI121</f>
        <v>2315121.5492424294</v>
      </c>
      <c r="AJ122" s="711">
        <f>+AJ121</f>
        <v>295547.43181818182</v>
      </c>
      <c r="AK122" s="711">
        <f t="shared" si="38"/>
        <v>2019574.1174242476</v>
      </c>
      <c r="AL122" s="684">
        <f>+AI$29*AK122+AJ122</f>
        <v>751848.7330069344</v>
      </c>
      <c r="AM122" s="710">
        <f>+AM121</f>
        <v>831501.86761363666</v>
      </c>
      <c r="AN122" s="711">
        <f>+AN121</f>
        <v>110866.91568181818</v>
      </c>
      <c r="AO122" s="711">
        <f t="shared" si="39"/>
        <v>720634.9519318185</v>
      </c>
      <c r="AP122" s="684">
        <f>+AM$29*AO122+AN122</f>
        <v>273686.72180409433</v>
      </c>
      <c r="AQ122" s="710">
        <f>+AQ121</f>
        <v>7013224.8388636373</v>
      </c>
      <c r="AR122" s="711">
        <f>+AR121</f>
        <v>904932.23727272719</v>
      </c>
      <c r="AS122" s="711">
        <f t="shared" si="40"/>
        <v>6108292.60159091</v>
      </c>
      <c r="AT122" s="684">
        <f>+AQ$29*AS122+AR122</f>
        <v>2285036.0116775846</v>
      </c>
      <c r="AU122" s="470"/>
      <c r="AV122" s="470"/>
      <c r="AW122" s="470"/>
      <c r="AX122" s="683"/>
      <c r="AY122" s="470"/>
      <c r="AZ122" s="470"/>
      <c r="BA122" s="470"/>
      <c r="BB122" s="683"/>
      <c r="BC122" s="470"/>
      <c r="BD122" s="470"/>
      <c r="BE122" s="470"/>
      <c r="BF122" s="683"/>
      <c r="BG122" s="470"/>
      <c r="BH122" s="470"/>
      <c r="BI122" s="470"/>
      <c r="BJ122" s="683"/>
      <c r="BK122" s="470"/>
      <c r="BL122" s="470"/>
      <c r="BM122" s="470"/>
      <c r="BN122" s="683"/>
      <c r="BO122" s="470"/>
      <c r="BP122" s="470"/>
      <c r="BQ122" s="470"/>
      <c r="BR122" s="683"/>
      <c r="BS122" s="710">
        <f>+BS121</f>
        <v>66487.090909091174</v>
      </c>
      <c r="BT122" s="711">
        <f>+BT121</f>
        <v>8310.886363636364</v>
      </c>
      <c r="BU122" s="711">
        <f t="shared" si="41"/>
        <v>58176.204545454806</v>
      </c>
      <c r="BV122" s="684">
        <f>+BS$29*BU122+BT122</f>
        <v>21455.181293584516</v>
      </c>
      <c r="BW122" s="710">
        <f>+BW121</f>
        <v>4758940.1250000158</v>
      </c>
      <c r="BX122" s="711">
        <f>+BX121</f>
        <v>576841.22727272729</v>
      </c>
      <c r="BY122" s="711">
        <f t="shared" si="43"/>
        <v>4182098.8977272883</v>
      </c>
      <c r="BZ122" s="684">
        <f>+BW$29*BY122+BX122</f>
        <v>1488550.8575205323</v>
      </c>
      <c r="CA122" s="710">
        <f>+CA121</f>
        <v>449079.84000000136</v>
      </c>
      <c r="CB122" s="711">
        <f>+CB121</f>
        <v>54433.919999999998</v>
      </c>
      <c r="CC122" s="711">
        <f t="shared" si="44"/>
        <v>394645.92000000138</v>
      </c>
      <c r="CD122" s="684">
        <f>+CA$29*CC122+CB122</f>
        <v>143599.97003559</v>
      </c>
      <c r="CE122" s="710">
        <f>+CE121</f>
        <v>38981.490000000209</v>
      </c>
      <c r="CF122" s="711">
        <f>+CF121</f>
        <v>4725.0290909090909</v>
      </c>
      <c r="CG122" s="711">
        <f t="shared" si="42"/>
        <v>34256.460909091118</v>
      </c>
      <c r="CH122" s="684">
        <f>+CE$29*CG122+CF122</f>
        <v>12464.912243539278</v>
      </c>
      <c r="CI122" s="710">
        <f>+CI121</f>
        <v>114355.22727272694</v>
      </c>
      <c r="CJ122" s="711">
        <f>+CJ121</f>
        <v>12362.727272727272</v>
      </c>
      <c r="CK122" s="711">
        <f t="shared" si="45"/>
        <v>101992.49999999968</v>
      </c>
      <c r="CL122" s="684">
        <f>+CI$29*CK122+CJ122</f>
        <v>34597.386647612439</v>
      </c>
      <c r="CM122" s="967">
        <f t="shared" si="46"/>
        <v>9793924.3795012794</v>
      </c>
      <c r="CN122" s="708">
        <f>+CM122</f>
        <v>9793924.3795012794</v>
      </c>
      <c r="CO122" s="679"/>
      <c r="CR122" s="710"/>
      <c r="CS122" s="711"/>
      <c r="CT122" s="711"/>
      <c r="CU122" s="684"/>
    </row>
    <row r="123" spans="1:99">
      <c r="A123" s="514" t="s">
        <v>609</v>
      </c>
      <c r="B123" s="474">
        <v>2048</v>
      </c>
      <c r="C123" s="470">
        <f>+E122</f>
        <v>2117511.9244318083</v>
      </c>
      <c r="D123" s="470">
        <f>+C$31</f>
        <v>445791.98409090913</v>
      </c>
      <c r="E123" s="470">
        <f t="shared" si="33"/>
        <v>1671719.9403408992</v>
      </c>
      <c r="F123" s="683">
        <f>+C$28*E123+D123</f>
        <v>810231.75607103866</v>
      </c>
      <c r="G123" s="470">
        <f>+I122</f>
        <v>521283.37295454362</v>
      </c>
      <c r="H123" s="470">
        <f>+G$31</f>
        <v>115840.74954545456</v>
      </c>
      <c r="I123" s="470">
        <f t="shared" si="30"/>
        <v>405442.62340908905</v>
      </c>
      <c r="J123" s="683">
        <f>+G$28*I123+H123</f>
        <v>204228.41165356024</v>
      </c>
      <c r="K123" s="702">
        <f>+M122</f>
        <v>1145324.1042613601</v>
      </c>
      <c r="L123" s="470">
        <f>+K$31</f>
        <v>305419.76113636367</v>
      </c>
      <c r="M123" s="470">
        <f t="shared" si="32"/>
        <v>839904.34312499641</v>
      </c>
      <c r="N123" s="683">
        <f>+K$28*M123+L123</f>
        <v>488521.3321035527</v>
      </c>
      <c r="O123" s="702">
        <f>+Q122</f>
        <v>696011.8560606027</v>
      </c>
      <c r="P123" s="470">
        <f>+O$31</f>
        <v>119316.31818181818</v>
      </c>
      <c r="Q123" s="470">
        <f t="shared" si="31"/>
        <v>576695.53787878458</v>
      </c>
      <c r="R123" s="683">
        <f>+O$28*Q123+P123</f>
        <v>245037.60992141668</v>
      </c>
      <c r="S123" s="710">
        <f>+U122</f>
        <v>242982.10606060294</v>
      </c>
      <c r="T123" s="711">
        <f>+S$31</f>
        <v>58315.705454545445</v>
      </c>
      <c r="U123" s="711">
        <f t="shared" si="34"/>
        <v>184666.40060605749</v>
      </c>
      <c r="V123" s="684">
        <f>+S$28*U123+T123</f>
        <v>98573.513778312277</v>
      </c>
      <c r="W123" s="710">
        <f>+Y122</f>
        <v>4044212.7462121318</v>
      </c>
      <c r="X123" s="711">
        <f>+W$31</f>
        <v>693293.61363636365</v>
      </c>
      <c r="Y123" s="711">
        <f t="shared" si="35"/>
        <v>3350919.132575768</v>
      </c>
      <c r="Z123" s="684">
        <f>+W$28*Y123+X123</f>
        <v>1423803.6560964279</v>
      </c>
      <c r="AA123" s="710">
        <f>+AC122</f>
        <v>2667430.3314393917</v>
      </c>
      <c r="AB123" s="711">
        <f>+AA$31</f>
        <v>450833.29545454547</v>
      </c>
      <c r="AC123" s="711">
        <f t="shared" si="37"/>
        <v>2216597.0359848463</v>
      </c>
      <c r="AD123" s="684">
        <f>+AA$28*AC123+AB123</f>
        <v>934057.84693140199</v>
      </c>
      <c r="AE123" s="710">
        <f>+AG122</f>
        <v>25288.375000000065</v>
      </c>
      <c r="AF123" s="711">
        <f>+AE$31</f>
        <v>4597.886363636364</v>
      </c>
      <c r="AG123" s="711">
        <f t="shared" si="36"/>
        <v>20690.488636363702</v>
      </c>
      <c r="AH123" s="684">
        <f>+AE$28*AG123+AF123</f>
        <v>9108.4726040901296</v>
      </c>
      <c r="AI123" s="710">
        <f>+AK122</f>
        <v>2019574.1174242476</v>
      </c>
      <c r="AJ123" s="711">
        <f>+AI$31</f>
        <v>295547.43181818182</v>
      </c>
      <c r="AK123" s="711">
        <f t="shared" si="38"/>
        <v>1724026.6856060657</v>
      </c>
      <c r="AL123" s="684">
        <f>+AI$28*AK123+AJ123</f>
        <v>671390.22523596487</v>
      </c>
      <c r="AM123" s="710">
        <f>+AO122</f>
        <v>720634.9519318185</v>
      </c>
      <c r="AN123" s="711">
        <f>+AM$31</f>
        <v>110866.91568181818</v>
      </c>
      <c r="AO123" s="711">
        <f t="shared" si="39"/>
        <v>609768.03625000035</v>
      </c>
      <c r="AP123" s="684">
        <f>+AM$28*AO123+AN123</f>
        <v>243798.10752152631</v>
      </c>
      <c r="AQ123" s="710">
        <f>+AS122</f>
        <v>6108292.60159091</v>
      </c>
      <c r="AR123" s="711">
        <f>+AQ$31</f>
        <v>904932.23727272719</v>
      </c>
      <c r="AS123" s="711">
        <f t="shared" si="40"/>
        <v>5203360.3643181827</v>
      </c>
      <c r="AT123" s="684">
        <f>+AQ$28*AS123+AR123</f>
        <v>2039279.8148435638</v>
      </c>
      <c r="AU123" s="470"/>
      <c r="AV123" s="470"/>
      <c r="AW123" s="470"/>
      <c r="AX123" s="683"/>
      <c r="AY123" s="470"/>
      <c r="AZ123" s="470"/>
      <c r="BA123" s="470"/>
      <c r="BB123" s="683"/>
      <c r="BC123" s="470"/>
      <c r="BD123" s="470"/>
      <c r="BE123" s="470"/>
      <c r="BF123" s="683"/>
      <c r="BG123" s="470"/>
      <c r="BH123" s="470"/>
      <c r="BI123" s="470"/>
      <c r="BJ123" s="683"/>
      <c r="BK123" s="470"/>
      <c r="BL123" s="470"/>
      <c r="BM123" s="470"/>
      <c r="BN123" s="683"/>
      <c r="BO123" s="470"/>
      <c r="BP123" s="470"/>
      <c r="BQ123" s="470"/>
      <c r="BR123" s="683"/>
      <c r="BS123" s="710">
        <f>+BU122</f>
        <v>58176.204545454806</v>
      </c>
      <c r="BT123" s="711">
        <f>+BS$31</f>
        <v>8310.886363636364</v>
      </c>
      <c r="BU123" s="711">
        <f t="shared" si="41"/>
        <v>49865.318181818438</v>
      </c>
      <c r="BV123" s="684">
        <f>+BS$28*BU123+BT123</f>
        <v>19181.669650574175</v>
      </c>
      <c r="BW123" s="710">
        <f>+BY122</f>
        <v>4182098.8977272883</v>
      </c>
      <c r="BX123" s="711">
        <f>+BW$31</f>
        <v>576841.22727272729</v>
      </c>
      <c r="BY123" s="711">
        <f t="shared" si="43"/>
        <v>3605257.6704545608</v>
      </c>
      <c r="BZ123" s="684">
        <f>+BW$28*BY123+BX123</f>
        <v>1362797.8050725597</v>
      </c>
      <c r="CA123" s="710">
        <f>+CC122</f>
        <v>394645.92000000138</v>
      </c>
      <c r="CB123" s="711">
        <f>+CA$31</f>
        <v>54433.919999999998</v>
      </c>
      <c r="CC123" s="711">
        <f t="shared" si="44"/>
        <v>340212.0000000014</v>
      </c>
      <c r="CD123" s="684">
        <f>+CA$28*CC123+CB123</f>
        <v>128601.11793365676</v>
      </c>
      <c r="CE123" s="710">
        <f>+CG122</f>
        <v>34256.460909091118</v>
      </c>
      <c r="CF123" s="711">
        <f>+CE$31</f>
        <v>4725.0290909090909</v>
      </c>
      <c r="CG123" s="711">
        <f t="shared" si="42"/>
        <v>29531.431818182027</v>
      </c>
      <c r="CH123" s="684">
        <f>+CE$28*CG123+CF123</f>
        <v>11162.96646208761</v>
      </c>
      <c r="CI123" s="710">
        <f>+CK122</f>
        <v>101992.49999999968</v>
      </c>
      <c r="CJ123" s="711">
        <f>+CI$31</f>
        <v>12362.727272727272</v>
      </c>
      <c r="CK123" s="711">
        <f t="shared" si="45"/>
        <v>89629.772727272415</v>
      </c>
      <c r="CL123" s="684">
        <f>+CI$28*CK123+CJ123</f>
        <v>31902.276420353624</v>
      </c>
      <c r="CM123" s="967">
        <f t="shared" si="46"/>
        <v>8721676.5823000874</v>
      </c>
      <c r="CN123" s="543"/>
      <c r="CO123" s="707">
        <f>+CM123</f>
        <v>8721676.5823000874</v>
      </c>
      <c r="CR123" s="710"/>
      <c r="CS123" s="711"/>
      <c r="CT123" s="711"/>
      <c r="CU123" s="684"/>
    </row>
    <row r="124" spans="1:99">
      <c r="A124" s="514" t="s">
        <v>608</v>
      </c>
      <c r="B124" s="474">
        <v>2048</v>
      </c>
      <c r="C124" s="470">
        <f>+C123</f>
        <v>2117511.9244318083</v>
      </c>
      <c r="D124" s="470">
        <f>+D123</f>
        <v>445791.98409090913</v>
      </c>
      <c r="E124" s="470">
        <f t="shared" si="33"/>
        <v>1671719.9403408992</v>
      </c>
      <c r="F124" s="683">
        <f>+C$29*E124+D124</f>
        <v>823499.33210030862</v>
      </c>
      <c r="G124" s="470">
        <f>+G123</f>
        <v>521283.37295454362</v>
      </c>
      <c r="H124" s="470">
        <f>+H123</f>
        <v>115840.74954545456</v>
      </c>
      <c r="I124" s="470">
        <f t="shared" si="30"/>
        <v>405442.62340908905</v>
      </c>
      <c r="J124" s="683">
        <f>+G$29*I124+H124</f>
        <v>207446.19993362931</v>
      </c>
      <c r="K124" s="702">
        <f>+K123</f>
        <v>1145324.1042613601</v>
      </c>
      <c r="L124" s="470">
        <f>+L123</f>
        <v>305419.76113636367</v>
      </c>
      <c r="M124" s="470">
        <f t="shared" si="32"/>
        <v>839904.34312499641</v>
      </c>
      <c r="N124" s="683">
        <f>+K$29*M124+L124</f>
        <v>495187.21821331134</v>
      </c>
      <c r="O124" s="702">
        <f>+O123</f>
        <v>696011.8560606027</v>
      </c>
      <c r="P124" s="470">
        <f>+P123</f>
        <v>119316.31818181818</v>
      </c>
      <c r="Q124" s="470">
        <f t="shared" si="31"/>
        <v>576695.53787878458</v>
      </c>
      <c r="R124" s="683">
        <f>+O$29*Q124+P124</f>
        <v>249614.5439579798</v>
      </c>
      <c r="S124" s="710">
        <f>+S123</f>
        <v>242982.10606060294</v>
      </c>
      <c r="T124" s="711">
        <f>+T123</f>
        <v>58315.705454545445</v>
      </c>
      <c r="U124" s="711">
        <f t="shared" si="34"/>
        <v>184666.40060605749</v>
      </c>
      <c r="V124" s="684">
        <f>+S$29*U124+T124</f>
        <v>100039.11543261382</v>
      </c>
      <c r="W124" s="710">
        <f>+W123</f>
        <v>4044212.7462121318</v>
      </c>
      <c r="X124" s="711">
        <f>+X123</f>
        <v>693293.61363636365</v>
      </c>
      <c r="Y124" s="711">
        <f t="shared" si="35"/>
        <v>3350919.132575768</v>
      </c>
      <c r="Z124" s="684">
        <f>+W$29*Y124+X124</f>
        <v>1450398.1671066382</v>
      </c>
      <c r="AA124" s="710">
        <f>+AA123</f>
        <v>2667430.3314393917</v>
      </c>
      <c r="AB124" s="711">
        <f>+AB123</f>
        <v>450833.29545454547</v>
      </c>
      <c r="AC124" s="711">
        <f t="shared" si="37"/>
        <v>2216597.0359848463</v>
      </c>
      <c r="AD124" s="684">
        <f>+AA$29*AC124+AB124</f>
        <v>951649.83048768248</v>
      </c>
      <c r="AE124" s="710">
        <f>+AE123</f>
        <v>25288.375000000065</v>
      </c>
      <c r="AF124" s="711">
        <f>+AF123</f>
        <v>4597.886363636364</v>
      </c>
      <c r="AG124" s="711">
        <f t="shared" si="36"/>
        <v>20690.488636363702</v>
      </c>
      <c r="AH124" s="684">
        <f>+AE$29*AG124+AF124</f>
        <v>9272.6823047949747</v>
      </c>
      <c r="AI124" s="710">
        <f>+AI123</f>
        <v>2019574.1174242476</v>
      </c>
      <c r="AJ124" s="711">
        <f>+AJ123</f>
        <v>295547.43181818182</v>
      </c>
      <c r="AK124" s="711">
        <f t="shared" si="38"/>
        <v>1724026.6856060657</v>
      </c>
      <c r="AL124" s="684">
        <f>+AI$29*AK124+AJ124</f>
        <v>685072.93283297075</v>
      </c>
      <c r="AM124" s="710">
        <f>+AM123</f>
        <v>720634.9519318185</v>
      </c>
      <c r="AN124" s="711">
        <f>+AN123</f>
        <v>110866.91568181818</v>
      </c>
      <c r="AO124" s="711">
        <f t="shared" si="39"/>
        <v>609768.03625000035</v>
      </c>
      <c r="AP124" s="684">
        <f>+AM$29*AO124+AN124</f>
        <v>248637.52086220571</v>
      </c>
      <c r="AQ124" s="710">
        <f>+AQ123</f>
        <v>6108292.60159091</v>
      </c>
      <c r="AR124" s="711">
        <f>+AR123</f>
        <v>904932.23727272719</v>
      </c>
      <c r="AS124" s="711">
        <f t="shared" si="40"/>
        <v>5203360.3643181827</v>
      </c>
      <c r="AT124" s="684">
        <f>+AQ$29*AS124+AR124</f>
        <v>2080576.1932472354</v>
      </c>
      <c r="AU124" s="470"/>
      <c r="AV124" s="470"/>
      <c r="AW124" s="470"/>
      <c r="AX124" s="683"/>
      <c r="AY124" s="470"/>
      <c r="AZ124" s="470"/>
      <c r="BA124" s="470"/>
      <c r="BB124" s="683"/>
      <c r="BC124" s="470"/>
      <c r="BD124" s="470"/>
      <c r="BE124" s="470"/>
      <c r="BF124" s="683"/>
      <c r="BG124" s="470"/>
      <c r="BH124" s="470"/>
      <c r="BI124" s="470"/>
      <c r="BJ124" s="683"/>
      <c r="BK124" s="470"/>
      <c r="BL124" s="470"/>
      <c r="BM124" s="470"/>
      <c r="BN124" s="683"/>
      <c r="BO124" s="470"/>
      <c r="BP124" s="470"/>
      <c r="BQ124" s="470"/>
      <c r="BR124" s="683"/>
      <c r="BS124" s="710">
        <f>+BS123</f>
        <v>58176.204545454806</v>
      </c>
      <c r="BT124" s="711">
        <f>+BT123</f>
        <v>8310.886363636364</v>
      </c>
      <c r="BU124" s="711">
        <f t="shared" si="41"/>
        <v>49865.318181818438</v>
      </c>
      <c r="BV124" s="684">
        <f>+BS$29*BU124+BT124</f>
        <v>19577.424875020501</v>
      </c>
      <c r="BW124" s="710">
        <f>+BW123</f>
        <v>4182098.8977272883</v>
      </c>
      <c r="BX124" s="711">
        <f>+BX123</f>
        <v>576841.22727272729</v>
      </c>
      <c r="BY124" s="711">
        <f t="shared" si="43"/>
        <v>3605257.6704545608</v>
      </c>
      <c r="BZ124" s="684">
        <f>+BW$29*BY124+BX124</f>
        <v>1362797.8050725597</v>
      </c>
      <c r="CA124" s="710">
        <f>+CA123</f>
        <v>394645.92000000138</v>
      </c>
      <c r="CB124" s="711">
        <f>+CB123</f>
        <v>54433.919999999998</v>
      </c>
      <c r="CC124" s="711">
        <f t="shared" si="44"/>
        <v>340212.0000000014</v>
      </c>
      <c r="CD124" s="684">
        <f>+CA$29*CC124+CB124</f>
        <v>131301.2045134397</v>
      </c>
      <c r="CE124" s="710">
        <f>+CE123</f>
        <v>34256.460909091118</v>
      </c>
      <c r="CF124" s="711">
        <f>+CF123</f>
        <v>4725.0290909090909</v>
      </c>
      <c r="CG124" s="711">
        <f t="shared" si="42"/>
        <v>29531.431818182027</v>
      </c>
      <c r="CH124" s="684">
        <f>+CE$29*CG124+CF124</f>
        <v>11397.342153521327</v>
      </c>
      <c r="CI124" s="710">
        <f>+CI123</f>
        <v>101992.49999999968</v>
      </c>
      <c r="CJ124" s="711">
        <f>+CJ123</f>
        <v>12362.727272727272</v>
      </c>
      <c r="CK124" s="711">
        <f t="shared" si="45"/>
        <v>89629.772727272415</v>
      </c>
      <c r="CL124" s="684">
        <f>+CI$29*CK124+CJ124</f>
        <v>31902.276420353624</v>
      </c>
      <c r="CM124" s="967">
        <f t="shared" si="46"/>
        <v>8858369.7895142641</v>
      </c>
      <c r="CN124" s="708">
        <f>+CM124</f>
        <v>8858369.7895142641</v>
      </c>
      <c r="CO124" s="679"/>
      <c r="CR124" s="710"/>
      <c r="CS124" s="711"/>
      <c r="CT124" s="711"/>
      <c r="CU124" s="684"/>
    </row>
    <row r="125" spans="1:99">
      <c r="A125" s="514" t="s">
        <v>609</v>
      </c>
      <c r="B125" s="474">
        <v>2049</v>
      </c>
      <c r="C125" s="470">
        <f>+E124</f>
        <v>1671719.9403408992</v>
      </c>
      <c r="D125" s="470">
        <f>+C$31</f>
        <v>445791.98409090913</v>
      </c>
      <c r="E125" s="470">
        <f t="shared" si="33"/>
        <v>1225927.95624999</v>
      </c>
      <c r="F125" s="683">
        <f>+C$28*E125+D125</f>
        <v>713047.81687633693</v>
      </c>
      <c r="G125" s="470">
        <f>+I124</f>
        <v>405442.62340908905</v>
      </c>
      <c r="H125" s="470">
        <f>+G$31</f>
        <v>115840.74954545456</v>
      </c>
      <c r="I125" s="470">
        <f t="shared" si="30"/>
        <v>289601.87386363448</v>
      </c>
      <c r="J125" s="683">
        <f>+G$28*I125+H125</f>
        <v>178974.79390838704</v>
      </c>
      <c r="K125" s="702">
        <f>+M124</f>
        <v>839904.34312499641</v>
      </c>
      <c r="L125" s="470">
        <f>+K$31</f>
        <v>305419.76113636367</v>
      </c>
      <c r="M125" s="470">
        <f t="shared" si="32"/>
        <v>534484.58198863268</v>
      </c>
      <c r="N125" s="683">
        <f>+K$28*M125+L125</f>
        <v>421938.94266093819</v>
      </c>
      <c r="O125" s="702">
        <f>+Q124</f>
        <v>576695.53787878458</v>
      </c>
      <c r="P125" s="470">
        <f>+O$31</f>
        <v>119316.31818181818</v>
      </c>
      <c r="Q125" s="470">
        <f t="shared" si="31"/>
        <v>457379.21969696641</v>
      </c>
      <c r="R125" s="683">
        <f>+O$28*Q125+P125</f>
        <v>219026.30818218927</v>
      </c>
      <c r="S125" s="710">
        <f>+U124</f>
        <v>184666.40060605749</v>
      </c>
      <c r="T125" s="711">
        <f>+S$31</f>
        <v>58315.705454545445</v>
      </c>
      <c r="U125" s="711">
        <f t="shared" si="34"/>
        <v>126350.69515151205</v>
      </c>
      <c r="V125" s="684">
        <f>+S$28*U125+T125</f>
        <v>85860.521676069911</v>
      </c>
      <c r="W125" s="710">
        <f>+Y124</f>
        <v>3350919.132575768</v>
      </c>
      <c r="X125" s="711">
        <f>+W$31</f>
        <v>693293.61363636365</v>
      </c>
      <c r="Y125" s="711">
        <f t="shared" si="35"/>
        <v>2657625.5189394043</v>
      </c>
      <c r="Z125" s="684">
        <f>+W$28*Y125+X125</f>
        <v>1272663.6473115874</v>
      </c>
      <c r="AA125" s="710">
        <f>+AC124</f>
        <v>2216597.0359848463</v>
      </c>
      <c r="AB125" s="711">
        <f>+AA$31</f>
        <v>450833.29545454547</v>
      </c>
      <c r="AC125" s="711">
        <f t="shared" si="37"/>
        <v>1765763.7405303009</v>
      </c>
      <c r="AD125" s="684">
        <f>+AA$28*AC125+AB125</f>
        <v>835774.88730899035</v>
      </c>
      <c r="AE125" s="710">
        <f>+AG124</f>
        <v>20690.488636363702</v>
      </c>
      <c r="AF125" s="711">
        <f>+AE$31</f>
        <v>4597.886363636364</v>
      </c>
      <c r="AG125" s="711">
        <f t="shared" si="36"/>
        <v>16092.602272727338</v>
      </c>
      <c r="AH125" s="684">
        <f>+AE$28*AG125+AF125</f>
        <v>8106.1201062115179</v>
      </c>
      <c r="AI125" s="710">
        <f>+AK124</f>
        <v>1724026.6856060657</v>
      </c>
      <c r="AJ125" s="711">
        <f>+AI$31</f>
        <v>295547.43181818182</v>
      </c>
      <c r="AK125" s="711">
        <f t="shared" si="38"/>
        <v>1428479.2537878838</v>
      </c>
      <c r="AL125" s="684">
        <f>+AI$28*AK125+AJ125</f>
        <v>606960.03207863076</v>
      </c>
      <c r="AM125" s="710">
        <f>+AO124</f>
        <v>609768.03625000035</v>
      </c>
      <c r="AN125" s="711">
        <f>+AM$31</f>
        <v>110866.91568181818</v>
      </c>
      <c r="AO125" s="711">
        <f t="shared" si="39"/>
        <v>498901.1205681822</v>
      </c>
      <c r="AP125" s="684">
        <f>+AM$28*AO125+AN125</f>
        <v>219628.79991430667</v>
      </c>
      <c r="AQ125" s="710">
        <f>+AS124</f>
        <v>5203360.3643181827</v>
      </c>
      <c r="AR125" s="711">
        <f>+AQ$31</f>
        <v>904932.23727272719</v>
      </c>
      <c r="AS125" s="711">
        <f t="shared" si="40"/>
        <v>4298428.1270454554</v>
      </c>
      <c r="AT125" s="684">
        <f>+AQ$28*AS125+AR125</f>
        <v>1842001.9752660268</v>
      </c>
      <c r="AU125" s="470"/>
      <c r="AV125" s="470"/>
      <c r="AW125" s="470"/>
      <c r="AX125" s="683"/>
      <c r="AY125" s="470"/>
      <c r="AZ125" s="470"/>
      <c r="BA125" s="470"/>
      <c r="BB125" s="683"/>
      <c r="BC125" s="470"/>
      <c r="BD125" s="470"/>
      <c r="BE125" s="470"/>
      <c r="BF125" s="683"/>
      <c r="BG125" s="470"/>
      <c r="BH125" s="470"/>
      <c r="BI125" s="470"/>
      <c r="BJ125" s="683"/>
      <c r="BK125" s="470"/>
      <c r="BL125" s="470"/>
      <c r="BM125" s="470"/>
      <c r="BN125" s="683"/>
      <c r="BO125" s="470"/>
      <c r="BP125" s="470"/>
      <c r="BQ125" s="470"/>
      <c r="BR125" s="683"/>
      <c r="BS125" s="710">
        <f>+BU124</f>
        <v>49865.318181818438</v>
      </c>
      <c r="BT125" s="711">
        <f>+BS$31</f>
        <v>8310.886363636364</v>
      </c>
      <c r="BU125" s="711">
        <f t="shared" si="41"/>
        <v>41554.431818182071</v>
      </c>
      <c r="BV125" s="684">
        <f>+BS$28*BU125+BT125</f>
        <v>17369.872436084548</v>
      </c>
      <c r="BW125" s="710">
        <f>+BY124</f>
        <v>3605257.6704545608</v>
      </c>
      <c r="BX125" s="711">
        <f>+BW$31</f>
        <v>576841.22727272729</v>
      </c>
      <c r="BY125" s="711">
        <f t="shared" si="43"/>
        <v>3028416.4431818333</v>
      </c>
      <c r="BZ125" s="684">
        <f>+BW$28*BY125+BX125</f>
        <v>1237044.7526245872</v>
      </c>
      <c r="CA125" s="710">
        <f>+CC124</f>
        <v>340212.0000000014</v>
      </c>
      <c r="CB125" s="711">
        <f>+CA$31</f>
        <v>54433.919999999998</v>
      </c>
      <c r="CC125" s="711">
        <f t="shared" si="44"/>
        <v>285778.08000000141</v>
      </c>
      <c r="CD125" s="684">
        <f>+CA$28*CC125+CB125</f>
        <v>116734.36626427172</v>
      </c>
      <c r="CE125" s="710">
        <f>+CG124</f>
        <v>29531.431818182027</v>
      </c>
      <c r="CF125" s="711">
        <f>+CE$31</f>
        <v>4725.0290909090909</v>
      </c>
      <c r="CG125" s="711">
        <f t="shared" si="42"/>
        <v>24806.402727272936</v>
      </c>
      <c r="CH125" s="684">
        <f>+CE$28*CG125+CF125</f>
        <v>10132.896482699056</v>
      </c>
      <c r="CI125" s="710">
        <f>+CK124</f>
        <v>89629.772727272415</v>
      </c>
      <c r="CJ125" s="711">
        <f>+CI$31</f>
        <v>12362.727272727272</v>
      </c>
      <c r="CK125" s="711">
        <f t="shared" si="45"/>
        <v>77267.04545454515</v>
      </c>
      <c r="CL125" s="684">
        <f>+CI$28*CK125+CJ125</f>
        <v>29207.16619309481</v>
      </c>
      <c r="CM125" s="967">
        <f t="shared" si="46"/>
        <v>7814472.8992904127</v>
      </c>
      <c r="CN125" s="543"/>
      <c r="CO125" s="707">
        <f>+CM125</f>
        <v>7814472.8992904127</v>
      </c>
      <c r="CR125" s="710"/>
      <c r="CS125" s="711"/>
      <c r="CT125" s="711"/>
      <c r="CU125" s="684"/>
    </row>
    <row r="126" spans="1:99">
      <c r="A126" s="514" t="s">
        <v>608</v>
      </c>
      <c r="B126" s="474">
        <v>2049</v>
      </c>
      <c r="C126" s="470">
        <f>+C125</f>
        <v>1671719.9403408992</v>
      </c>
      <c r="D126" s="470">
        <f>+D125</f>
        <v>445791.98409090913</v>
      </c>
      <c r="E126" s="470">
        <f t="shared" si="33"/>
        <v>1225927.95624999</v>
      </c>
      <c r="F126" s="683">
        <f>+C$29*E126+D126</f>
        <v>722777.37263113481</v>
      </c>
      <c r="G126" s="470">
        <f>+G125</f>
        <v>405442.62340908905</v>
      </c>
      <c r="H126" s="470">
        <f>+H125</f>
        <v>115840.74954545456</v>
      </c>
      <c r="I126" s="470">
        <f t="shared" si="30"/>
        <v>289601.87386363448</v>
      </c>
      <c r="J126" s="683">
        <f>+G$29*I126+H126</f>
        <v>181273.2141084364</v>
      </c>
      <c r="K126" s="702">
        <f>+K125</f>
        <v>839904.34312499641</v>
      </c>
      <c r="L126" s="470">
        <f>+L125</f>
        <v>305419.76113636367</v>
      </c>
      <c r="M126" s="470">
        <f t="shared" si="32"/>
        <v>534484.58198863268</v>
      </c>
      <c r="N126" s="683">
        <f>+K$29*M126+L126</f>
        <v>426180.87018533004</v>
      </c>
      <c r="O126" s="702">
        <f>+O125</f>
        <v>576695.53787878458</v>
      </c>
      <c r="P126" s="470">
        <f>+P125</f>
        <v>119316.31818181818</v>
      </c>
      <c r="Q126" s="470">
        <f t="shared" si="31"/>
        <v>457379.21969696641</v>
      </c>
      <c r="R126" s="683">
        <f>+O$29*Q126+P126</f>
        <v>222656.29034911864</v>
      </c>
      <c r="S126" s="710">
        <f>+S125</f>
        <v>184666.40060605749</v>
      </c>
      <c r="T126" s="711">
        <f>+T125</f>
        <v>58315.705454545445</v>
      </c>
      <c r="U126" s="711">
        <f t="shared" si="34"/>
        <v>126350.69515151205</v>
      </c>
      <c r="V126" s="684">
        <f>+S$29*U126+T126</f>
        <v>86863.301755328852</v>
      </c>
      <c r="W126" s="710">
        <f>+W125</f>
        <v>3350919.132575768</v>
      </c>
      <c r="X126" s="711">
        <f>+X125</f>
        <v>693293.61363636365</v>
      </c>
      <c r="Y126" s="711">
        <f t="shared" si="35"/>
        <v>2657625.5189394043</v>
      </c>
      <c r="Z126" s="684">
        <f>+W$29*Y126+X126</f>
        <v>1293755.8456989957</v>
      </c>
      <c r="AA126" s="710">
        <f>+AA125</f>
        <v>2216597.0359848463</v>
      </c>
      <c r="AB126" s="711">
        <f>+AB125</f>
        <v>450833.29545454547</v>
      </c>
      <c r="AC126" s="711">
        <f t="shared" si="37"/>
        <v>1765763.7405303009</v>
      </c>
      <c r="AD126" s="684">
        <f>+AA$29*AC126+AB126</f>
        <v>849788.84031145112</v>
      </c>
      <c r="AE126" s="710">
        <f>+AE125</f>
        <v>20690.488636363702</v>
      </c>
      <c r="AF126" s="711">
        <f>+AF125</f>
        <v>4597.886363636364</v>
      </c>
      <c r="AG126" s="711">
        <f t="shared" si="36"/>
        <v>16092.602272727338</v>
      </c>
      <c r="AH126" s="684">
        <f>+AE$29*AG126+AF126</f>
        <v>8233.8387623152867</v>
      </c>
      <c r="AI126" s="710">
        <f>+AI125</f>
        <v>1724026.6856060657</v>
      </c>
      <c r="AJ126" s="711">
        <f>+AJ125</f>
        <v>295547.43181818182</v>
      </c>
      <c r="AK126" s="711">
        <f t="shared" si="38"/>
        <v>1428479.2537878838</v>
      </c>
      <c r="AL126" s="684">
        <f>+AI$29*AK126+AJ126</f>
        <v>618297.1326590071</v>
      </c>
      <c r="AM126" s="710">
        <f>+AM125</f>
        <v>609768.03625000035</v>
      </c>
      <c r="AN126" s="711">
        <f>+AN125</f>
        <v>110866.91568181818</v>
      </c>
      <c r="AO126" s="711">
        <f t="shared" si="39"/>
        <v>498901.1205681822</v>
      </c>
      <c r="AP126" s="684">
        <f>+AM$29*AO126+AN126</f>
        <v>223588.3199203171</v>
      </c>
      <c r="AQ126" s="710">
        <f>+AQ125</f>
        <v>5203360.3643181827</v>
      </c>
      <c r="AR126" s="711">
        <f>+AR125</f>
        <v>904932.23727272719</v>
      </c>
      <c r="AS126" s="711">
        <f t="shared" si="40"/>
        <v>4298428.1270454554</v>
      </c>
      <c r="AT126" s="684">
        <f>+AQ$29*AS126+AR126</f>
        <v>1876116.3748168861</v>
      </c>
      <c r="AU126" s="470"/>
      <c r="AV126" s="470"/>
      <c r="AW126" s="470"/>
      <c r="AX126" s="683"/>
      <c r="AY126" s="470"/>
      <c r="AZ126" s="470"/>
      <c r="BA126" s="470"/>
      <c r="BB126" s="683"/>
      <c r="BC126" s="470"/>
      <c r="BD126" s="470"/>
      <c r="BE126" s="470"/>
      <c r="BF126" s="683"/>
      <c r="BG126" s="470"/>
      <c r="BH126" s="470"/>
      <c r="BI126" s="470"/>
      <c r="BJ126" s="683"/>
      <c r="BK126" s="470"/>
      <c r="BL126" s="470"/>
      <c r="BM126" s="470"/>
      <c r="BN126" s="683"/>
      <c r="BO126" s="470"/>
      <c r="BP126" s="470"/>
      <c r="BQ126" s="470"/>
      <c r="BR126" s="683"/>
      <c r="BS126" s="710">
        <f>+BS125</f>
        <v>49865.318181818438</v>
      </c>
      <c r="BT126" s="711">
        <f>+BT125</f>
        <v>8310.886363636364</v>
      </c>
      <c r="BU126" s="711">
        <f t="shared" si="41"/>
        <v>41554.431818182071</v>
      </c>
      <c r="BV126" s="684">
        <f>+BS$29*BU126+BT126</f>
        <v>17699.668456456486</v>
      </c>
      <c r="BW126" s="710">
        <f>+BW125</f>
        <v>3605257.6704545608</v>
      </c>
      <c r="BX126" s="711">
        <f>+BX125</f>
        <v>576841.22727272729</v>
      </c>
      <c r="BY126" s="711">
        <f t="shared" si="43"/>
        <v>3028416.4431818333</v>
      </c>
      <c r="BZ126" s="684">
        <f>+BW$29*BY126+BX126</f>
        <v>1237044.7526245872</v>
      </c>
      <c r="CA126" s="710">
        <f>+CA125</f>
        <v>340212.0000000014</v>
      </c>
      <c r="CB126" s="711">
        <f>+CB125</f>
        <v>54433.919999999998</v>
      </c>
      <c r="CC126" s="711">
        <f t="shared" si="44"/>
        <v>285778.08000000141</v>
      </c>
      <c r="CD126" s="684">
        <f>+CA$29*CC126+CB126</f>
        <v>119002.43899128941</v>
      </c>
      <c r="CE126" s="710">
        <f>+CE125</f>
        <v>29531.431818182027</v>
      </c>
      <c r="CF126" s="711">
        <f>+CF125</f>
        <v>4725.0290909090909</v>
      </c>
      <c r="CG126" s="711">
        <f t="shared" si="42"/>
        <v>24806.402727272936</v>
      </c>
      <c r="CH126" s="684">
        <f>+CE$29*CG126+CF126</f>
        <v>10329.772063503378</v>
      </c>
      <c r="CI126" s="710">
        <f>+CI125</f>
        <v>89629.772727272415</v>
      </c>
      <c r="CJ126" s="711">
        <f>+CJ125</f>
        <v>12362.727272727272</v>
      </c>
      <c r="CK126" s="711">
        <f t="shared" si="45"/>
        <v>77267.04545454515</v>
      </c>
      <c r="CL126" s="684">
        <f>+CI$29*CK126+CJ126</f>
        <v>29207.16619309481</v>
      </c>
      <c r="CM126" s="967">
        <f t="shared" si="46"/>
        <v>7922815.1995272534</v>
      </c>
      <c r="CN126" s="708">
        <f>+CM126</f>
        <v>7922815.1995272534</v>
      </c>
      <c r="CO126" s="679"/>
      <c r="CR126" s="710"/>
      <c r="CS126" s="711"/>
      <c r="CT126" s="711"/>
      <c r="CU126" s="684"/>
    </row>
    <row r="127" spans="1:99">
      <c r="A127" s="514" t="s">
        <v>609</v>
      </c>
      <c r="B127" s="474">
        <v>2050</v>
      </c>
      <c r="C127" s="470">
        <f>+E126</f>
        <v>1225927.95624999</v>
      </c>
      <c r="D127" s="470">
        <f>+C$31</f>
        <v>445791.98409090913</v>
      </c>
      <c r="E127" s="470">
        <f t="shared" si="33"/>
        <v>780135.97215908091</v>
      </c>
      <c r="F127" s="683">
        <f>+C$28*E127+D127</f>
        <v>615863.87768163509</v>
      </c>
      <c r="G127" s="470">
        <f>+I126</f>
        <v>289601.87386363448</v>
      </c>
      <c r="H127" s="470">
        <f>+G$31</f>
        <v>115840.74954545456</v>
      </c>
      <c r="I127" s="470">
        <f t="shared" si="30"/>
        <v>173761.12431817991</v>
      </c>
      <c r="J127" s="683">
        <f>+G$28*I127+H127</f>
        <v>153721.17616321388</v>
      </c>
      <c r="K127" s="702">
        <f>+M126</f>
        <v>534484.58198863268</v>
      </c>
      <c r="L127" s="470">
        <f>+K$31</f>
        <v>305419.76113636367</v>
      </c>
      <c r="M127" s="470">
        <f t="shared" si="32"/>
        <v>229064.82085226901</v>
      </c>
      <c r="N127" s="683">
        <f>+K$28*M127+L127</f>
        <v>355356.55321832374</v>
      </c>
      <c r="O127" s="702">
        <f>+Q126</f>
        <v>457379.21969696641</v>
      </c>
      <c r="P127" s="470">
        <f>+O$31</f>
        <v>119316.31818181818</v>
      </c>
      <c r="Q127" s="470">
        <f t="shared" si="31"/>
        <v>338062.90151514823</v>
      </c>
      <c r="R127" s="683">
        <f>+O$28*Q127+P127</f>
        <v>193015.00644296184</v>
      </c>
      <c r="S127" s="710">
        <f>+U126</f>
        <v>126350.69515151205</v>
      </c>
      <c r="T127" s="711">
        <f>+S$31</f>
        <v>58315.705454545445</v>
      </c>
      <c r="U127" s="711">
        <f t="shared" si="34"/>
        <v>68034.989696966601</v>
      </c>
      <c r="V127" s="684">
        <f>+S$28*U127+T127</f>
        <v>73147.529573827545</v>
      </c>
      <c r="W127" s="710">
        <f>+Y126</f>
        <v>2657625.5189394043</v>
      </c>
      <c r="X127" s="711">
        <f>+W$31</f>
        <v>693293.61363636365</v>
      </c>
      <c r="Y127" s="711">
        <f t="shared" si="35"/>
        <v>1964331.9053030405</v>
      </c>
      <c r="Z127" s="684">
        <f>+W$28*Y127+X127</f>
        <v>1121523.638526747</v>
      </c>
      <c r="AA127" s="710">
        <f>+AC126</f>
        <v>1765763.7405303009</v>
      </c>
      <c r="AB127" s="711">
        <f>+AA$31</f>
        <v>450833.29545454547</v>
      </c>
      <c r="AC127" s="711">
        <f t="shared" si="37"/>
        <v>1314930.4450757555</v>
      </c>
      <c r="AD127" s="684">
        <f>+AA$28*AC127+AB127</f>
        <v>737491.92768657883</v>
      </c>
      <c r="AE127" s="710">
        <f>+AG126</f>
        <v>16092.602272727338</v>
      </c>
      <c r="AF127" s="711">
        <f>+AE$31</f>
        <v>4597.886363636364</v>
      </c>
      <c r="AG127" s="711">
        <f t="shared" si="36"/>
        <v>11494.715909090974</v>
      </c>
      <c r="AH127" s="684">
        <f>+AE$28*AG127+AF127</f>
        <v>7103.7676083329061</v>
      </c>
      <c r="AI127" s="710">
        <f>+AK126</f>
        <v>1428479.2537878838</v>
      </c>
      <c r="AJ127" s="711">
        <f>+AI$31</f>
        <v>295547.43181818182</v>
      </c>
      <c r="AK127" s="711">
        <f t="shared" si="38"/>
        <v>1132931.8219697019</v>
      </c>
      <c r="AL127" s="684">
        <f>+AI$28*AK127+AJ127</f>
        <v>542529.83892129664</v>
      </c>
      <c r="AM127" s="710">
        <f>+AO126</f>
        <v>498901.1205681822</v>
      </c>
      <c r="AN127" s="711">
        <f>+AM$31</f>
        <v>110866.91568181818</v>
      </c>
      <c r="AO127" s="711">
        <f t="shared" si="39"/>
        <v>388034.20488636405</v>
      </c>
      <c r="AP127" s="684">
        <f>+AM$28*AO127+AN127</f>
        <v>195459.49230708703</v>
      </c>
      <c r="AQ127" s="710">
        <f>+AS126</f>
        <v>4298428.1270454554</v>
      </c>
      <c r="AR127" s="711">
        <f>+AQ$31</f>
        <v>904932.23727272719</v>
      </c>
      <c r="AS127" s="711">
        <f t="shared" si="40"/>
        <v>3393495.8897727281</v>
      </c>
      <c r="AT127" s="684">
        <f>+AQ$28*AS127+AR127</f>
        <v>1644724.1356884902</v>
      </c>
      <c r="AU127" s="470"/>
      <c r="AV127" s="470"/>
      <c r="AW127" s="470"/>
      <c r="AX127" s="683"/>
      <c r="AY127" s="470"/>
      <c r="AZ127" s="470"/>
      <c r="BA127" s="470"/>
      <c r="BB127" s="683"/>
      <c r="BC127" s="470"/>
      <c r="BD127" s="470"/>
      <c r="BE127" s="470"/>
      <c r="BF127" s="683"/>
      <c r="BG127" s="470"/>
      <c r="BH127" s="470"/>
      <c r="BI127" s="470"/>
      <c r="BJ127" s="683"/>
      <c r="BK127" s="470"/>
      <c r="BL127" s="470"/>
      <c r="BM127" s="470"/>
      <c r="BN127" s="683"/>
      <c r="BO127" s="470"/>
      <c r="BP127" s="470"/>
      <c r="BQ127" s="470"/>
      <c r="BR127" s="683"/>
      <c r="BS127" s="710">
        <f>+BU126</f>
        <v>41554.431818182071</v>
      </c>
      <c r="BT127" s="711">
        <f>+BS$31</f>
        <v>8310.886363636364</v>
      </c>
      <c r="BU127" s="711">
        <f t="shared" si="41"/>
        <v>33243.545454545703</v>
      </c>
      <c r="BV127" s="684">
        <f>+BS$28*BU127+BT127</f>
        <v>15558.075221594921</v>
      </c>
      <c r="BW127" s="710">
        <f>+BY126</f>
        <v>3028416.4431818333</v>
      </c>
      <c r="BX127" s="711">
        <f>+BW$31</f>
        <v>576841.22727272729</v>
      </c>
      <c r="BY127" s="711">
        <f t="shared" si="43"/>
        <v>2451575.2159091057</v>
      </c>
      <c r="BZ127" s="684">
        <f>+BW$28*BY127+BX127</f>
        <v>1111291.7001766143</v>
      </c>
      <c r="CA127" s="710">
        <f>+CC126</f>
        <v>285778.08000000141</v>
      </c>
      <c r="CB127" s="711">
        <f>+CA$31</f>
        <v>54433.919999999998</v>
      </c>
      <c r="CC127" s="711">
        <f t="shared" si="44"/>
        <v>231344.16000000143</v>
      </c>
      <c r="CD127" s="684">
        <f>+CA$28*CC127+CB127</f>
        <v>104867.61459488669</v>
      </c>
      <c r="CE127" s="710">
        <f>+CG126</f>
        <v>24806.402727272936</v>
      </c>
      <c r="CF127" s="711">
        <f>+CE$31</f>
        <v>4725.0290909090909</v>
      </c>
      <c r="CG127" s="711">
        <f t="shared" si="42"/>
        <v>20081.373636363845</v>
      </c>
      <c r="CH127" s="684">
        <f>+CE$28*CG127+CF127</f>
        <v>9102.8265033104981</v>
      </c>
      <c r="CI127" s="710">
        <f>+CK126</f>
        <v>77267.04545454515</v>
      </c>
      <c r="CJ127" s="711">
        <f>+CI$31</f>
        <v>12362.727272727272</v>
      </c>
      <c r="CK127" s="711">
        <f t="shared" si="45"/>
        <v>64904.318181817878</v>
      </c>
      <c r="CL127" s="684">
        <f>+CI$28*CK127+CJ127</f>
        <v>26512.055965835993</v>
      </c>
      <c r="CM127" s="967">
        <f t="shared" si="46"/>
        <v>6907269.2162807379</v>
      </c>
      <c r="CN127" s="543"/>
      <c r="CO127" s="707">
        <f>+CM127</f>
        <v>6907269.2162807379</v>
      </c>
      <c r="CR127" s="710"/>
      <c r="CS127" s="711"/>
      <c r="CT127" s="711"/>
      <c r="CU127" s="684"/>
    </row>
    <row r="128" spans="1:99">
      <c r="A128" s="514" t="s">
        <v>608</v>
      </c>
      <c r="B128" s="474">
        <v>2050</v>
      </c>
      <c r="C128" s="470">
        <f>+C127</f>
        <v>1225927.95624999</v>
      </c>
      <c r="D128" s="470">
        <f>+D127</f>
        <v>445791.98409090913</v>
      </c>
      <c r="E128" s="470">
        <f t="shared" si="33"/>
        <v>780135.97215908091</v>
      </c>
      <c r="F128" s="683">
        <f>+C$29*E128+D128</f>
        <v>622055.41316196101</v>
      </c>
      <c r="G128" s="470">
        <f>+G127</f>
        <v>289601.87386363448</v>
      </c>
      <c r="H128" s="470">
        <f>+H127</f>
        <v>115840.74954545456</v>
      </c>
      <c r="I128" s="470">
        <f t="shared" si="30"/>
        <v>173761.12431817991</v>
      </c>
      <c r="J128" s="683">
        <f>+G$29*I128+H128</f>
        <v>155100.22828324349</v>
      </c>
      <c r="K128" s="702">
        <f>+K127</f>
        <v>534484.58198863268</v>
      </c>
      <c r="L128" s="470">
        <f>+L127</f>
        <v>305419.76113636367</v>
      </c>
      <c r="M128" s="470">
        <f t="shared" si="32"/>
        <v>229064.82085226901</v>
      </c>
      <c r="N128" s="683">
        <f>+K$29*M128+L128</f>
        <v>357174.52215734881</v>
      </c>
      <c r="O128" s="702">
        <f>+O127</f>
        <v>457379.21969696641</v>
      </c>
      <c r="P128" s="470">
        <f>+P127</f>
        <v>119316.31818181818</v>
      </c>
      <c r="Q128" s="470">
        <f t="shared" si="31"/>
        <v>338062.90151514823</v>
      </c>
      <c r="R128" s="683">
        <f>+O$29*Q128+P128</f>
        <v>195698.03674025746</v>
      </c>
      <c r="S128" s="710">
        <f>+S127</f>
        <v>126350.69515151205</v>
      </c>
      <c r="T128" s="711">
        <f>+T127</f>
        <v>58315.705454545445</v>
      </c>
      <c r="U128" s="711">
        <f t="shared" si="34"/>
        <v>68034.989696966601</v>
      </c>
      <c r="V128" s="684">
        <f>+S$29*U128+T128</f>
        <v>73687.488078043883</v>
      </c>
      <c r="W128" s="710">
        <f>+W127</f>
        <v>2657625.5189394043</v>
      </c>
      <c r="X128" s="711">
        <f>+X127</f>
        <v>693293.61363636365</v>
      </c>
      <c r="Y128" s="711">
        <f t="shared" si="35"/>
        <v>1964331.9053030405</v>
      </c>
      <c r="Z128" s="684">
        <f>+W$29*Y128+X128</f>
        <v>1137113.5242913533</v>
      </c>
      <c r="AA128" s="710">
        <f>+AA127</f>
        <v>1765763.7405303009</v>
      </c>
      <c r="AB128" s="711">
        <f>+AB127</f>
        <v>450833.29545454547</v>
      </c>
      <c r="AC128" s="711">
        <f t="shared" si="37"/>
        <v>1314930.4450757555</v>
      </c>
      <c r="AD128" s="684">
        <f>+AA$29*AC128+AB128</f>
        <v>747927.85013521975</v>
      </c>
      <c r="AE128" s="710">
        <f>+AE127</f>
        <v>16092.602272727338</v>
      </c>
      <c r="AF128" s="711">
        <f>+AF127</f>
        <v>4597.886363636364</v>
      </c>
      <c r="AG128" s="711">
        <f t="shared" si="36"/>
        <v>11494.715909090974</v>
      </c>
      <c r="AH128" s="684">
        <f>+AE$29*AG128+AF128</f>
        <v>7194.9952198355986</v>
      </c>
      <c r="AI128" s="710">
        <f>+AI127</f>
        <v>1428479.2537878838</v>
      </c>
      <c r="AJ128" s="711">
        <f>+AJ127</f>
        <v>295547.43181818182</v>
      </c>
      <c r="AK128" s="711">
        <f t="shared" si="38"/>
        <v>1132931.8219697019</v>
      </c>
      <c r="AL128" s="684">
        <f>+AI$29*AK128+AJ128</f>
        <v>551521.33248504344</v>
      </c>
      <c r="AM128" s="710">
        <f>+AM127</f>
        <v>498901.1205681822</v>
      </c>
      <c r="AN128" s="711">
        <f>+AN127</f>
        <v>110866.91568181818</v>
      </c>
      <c r="AO128" s="711">
        <f t="shared" si="39"/>
        <v>388034.20488636405</v>
      </c>
      <c r="AP128" s="684">
        <f>+AM$29*AO128+AN128</f>
        <v>198539.11897842848</v>
      </c>
      <c r="AQ128" s="710">
        <f>+AQ127</f>
        <v>4298428.1270454554</v>
      </c>
      <c r="AR128" s="711">
        <f>+AR127</f>
        <v>904932.23727272719</v>
      </c>
      <c r="AS128" s="711">
        <f t="shared" si="40"/>
        <v>3393495.8897727281</v>
      </c>
      <c r="AT128" s="684">
        <f>+AQ$29*AS128+AR128</f>
        <v>1671656.5563865369</v>
      </c>
      <c r="AU128" s="470"/>
      <c r="AV128" s="470"/>
      <c r="AW128" s="470"/>
      <c r="AX128" s="683"/>
      <c r="AY128" s="470"/>
      <c r="AZ128" s="470"/>
      <c r="BA128" s="470"/>
      <c r="BB128" s="683"/>
      <c r="BC128" s="470"/>
      <c r="BD128" s="470"/>
      <c r="BE128" s="470"/>
      <c r="BF128" s="683"/>
      <c r="BG128" s="470"/>
      <c r="BH128" s="470"/>
      <c r="BI128" s="470"/>
      <c r="BJ128" s="683"/>
      <c r="BK128" s="470"/>
      <c r="BL128" s="470"/>
      <c r="BM128" s="470"/>
      <c r="BN128" s="683"/>
      <c r="BO128" s="470"/>
      <c r="BP128" s="470"/>
      <c r="BQ128" s="470"/>
      <c r="BR128" s="683"/>
      <c r="BS128" s="710">
        <f>+BS127</f>
        <v>41554.431818182071</v>
      </c>
      <c r="BT128" s="711">
        <f>+BT127</f>
        <v>8310.886363636364</v>
      </c>
      <c r="BU128" s="711">
        <f t="shared" si="41"/>
        <v>33243.545454545703</v>
      </c>
      <c r="BV128" s="684">
        <f>+BS$29*BU128+BT128</f>
        <v>15821.912037892474</v>
      </c>
      <c r="BW128" s="710">
        <f>+BW127</f>
        <v>3028416.4431818333</v>
      </c>
      <c r="BX128" s="711">
        <f>+BX127</f>
        <v>576841.22727272729</v>
      </c>
      <c r="BY128" s="711">
        <f t="shared" si="43"/>
        <v>2451575.2159091057</v>
      </c>
      <c r="BZ128" s="684">
        <f>+BW$29*BY128+BX128</f>
        <v>1111291.7001766143</v>
      </c>
      <c r="CA128" s="710">
        <f>+CA127</f>
        <v>285778.08000000141</v>
      </c>
      <c r="CB128" s="711">
        <f>+CB127</f>
        <v>54433.919999999998</v>
      </c>
      <c r="CC128" s="711">
        <f t="shared" si="44"/>
        <v>231344.16000000143</v>
      </c>
      <c r="CD128" s="684">
        <f>+CA$29*CC128+CB128</f>
        <v>106703.67346913912</v>
      </c>
      <c r="CE128" s="710">
        <f>+CE127</f>
        <v>24806.402727272936</v>
      </c>
      <c r="CF128" s="711">
        <f>+CF127</f>
        <v>4725.0290909090909</v>
      </c>
      <c r="CG128" s="711">
        <f t="shared" si="42"/>
        <v>20081.373636363845</v>
      </c>
      <c r="CH128" s="684">
        <f>+CE$29*CG128+CF128</f>
        <v>9262.2019734854275</v>
      </c>
      <c r="CI128" s="710">
        <f>+CI127</f>
        <v>77267.04545454515</v>
      </c>
      <c r="CJ128" s="711">
        <f>+CJ127</f>
        <v>12362.727272727272</v>
      </c>
      <c r="CK128" s="711">
        <f t="shared" si="45"/>
        <v>64904.318181817878</v>
      </c>
      <c r="CL128" s="684">
        <f>+CI$29*CK128+CJ128</f>
        <v>26512.055965835993</v>
      </c>
      <c r="CM128" s="967">
        <f t="shared" si="46"/>
        <v>6987260.6095402399</v>
      </c>
      <c r="CN128" s="708">
        <f>+CM128</f>
        <v>6987260.6095402399</v>
      </c>
      <c r="CO128" s="679"/>
      <c r="CR128" s="710"/>
      <c r="CS128" s="711"/>
      <c r="CT128" s="711"/>
      <c r="CU128" s="684"/>
    </row>
    <row r="129" spans="1:99">
      <c r="A129" s="514" t="s">
        <v>609</v>
      </c>
      <c r="B129" s="474">
        <v>2051</v>
      </c>
      <c r="C129" s="470">
        <f>+E128</f>
        <v>780135.97215908091</v>
      </c>
      <c r="D129" s="470">
        <f>+C$31</f>
        <v>445791.98409090913</v>
      </c>
      <c r="E129" s="470">
        <f t="shared" si="33"/>
        <v>334343.98806817178</v>
      </c>
      <c r="F129" s="683">
        <f>+C$28*E129+D129</f>
        <v>518679.9384869333</v>
      </c>
      <c r="G129" s="470">
        <f>+I128</f>
        <v>173761.12431817991</v>
      </c>
      <c r="H129" s="470">
        <f>+G$31</f>
        <v>115840.74954545456</v>
      </c>
      <c r="I129" s="470">
        <f t="shared" si="30"/>
        <v>57920.37477272535</v>
      </c>
      <c r="J129" s="683">
        <f>+G$28*I129+H129</f>
        <v>128467.55841804072</v>
      </c>
      <c r="K129" s="702">
        <f>+M128</f>
        <v>229064.82085226901</v>
      </c>
      <c r="L129" s="470">
        <f>+M127</f>
        <v>229064.82085226901</v>
      </c>
      <c r="M129" s="470">
        <f t="shared" si="32"/>
        <v>0</v>
      </c>
      <c r="N129" s="683">
        <f>+K$28*M129+L129</f>
        <v>229064.82085226901</v>
      </c>
      <c r="O129" s="702">
        <f>+Q128</f>
        <v>338062.90151514823</v>
      </c>
      <c r="P129" s="470">
        <f>+O$31</f>
        <v>119316.31818181818</v>
      </c>
      <c r="Q129" s="470">
        <f t="shared" si="31"/>
        <v>218746.58333333005</v>
      </c>
      <c r="R129" s="683">
        <f>+O$28*Q129+P129</f>
        <v>167003.70470373443</v>
      </c>
      <c r="S129" s="710">
        <f>+U128</f>
        <v>68034.989696966601</v>
      </c>
      <c r="T129" s="711">
        <f>+S$31</f>
        <v>58315.705454545445</v>
      </c>
      <c r="U129" s="711">
        <f t="shared" si="34"/>
        <v>9719.2842424211558</v>
      </c>
      <c r="V129" s="684">
        <f>+S$28*U129+T129</f>
        <v>60434.537471585165</v>
      </c>
      <c r="W129" s="710">
        <f>+Y128</f>
        <v>1964331.9053030405</v>
      </c>
      <c r="X129" s="711">
        <f>+W$31</f>
        <v>693293.61363636365</v>
      </c>
      <c r="Y129" s="711">
        <f t="shared" si="35"/>
        <v>1271038.2916666768</v>
      </c>
      <c r="Z129" s="684">
        <f>+W$28*Y129+X129</f>
        <v>970383.62974190665</v>
      </c>
      <c r="AA129" s="710">
        <f>+AC128</f>
        <v>1314930.4450757555</v>
      </c>
      <c r="AB129" s="711">
        <f>+AA$31</f>
        <v>450833.29545454547</v>
      </c>
      <c r="AC129" s="711">
        <f t="shared" si="37"/>
        <v>864097.14962121006</v>
      </c>
      <c r="AD129" s="684">
        <f>+AA$28*AC129+AB129</f>
        <v>639208.9680641673</v>
      </c>
      <c r="AE129" s="710">
        <f>+AG128</f>
        <v>11494.715909090974</v>
      </c>
      <c r="AF129" s="711">
        <f>+AE$31</f>
        <v>4597.886363636364</v>
      </c>
      <c r="AG129" s="711">
        <f t="shared" si="36"/>
        <v>6896.8295454546096</v>
      </c>
      <c r="AH129" s="684">
        <f>+AE$28*AG129+AF129</f>
        <v>6101.4151104542952</v>
      </c>
      <c r="AI129" s="710">
        <f>+AK128</f>
        <v>1132931.8219697019</v>
      </c>
      <c r="AJ129" s="711">
        <f>+AI$31</f>
        <v>295547.43181818182</v>
      </c>
      <c r="AK129" s="711">
        <f t="shared" si="38"/>
        <v>837384.39015152003</v>
      </c>
      <c r="AL129" s="684">
        <f>+AI$28*AK129+AJ129</f>
        <v>478099.64576396265</v>
      </c>
      <c r="AM129" s="710">
        <f>+AO128</f>
        <v>388034.20488636405</v>
      </c>
      <c r="AN129" s="711">
        <f>+AM$31</f>
        <v>110866.91568181818</v>
      </c>
      <c r="AO129" s="711">
        <f t="shared" si="39"/>
        <v>277167.2892045459</v>
      </c>
      <c r="AP129" s="684">
        <f>+AM$28*AO129+AN129</f>
        <v>171290.18469986739</v>
      </c>
      <c r="AQ129" s="710">
        <f>+AS128</f>
        <v>3393495.8897727281</v>
      </c>
      <c r="AR129" s="711">
        <f>+AQ$31</f>
        <v>904932.23727272719</v>
      </c>
      <c r="AS129" s="711">
        <f t="shared" si="40"/>
        <v>2488563.6525000008</v>
      </c>
      <c r="AT129" s="684">
        <f>+AQ$28*AS129+AR129</f>
        <v>1447446.2961109534</v>
      </c>
      <c r="AU129" s="470"/>
      <c r="AV129" s="470"/>
      <c r="AW129" s="470"/>
      <c r="AX129" s="683"/>
      <c r="AY129" s="470"/>
      <c r="AZ129" s="470"/>
      <c r="BA129" s="470"/>
      <c r="BB129" s="683"/>
      <c r="BC129" s="470"/>
      <c r="BD129" s="470"/>
      <c r="BE129" s="470"/>
      <c r="BF129" s="683"/>
      <c r="BG129" s="470"/>
      <c r="BH129" s="470"/>
      <c r="BI129" s="470"/>
      <c r="BJ129" s="683"/>
      <c r="BK129" s="470"/>
      <c r="BL129" s="470"/>
      <c r="BM129" s="470"/>
      <c r="BN129" s="683"/>
      <c r="BO129" s="470"/>
      <c r="BP129" s="470"/>
      <c r="BQ129" s="470"/>
      <c r="BR129" s="683"/>
      <c r="BS129" s="710">
        <f>+BU128</f>
        <v>33243.545454545703</v>
      </c>
      <c r="BT129" s="711">
        <f>+BS$31</f>
        <v>8310.886363636364</v>
      </c>
      <c r="BU129" s="711">
        <f t="shared" si="41"/>
        <v>24932.659090909339</v>
      </c>
      <c r="BV129" s="684">
        <f>+BS$28*BU129+BT129</f>
        <v>13746.278007105295</v>
      </c>
      <c r="BW129" s="710">
        <f>+BY128</f>
        <v>2451575.2159091057</v>
      </c>
      <c r="BX129" s="711">
        <f>+BW$31</f>
        <v>576841.22727272729</v>
      </c>
      <c r="BY129" s="711">
        <f t="shared" si="43"/>
        <v>1874733.9886363784</v>
      </c>
      <c r="BZ129" s="684">
        <f>+BW$28*BY129+BX129</f>
        <v>985538.64772864163</v>
      </c>
      <c r="CA129" s="710">
        <f>+CC128</f>
        <v>231344.16000000143</v>
      </c>
      <c r="CB129" s="711">
        <f>+CA$31</f>
        <v>54433.919999999998</v>
      </c>
      <c r="CC129" s="711">
        <f t="shared" si="44"/>
        <v>176910.24000000145</v>
      </c>
      <c r="CD129" s="684">
        <f>+CA$28*CC129+CB129</f>
        <v>93000.862925501671</v>
      </c>
      <c r="CE129" s="710">
        <f>+CG128</f>
        <v>20081.373636363845</v>
      </c>
      <c r="CF129" s="711">
        <f>+CE$31</f>
        <v>4725.0290909090909</v>
      </c>
      <c r="CG129" s="711">
        <f t="shared" si="42"/>
        <v>15356.344545454755</v>
      </c>
      <c r="CH129" s="684">
        <f>+CE$28*CG129+CF129</f>
        <v>8072.756523921943</v>
      </c>
      <c r="CI129" s="710">
        <f>+CK128</f>
        <v>64904.318181817878</v>
      </c>
      <c r="CJ129" s="711">
        <f>+CI$31</f>
        <v>12362.727272727272</v>
      </c>
      <c r="CK129" s="711">
        <f t="shared" si="45"/>
        <v>52541.590909090606</v>
      </c>
      <c r="CL129" s="684">
        <f>+CI$28*CK129+CJ129</f>
        <v>23816.945738577175</v>
      </c>
      <c r="CM129" s="967">
        <f t="shared" si="46"/>
        <v>5940356.1903476212</v>
      </c>
      <c r="CN129" s="543"/>
      <c r="CO129" s="707">
        <f>+CM129</f>
        <v>5940356.1903476212</v>
      </c>
      <c r="CR129" s="710"/>
      <c r="CS129" s="711"/>
      <c r="CT129" s="711"/>
      <c r="CU129" s="684"/>
    </row>
    <row r="130" spans="1:99">
      <c r="A130" s="514" t="s">
        <v>608</v>
      </c>
      <c r="B130" s="474">
        <v>2051</v>
      </c>
      <c r="C130" s="470">
        <f>+C129</f>
        <v>780135.97215908091</v>
      </c>
      <c r="D130" s="470">
        <f>+D129</f>
        <v>445791.98409090913</v>
      </c>
      <c r="E130" s="470">
        <f>+C130-D130</f>
        <v>334343.98806817178</v>
      </c>
      <c r="F130" s="683">
        <f>+C$29*E130+D130</f>
        <v>521333.45369278721</v>
      </c>
      <c r="G130" s="470">
        <f>+G129</f>
        <v>173761.12431817991</v>
      </c>
      <c r="H130" s="470">
        <f>+H129</f>
        <v>115840.74954545456</v>
      </c>
      <c r="I130" s="470">
        <f>+G130-H130</f>
        <v>57920.37477272535</v>
      </c>
      <c r="J130" s="683">
        <f>+G$29*I130+H130</f>
        <v>128927.24245805058</v>
      </c>
      <c r="K130" s="702">
        <f>+K129</f>
        <v>229064.82085226901</v>
      </c>
      <c r="L130" s="470">
        <f>+L129</f>
        <v>229064.82085226901</v>
      </c>
      <c r="M130" s="470">
        <f t="shared" si="32"/>
        <v>0</v>
      </c>
      <c r="N130" s="683">
        <f>+K$29*M130+L130</f>
        <v>229064.82085226901</v>
      </c>
      <c r="O130" s="702">
        <f>+O129</f>
        <v>338062.90151514823</v>
      </c>
      <c r="P130" s="470">
        <f>+P129</f>
        <v>119316.31818181818</v>
      </c>
      <c r="Q130" s="470">
        <f t="shared" si="31"/>
        <v>218746.58333333005</v>
      </c>
      <c r="R130" s="683">
        <f>+O$29*Q130+P130</f>
        <v>168739.78313139628</v>
      </c>
      <c r="S130" s="710">
        <f>+S129</f>
        <v>68034.989696966601</v>
      </c>
      <c r="T130" s="711">
        <f>+T129</f>
        <v>58315.705454545445</v>
      </c>
      <c r="U130" s="711">
        <f t="shared" si="34"/>
        <v>9719.2842424211558</v>
      </c>
      <c r="V130" s="684">
        <f>+S$29*U130+T130</f>
        <v>60511.674400758908</v>
      </c>
      <c r="W130" s="710">
        <f>+W129</f>
        <v>1964331.9053030405</v>
      </c>
      <c r="X130" s="711">
        <f>+X129</f>
        <v>693293.61363636365</v>
      </c>
      <c r="Y130" s="711">
        <f t="shared" si="35"/>
        <v>1271038.2916666768</v>
      </c>
      <c r="Z130" s="684">
        <f>+W$29*Y130+X130</f>
        <v>980471.20288371062</v>
      </c>
      <c r="AA130" s="710">
        <f>+AA129</f>
        <v>1314930.4450757555</v>
      </c>
      <c r="AB130" s="711">
        <f>+AB129</f>
        <v>450833.29545454547</v>
      </c>
      <c r="AC130" s="711">
        <f t="shared" si="37"/>
        <v>864097.14962121006</v>
      </c>
      <c r="AD130" s="684">
        <f>+AA$29*AC130+AB130</f>
        <v>646066.8599589885</v>
      </c>
      <c r="AE130" s="710">
        <f>+AE129</f>
        <v>11494.715909090974</v>
      </c>
      <c r="AF130" s="711">
        <f>+AF129</f>
        <v>4597.886363636364</v>
      </c>
      <c r="AG130" s="711">
        <f t="shared" si="36"/>
        <v>6896.8295454546096</v>
      </c>
      <c r="AH130" s="684">
        <f>+AE$29*AG130+AF130</f>
        <v>6156.1516773559106</v>
      </c>
      <c r="AI130" s="710">
        <f>+AI129</f>
        <v>1132931.8219697019</v>
      </c>
      <c r="AJ130" s="711">
        <f>+AJ129</f>
        <v>295547.43181818182</v>
      </c>
      <c r="AK130" s="711">
        <f t="shared" si="38"/>
        <v>837384.39015152003</v>
      </c>
      <c r="AL130" s="684">
        <f>+AI$29*AK130+AJ130</f>
        <v>484745.53231107985</v>
      </c>
      <c r="AM130" s="710">
        <f>+AM129</f>
        <v>388034.20488636405</v>
      </c>
      <c r="AN130" s="711">
        <f>+AN129</f>
        <v>110866.91568181818</v>
      </c>
      <c r="AO130" s="711">
        <f t="shared" si="39"/>
        <v>277167.2892045459</v>
      </c>
      <c r="AP130" s="684">
        <f>+AM$29*AO130+AN130</f>
        <v>173489.91803653986</v>
      </c>
      <c r="AQ130" s="710">
        <f>+AQ129</f>
        <v>3393495.8897727281</v>
      </c>
      <c r="AR130" s="711">
        <f>+AR129</f>
        <v>904932.23727272719</v>
      </c>
      <c r="AS130" s="711">
        <f t="shared" si="40"/>
        <v>2488563.6525000008</v>
      </c>
      <c r="AT130" s="684">
        <f>+AQ$29*AS130+AR130</f>
        <v>1467196.7379561877</v>
      </c>
      <c r="AU130" s="470"/>
      <c r="AV130" s="470"/>
      <c r="AW130" s="470"/>
      <c r="AX130" s="683"/>
      <c r="AY130" s="470"/>
      <c r="AZ130" s="470"/>
      <c r="BA130" s="470"/>
      <c r="BB130" s="683"/>
      <c r="BC130" s="470"/>
      <c r="BD130" s="470"/>
      <c r="BE130" s="470"/>
      <c r="BF130" s="683"/>
      <c r="BG130" s="470"/>
      <c r="BH130" s="470"/>
      <c r="BI130" s="470"/>
      <c r="BJ130" s="683"/>
      <c r="BK130" s="470"/>
      <c r="BL130" s="470"/>
      <c r="BM130" s="470"/>
      <c r="BN130" s="683"/>
      <c r="BO130" s="470"/>
      <c r="BP130" s="470"/>
      <c r="BQ130" s="470"/>
      <c r="BR130" s="683"/>
      <c r="BS130" s="710">
        <f>+BS129</f>
        <v>33243.545454545703</v>
      </c>
      <c r="BT130" s="711">
        <f>+BT129</f>
        <v>8310.886363636364</v>
      </c>
      <c r="BU130" s="711">
        <f t="shared" si="41"/>
        <v>24932.659090909339</v>
      </c>
      <c r="BV130" s="684">
        <f>+BS$29*BU130+BT130</f>
        <v>13944.15561932846</v>
      </c>
      <c r="BW130" s="710">
        <f>+BW129</f>
        <v>2451575.2159091057</v>
      </c>
      <c r="BX130" s="711">
        <f>+BX129</f>
        <v>576841.22727272729</v>
      </c>
      <c r="BY130" s="711">
        <f t="shared" si="43"/>
        <v>1874733.9886363784</v>
      </c>
      <c r="BZ130" s="684">
        <f>+BW$29*BY130+BX130</f>
        <v>985538.64772864163</v>
      </c>
      <c r="CA130" s="710">
        <f>+CA129</f>
        <v>231344.16000000143</v>
      </c>
      <c r="CB130" s="711">
        <f>+CB129</f>
        <v>54433.919999999998</v>
      </c>
      <c r="CC130" s="711">
        <f t="shared" si="44"/>
        <v>176910.24000000145</v>
      </c>
      <c r="CD130" s="684">
        <f>+CA$29*CC130+CB130</f>
        <v>94404.907946988809</v>
      </c>
      <c r="CE130" s="710">
        <f>+CE129</f>
        <v>20081.373636363845</v>
      </c>
      <c r="CF130" s="711">
        <f>+CF129</f>
        <v>4725.0290909090909</v>
      </c>
      <c r="CG130" s="711">
        <f t="shared" si="42"/>
        <v>15356.344545454755</v>
      </c>
      <c r="CH130" s="684">
        <f>+CE$29*CG130+CF130</f>
        <v>8194.6318834674767</v>
      </c>
      <c r="CI130" s="710">
        <f>+CI129</f>
        <v>64904.318181817878</v>
      </c>
      <c r="CJ130" s="711">
        <f>+CJ129</f>
        <v>12362.727272727272</v>
      </c>
      <c r="CK130" s="711">
        <f t="shared" si="45"/>
        <v>52541.590909090606</v>
      </c>
      <c r="CL130" s="684">
        <f>+CI$29*CK130+CJ130</f>
        <v>23816.945738577175</v>
      </c>
      <c r="CM130" s="967">
        <f t="shared" si="46"/>
        <v>5992602.666276129</v>
      </c>
      <c r="CN130" s="708">
        <f>+CM130</f>
        <v>5992602.666276129</v>
      </c>
      <c r="CO130" s="679"/>
      <c r="CR130" s="710"/>
      <c r="CS130" s="711"/>
      <c r="CT130" s="711"/>
      <c r="CU130" s="684"/>
    </row>
    <row r="131" spans="1:99">
      <c r="A131" s="514" t="s">
        <v>609</v>
      </c>
      <c r="B131" s="474">
        <v>2052</v>
      </c>
      <c r="C131" s="470">
        <f>+E130</f>
        <v>334343.98806817178</v>
      </c>
      <c r="D131" s="470">
        <f>+C$31</f>
        <v>445791.98409090913</v>
      </c>
      <c r="E131" s="470">
        <f>+C131-D131</f>
        <v>-111447.99602273735</v>
      </c>
      <c r="F131" s="683">
        <f>+C$28*E131+D131</f>
        <v>421495.99929223151</v>
      </c>
      <c r="G131" s="470">
        <f>+I130</f>
        <v>57920.37477272535</v>
      </c>
      <c r="H131" s="470">
        <f>+G$31</f>
        <v>115840.74954545456</v>
      </c>
      <c r="I131" s="470">
        <f>+G131-H131</f>
        <v>-57920.374772729207</v>
      </c>
      <c r="J131" s="683">
        <f>+G$28*I131+H131</f>
        <v>103213.94067286755</v>
      </c>
      <c r="K131" s="702"/>
      <c r="L131" s="470"/>
      <c r="M131" s="470"/>
      <c r="N131" s="683"/>
      <c r="O131" s="702">
        <f>+Q130</f>
        <v>218746.58333333005</v>
      </c>
      <c r="P131" s="470">
        <f>+O$31</f>
        <v>119316.31818181818</v>
      </c>
      <c r="Q131" s="470">
        <f t="shared" si="31"/>
        <v>99430.265151511878</v>
      </c>
      <c r="R131" s="683">
        <f>+O$28*Q131+P131</f>
        <v>140992.402964507</v>
      </c>
      <c r="S131" s="710">
        <f>+U130</f>
        <v>9719.2842424211558</v>
      </c>
      <c r="T131" s="711">
        <f>+S$31</f>
        <v>58315.705454545445</v>
      </c>
      <c r="U131" s="711">
        <f t="shared" si="34"/>
        <v>-48596.421212124289</v>
      </c>
      <c r="V131" s="684">
        <f>+S$28*U131+T131</f>
        <v>47721.545369342799</v>
      </c>
      <c r="W131" s="710">
        <f>+Y130</f>
        <v>1271038.2916666768</v>
      </c>
      <c r="X131" s="711">
        <f>+W$31</f>
        <v>693293.61363636365</v>
      </c>
      <c r="Y131" s="711">
        <f t="shared" si="35"/>
        <v>577744.67803031311</v>
      </c>
      <c r="Z131" s="684">
        <f>+W$28*Y131+X131</f>
        <v>819243.62095706619</v>
      </c>
      <c r="AA131" s="710">
        <f>+AC130</f>
        <v>864097.14962121006</v>
      </c>
      <c r="AB131" s="711">
        <f>+AA$31</f>
        <v>450833.29545454547</v>
      </c>
      <c r="AC131" s="711">
        <f t="shared" si="37"/>
        <v>413263.85416666459</v>
      </c>
      <c r="AD131" s="684">
        <f>+AA$28*AC131+AB131</f>
        <v>540926.00844175566</v>
      </c>
      <c r="AE131" s="710">
        <f>+AG130</f>
        <v>6896.8295454546096</v>
      </c>
      <c r="AF131" s="711">
        <f>+AE$31</f>
        <v>4597.886363636364</v>
      </c>
      <c r="AG131" s="711">
        <f t="shared" si="36"/>
        <v>2298.9431818182456</v>
      </c>
      <c r="AH131" s="684">
        <f>+AE$28*AG131+AF131</f>
        <v>5099.0626125756835</v>
      </c>
      <c r="AI131" s="710">
        <f>+AK130</f>
        <v>837384.39015152003</v>
      </c>
      <c r="AJ131" s="711">
        <f>+AI$31</f>
        <v>295547.43181818182</v>
      </c>
      <c r="AK131" s="711">
        <f t="shared" si="38"/>
        <v>541836.95833333815</v>
      </c>
      <c r="AL131" s="684">
        <f>+AI$28*AK131+AJ131</f>
        <v>413669.45260662859</v>
      </c>
      <c r="AM131" s="710">
        <f>+AO130</f>
        <v>277167.2892045459</v>
      </c>
      <c r="AN131" s="711">
        <f>+AM$31</f>
        <v>110866.91568181818</v>
      </c>
      <c r="AO131" s="711">
        <f t="shared" si="39"/>
        <v>166300.37352272772</v>
      </c>
      <c r="AP131" s="684">
        <f>+AM$28*AO131+AN131</f>
        <v>147120.87709264774</v>
      </c>
      <c r="AQ131" s="710">
        <f>+AS130</f>
        <v>2488563.6525000008</v>
      </c>
      <c r="AR131" s="711">
        <f>+AQ$31</f>
        <v>904932.23727272719</v>
      </c>
      <c r="AS131" s="711">
        <f t="shared" si="40"/>
        <v>1583631.4152272735</v>
      </c>
      <c r="AT131" s="684">
        <f>+AQ$28*AS131+AR131</f>
        <v>1250168.4565334166</v>
      </c>
      <c r="AU131" s="470"/>
      <c r="AV131" s="470"/>
      <c r="AW131" s="470"/>
      <c r="AX131" s="683"/>
      <c r="AY131" s="470"/>
      <c r="AZ131" s="470"/>
      <c r="BA131" s="470"/>
      <c r="BB131" s="683"/>
      <c r="BC131" s="470"/>
      <c r="BD131" s="470"/>
      <c r="BE131" s="470"/>
      <c r="BF131" s="683"/>
      <c r="BG131" s="470"/>
      <c r="BH131" s="470"/>
      <c r="BI131" s="470"/>
      <c r="BJ131" s="683"/>
      <c r="BK131" s="470"/>
      <c r="BL131" s="470"/>
      <c r="BM131" s="470"/>
      <c r="BN131" s="683"/>
      <c r="BO131" s="470"/>
      <c r="BP131" s="470"/>
      <c r="BQ131" s="470"/>
      <c r="BR131" s="683"/>
      <c r="BS131" s="710">
        <f>+BU130</f>
        <v>24932.659090909339</v>
      </c>
      <c r="BT131" s="711">
        <f>+BS$31</f>
        <v>8310.886363636364</v>
      </c>
      <c r="BU131" s="711">
        <f t="shared" si="41"/>
        <v>16621.772727272975</v>
      </c>
      <c r="BV131" s="684">
        <f>+BS$28*BU131+BT131</f>
        <v>11934.48079261567</v>
      </c>
      <c r="BW131" s="710">
        <f>+BY130</f>
        <v>1874733.9886363784</v>
      </c>
      <c r="BX131" s="711">
        <f>+BW$31</f>
        <v>576841.22727272729</v>
      </c>
      <c r="BY131" s="711">
        <f t="shared" si="43"/>
        <v>1297892.7613636511</v>
      </c>
      <c r="BZ131" s="684">
        <f>+BW$28*BY131+BX131</f>
        <v>859785.59528066893</v>
      </c>
      <c r="CA131" s="710">
        <f>+CC130</f>
        <v>176910.24000000145</v>
      </c>
      <c r="CB131" s="711">
        <f>+CA$31</f>
        <v>54433.919999999998</v>
      </c>
      <c r="CC131" s="711">
        <f t="shared" si="44"/>
        <v>122476.32000000145</v>
      </c>
      <c r="CD131" s="684">
        <f>+CA$28*CC131+CB131</f>
        <v>81134.111256116637</v>
      </c>
      <c r="CE131" s="710">
        <f>+CG130</f>
        <v>15356.344545454755</v>
      </c>
      <c r="CF131" s="711">
        <f>+CE$31</f>
        <v>4725.0290909090909</v>
      </c>
      <c r="CG131" s="711">
        <f t="shared" si="42"/>
        <v>10631.315454545664</v>
      </c>
      <c r="CH131" s="684">
        <f>+CE$28*CG131+CF131</f>
        <v>7042.6865445333879</v>
      </c>
      <c r="CI131" s="710">
        <f>+CK130</f>
        <v>52541.590909090606</v>
      </c>
      <c r="CJ131" s="711">
        <f>+CI$31</f>
        <v>12362.727272727272</v>
      </c>
      <c r="CK131" s="711">
        <f t="shared" si="45"/>
        <v>40178.863636363334</v>
      </c>
      <c r="CL131" s="684">
        <f>+CI$28*CK131+CJ131</f>
        <v>21121.835511318361</v>
      </c>
      <c r="CM131" s="967">
        <f t="shared" si="46"/>
        <v>4870670.0759282932</v>
      </c>
      <c r="CN131" s="543"/>
      <c r="CO131" s="707">
        <f>+CM131</f>
        <v>4870670.0759282932</v>
      </c>
      <c r="CR131" s="710"/>
      <c r="CS131" s="711"/>
      <c r="CT131" s="711"/>
      <c r="CU131" s="684"/>
    </row>
    <row r="132" spans="1:99">
      <c r="A132" s="514" t="s">
        <v>608</v>
      </c>
      <c r="B132" s="474">
        <v>2052</v>
      </c>
      <c r="C132" s="470">
        <f>+C131</f>
        <v>334343.98806817178</v>
      </c>
      <c r="D132" s="470">
        <f>+D131</f>
        <v>445791.98409090913</v>
      </c>
      <c r="E132" s="470">
        <f>+C132-D132</f>
        <v>-111447.99602273735</v>
      </c>
      <c r="F132" s="683">
        <f>+C$29*E132+D132</f>
        <v>420611.49422361341</v>
      </c>
      <c r="G132" s="470">
        <f>+G131</f>
        <v>57920.37477272535</v>
      </c>
      <c r="H132" s="470">
        <f>+H131</f>
        <v>115840.74954545456</v>
      </c>
      <c r="I132" s="470">
        <f>+G132-H132</f>
        <v>-57920.374772729207</v>
      </c>
      <c r="J132" s="683">
        <f>+G$29*I132+H132</f>
        <v>102754.25663285766</v>
      </c>
      <c r="K132" s="702"/>
      <c r="L132" s="470"/>
      <c r="M132" s="470"/>
      <c r="N132" s="683"/>
      <c r="O132" s="702">
        <f>+O131</f>
        <v>218746.58333333005</v>
      </c>
      <c r="P132" s="470">
        <f>+P131</f>
        <v>119316.31818181818</v>
      </c>
      <c r="Q132" s="470">
        <f t="shared" si="31"/>
        <v>99430.265151511878</v>
      </c>
      <c r="R132" s="683">
        <f>+O$29*Q132+P132</f>
        <v>141781.5295225351</v>
      </c>
      <c r="S132" s="710">
        <f>+S131</f>
        <v>9719.2842424211558</v>
      </c>
      <c r="T132" s="711">
        <f>+T131</f>
        <v>58315.705454545445</v>
      </c>
      <c r="U132" s="711">
        <f t="shared" si="34"/>
        <v>-48596.421212124289</v>
      </c>
      <c r="V132" s="684">
        <f>+S$29*U132+T132</f>
        <v>47335.860723473939</v>
      </c>
      <c r="W132" s="710">
        <f>+W131</f>
        <v>1271038.2916666768</v>
      </c>
      <c r="X132" s="711">
        <f>+X131</f>
        <v>693293.61363636365</v>
      </c>
      <c r="Y132" s="711">
        <f t="shared" si="35"/>
        <v>577744.67803031311</v>
      </c>
      <c r="Z132" s="684">
        <f>+W$29*Y132+X132</f>
        <v>823828.88147606805</v>
      </c>
      <c r="AA132" s="710">
        <f>+AA131</f>
        <v>864097.14962121006</v>
      </c>
      <c r="AB132" s="711">
        <f>+AB131</f>
        <v>450833.29545454547</v>
      </c>
      <c r="AC132" s="711">
        <f t="shared" si="37"/>
        <v>413263.85416666459</v>
      </c>
      <c r="AD132" s="684">
        <f>+AA$29*AC132+AB132</f>
        <v>544205.86978275713</v>
      </c>
      <c r="AE132" s="710">
        <f>+AE131</f>
        <v>6896.8295454546096</v>
      </c>
      <c r="AF132" s="711">
        <f>+AF131</f>
        <v>4597.886363636364</v>
      </c>
      <c r="AG132" s="711">
        <f t="shared" si="36"/>
        <v>2298.9431818182456</v>
      </c>
      <c r="AH132" s="684">
        <f>+AE$29*AG132+AF132</f>
        <v>5117.3081348762225</v>
      </c>
      <c r="AI132" s="710">
        <f>+AI131</f>
        <v>837384.39015152003</v>
      </c>
      <c r="AJ132" s="711">
        <f>+AJ131</f>
        <v>295547.43181818182</v>
      </c>
      <c r="AK132" s="711">
        <f t="shared" si="38"/>
        <v>541836.95833333815</v>
      </c>
      <c r="AL132" s="684">
        <f>+AI$29*AK132+AJ132</f>
        <v>417969.73213711625</v>
      </c>
      <c r="AM132" s="710">
        <f>+AM131</f>
        <v>277167.2892045459</v>
      </c>
      <c r="AN132" s="711">
        <f>+AN131</f>
        <v>110866.91568181818</v>
      </c>
      <c r="AO132" s="711">
        <f t="shared" si="39"/>
        <v>166300.37352272772</v>
      </c>
      <c r="AP132" s="684">
        <f>+AM$29*AO132+AN132</f>
        <v>148440.71709465122</v>
      </c>
      <c r="AQ132" s="710">
        <f>+AQ131</f>
        <v>2488563.6525000008</v>
      </c>
      <c r="AR132" s="711">
        <f>+AR131</f>
        <v>904932.23727272719</v>
      </c>
      <c r="AS132" s="711">
        <f t="shared" si="40"/>
        <v>1583631.4152272735</v>
      </c>
      <c r="AT132" s="684">
        <f>+AQ$29*AS132+AR132</f>
        <v>1262736.9195258385</v>
      </c>
      <c r="AU132" s="470"/>
      <c r="AV132" s="470"/>
      <c r="AW132" s="470"/>
      <c r="AX132" s="683"/>
      <c r="AY132" s="470"/>
      <c r="AZ132" s="470"/>
      <c r="BA132" s="470"/>
      <c r="BB132" s="683"/>
      <c r="BC132" s="470"/>
      <c r="BD132" s="470"/>
      <c r="BE132" s="470"/>
      <c r="BF132" s="683"/>
      <c r="BG132" s="470"/>
      <c r="BH132" s="470"/>
      <c r="BI132" s="470"/>
      <c r="BJ132" s="683"/>
      <c r="BK132" s="470"/>
      <c r="BL132" s="470"/>
      <c r="BM132" s="470"/>
      <c r="BN132" s="683"/>
      <c r="BO132" s="470"/>
      <c r="BP132" s="470"/>
      <c r="BQ132" s="470"/>
      <c r="BR132" s="683"/>
      <c r="BS132" s="710">
        <f>+BS131</f>
        <v>24932.659090909339</v>
      </c>
      <c r="BT132" s="711">
        <f>+BT131</f>
        <v>8310.886363636364</v>
      </c>
      <c r="BU132" s="711">
        <f t="shared" si="41"/>
        <v>16621.772727272975</v>
      </c>
      <c r="BV132" s="684">
        <f>+BS$29*BU132+BT132</f>
        <v>12066.399200764447</v>
      </c>
      <c r="BW132" s="710">
        <f>+BW131</f>
        <v>1874733.9886363784</v>
      </c>
      <c r="BX132" s="711">
        <f>+BX131</f>
        <v>576841.22727272729</v>
      </c>
      <c r="BY132" s="711">
        <f t="shared" si="43"/>
        <v>1297892.7613636511</v>
      </c>
      <c r="BZ132" s="684">
        <f>+BW$29*BY132+BX132</f>
        <v>859785.59528066893</v>
      </c>
      <c r="CA132" s="710">
        <f>+CA131</f>
        <v>176910.24000000145</v>
      </c>
      <c r="CB132" s="711">
        <f>+CB131</f>
        <v>54433.919999999998</v>
      </c>
      <c r="CC132" s="711">
        <f t="shared" si="44"/>
        <v>122476.32000000145</v>
      </c>
      <c r="CD132" s="684">
        <f>+CA$29*CC132+CB132</f>
        <v>82106.142424838501</v>
      </c>
      <c r="CE132" s="710">
        <f>+CE131</f>
        <v>15356.344545454755</v>
      </c>
      <c r="CF132" s="711">
        <f>+CF131</f>
        <v>4725.0290909090909</v>
      </c>
      <c r="CG132" s="711">
        <f t="shared" si="42"/>
        <v>10631.315454545664</v>
      </c>
      <c r="CH132" s="684">
        <f>+CE$29*CG132+CF132</f>
        <v>7127.0617934495267</v>
      </c>
      <c r="CI132" s="710">
        <f>+CI131</f>
        <v>52541.590909090606</v>
      </c>
      <c r="CJ132" s="711">
        <f>+CJ131</f>
        <v>12362.727272727272</v>
      </c>
      <c r="CK132" s="711">
        <f t="shared" si="45"/>
        <v>40178.863636363334</v>
      </c>
      <c r="CL132" s="684">
        <f>+CI$29*CK132+CJ132</f>
        <v>21121.835511318361</v>
      </c>
      <c r="CM132" s="967">
        <f t="shared" si="46"/>
        <v>4896989.6034648269</v>
      </c>
      <c r="CN132" s="708">
        <f>+CM132</f>
        <v>4896989.6034648269</v>
      </c>
      <c r="CO132" s="679"/>
      <c r="CR132" s="710"/>
      <c r="CS132" s="711"/>
      <c r="CT132" s="711"/>
      <c r="CU132" s="684"/>
    </row>
    <row r="133" spans="1:99">
      <c r="A133" s="514" t="s">
        <v>609</v>
      </c>
      <c r="B133" s="474">
        <v>2053</v>
      </c>
      <c r="C133" s="470"/>
      <c r="D133" s="470"/>
      <c r="E133" s="470"/>
      <c r="F133" s="683"/>
      <c r="G133" s="470"/>
      <c r="H133" s="470"/>
      <c r="I133" s="470"/>
      <c r="J133" s="683"/>
      <c r="K133" s="686"/>
      <c r="L133" s="686"/>
      <c r="M133" s="686"/>
      <c r="N133" s="683"/>
      <c r="O133" s="470"/>
      <c r="P133" s="470"/>
      <c r="Q133" s="470"/>
      <c r="R133" s="683"/>
      <c r="S133" s="710"/>
      <c r="T133" s="711"/>
      <c r="U133" s="711"/>
      <c r="V133" s="684"/>
      <c r="W133" s="711"/>
      <c r="X133" s="711"/>
      <c r="Y133" s="711"/>
      <c r="Z133" s="684"/>
      <c r="AA133" s="711"/>
      <c r="AB133" s="711"/>
      <c r="AC133" s="711"/>
      <c r="AD133" s="684"/>
      <c r="AE133" s="711"/>
      <c r="AF133" s="711"/>
      <c r="AG133" s="711"/>
      <c r="AH133" s="684"/>
      <c r="AI133" s="711"/>
      <c r="AJ133" s="711"/>
      <c r="AK133" s="711"/>
      <c r="AL133" s="684"/>
      <c r="AM133" s="711"/>
      <c r="AN133" s="711"/>
      <c r="AO133" s="711"/>
      <c r="AP133" s="684"/>
      <c r="AQ133" s="711"/>
      <c r="AR133" s="711"/>
      <c r="AS133" s="711"/>
      <c r="AT133" s="684"/>
      <c r="AU133" s="470"/>
      <c r="AV133" s="470"/>
      <c r="AW133" s="470"/>
      <c r="AX133" s="683"/>
      <c r="AY133" s="470"/>
      <c r="AZ133" s="470"/>
      <c r="BA133" s="470"/>
      <c r="BB133" s="683"/>
      <c r="BC133" s="470"/>
      <c r="BD133" s="470"/>
      <c r="BE133" s="470"/>
      <c r="BF133" s="683"/>
      <c r="BG133" s="470"/>
      <c r="BH133" s="470"/>
      <c r="BI133" s="470"/>
      <c r="BJ133" s="683"/>
      <c r="BK133" s="470"/>
      <c r="BL133" s="470"/>
      <c r="BM133" s="470"/>
      <c r="BN133" s="683"/>
      <c r="BO133" s="470"/>
      <c r="BP133" s="470"/>
      <c r="BQ133" s="470"/>
      <c r="BR133" s="683"/>
      <c r="BS133" s="711"/>
      <c r="BT133" s="711"/>
      <c r="BU133" s="711"/>
      <c r="BV133" s="684"/>
      <c r="BW133" s="711"/>
      <c r="BX133" s="711"/>
      <c r="BY133" s="711"/>
      <c r="BZ133" s="684"/>
      <c r="CA133" s="711"/>
      <c r="CB133" s="711"/>
      <c r="CC133" s="711"/>
      <c r="CD133" s="684"/>
      <c r="CE133" s="711"/>
      <c r="CF133" s="711"/>
      <c r="CG133" s="711"/>
      <c r="CH133" s="684"/>
      <c r="CI133" s="711"/>
      <c r="CJ133" s="711"/>
      <c r="CK133" s="711"/>
      <c r="CL133" s="684"/>
      <c r="CM133" s="967">
        <f t="shared" si="46"/>
        <v>0</v>
      </c>
      <c r="CN133" s="543"/>
      <c r="CO133" s="707">
        <f>+CM133</f>
        <v>0</v>
      </c>
      <c r="CR133" s="710"/>
      <c r="CS133" s="711"/>
      <c r="CT133" s="711"/>
      <c r="CU133" s="684"/>
    </row>
    <row r="134" spans="1:99">
      <c r="A134" s="514" t="s">
        <v>608</v>
      </c>
      <c r="B134" s="474">
        <v>2053</v>
      </c>
      <c r="C134" s="470"/>
      <c r="D134" s="470"/>
      <c r="E134" s="470"/>
      <c r="F134" s="683"/>
      <c r="G134" s="470"/>
      <c r="H134" s="470"/>
      <c r="I134" s="470"/>
      <c r="J134" s="683"/>
      <c r="K134" s="686"/>
      <c r="L134" s="686"/>
      <c r="M134" s="686"/>
      <c r="N134" s="683"/>
      <c r="O134" s="470"/>
      <c r="P134" s="470"/>
      <c r="Q134" s="470"/>
      <c r="R134" s="683"/>
      <c r="S134" s="710"/>
      <c r="T134" s="711"/>
      <c r="U134" s="711"/>
      <c r="V134" s="684"/>
      <c r="W134" s="711"/>
      <c r="X134" s="711"/>
      <c r="Y134" s="711"/>
      <c r="Z134" s="684"/>
      <c r="AA134" s="711"/>
      <c r="AB134" s="711"/>
      <c r="AC134" s="711"/>
      <c r="AD134" s="684"/>
      <c r="AE134" s="711"/>
      <c r="AF134" s="711"/>
      <c r="AG134" s="711"/>
      <c r="AH134" s="684"/>
      <c r="AI134" s="711"/>
      <c r="AJ134" s="711"/>
      <c r="AK134" s="711"/>
      <c r="AL134" s="684"/>
      <c r="AM134" s="711"/>
      <c r="AN134" s="711"/>
      <c r="AO134" s="711"/>
      <c r="AP134" s="684"/>
      <c r="AQ134" s="711"/>
      <c r="AR134" s="711"/>
      <c r="AS134" s="711"/>
      <c r="AT134" s="684"/>
      <c r="AU134" s="470"/>
      <c r="AV134" s="470"/>
      <c r="AW134" s="470"/>
      <c r="AX134" s="683"/>
      <c r="AY134" s="470"/>
      <c r="AZ134" s="470"/>
      <c r="BA134" s="470"/>
      <c r="BB134" s="683"/>
      <c r="BC134" s="470"/>
      <c r="BD134" s="470"/>
      <c r="BE134" s="470"/>
      <c r="BF134" s="683"/>
      <c r="BG134" s="470"/>
      <c r="BH134" s="470"/>
      <c r="BI134" s="470"/>
      <c r="BJ134" s="683"/>
      <c r="BK134" s="470"/>
      <c r="BL134" s="470"/>
      <c r="BM134" s="470"/>
      <c r="BN134" s="683"/>
      <c r="BO134" s="470"/>
      <c r="BP134" s="470"/>
      <c r="BQ134" s="470"/>
      <c r="BR134" s="683"/>
      <c r="BS134" s="711"/>
      <c r="BT134" s="711"/>
      <c r="BU134" s="711"/>
      <c r="BV134" s="684"/>
      <c r="BW134" s="711"/>
      <c r="BX134" s="711"/>
      <c r="BY134" s="711"/>
      <c r="BZ134" s="684"/>
      <c r="CA134" s="711"/>
      <c r="CB134" s="711"/>
      <c r="CC134" s="711"/>
      <c r="CD134" s="684"/>
      <c r="CE134" s="711"/>
      <c r="CF134" s="711"/>
      <c r="CG134" s="711"/>
      <c r="CH134" s="684"/>
      <c r="CI134" s="711"/>
      <c r="CJ134" s="711"/>
      <c r="CK134" s="711"/>
      <c r="CL134" s="684"/>
      <c r="CM134" s="967">
        <f t="shared" si="46"/>
        <v>0</v>
      </c>
      <c r="CN134" s="708">
        <f>+CM134</f>
        <v>0</v>
      </c>
      <c r="CO134" s="679"/>
      <c r="CR134" s="710"/>
      <c r="CS134" s="711"/>
      <c r="CT134" s="711"/>
      <c r="CU134" s="684"/>
    </row>
    <row r="135" spans="1:99">
      <c r="A135" s="514" t="s">
        <v>609</v>
      </c>
      <c r="B135" s="474"/>
      <c r="C135" s="470"/>
      <c r="D135" s="470"/>
      <c r="E135" s="470"/>
      <c r="F135" s="683"/>
      <c r="G135" s="470"/>
      <c r="H135" s="470"/>
      <c r="I135" s="470"/>
      <c r="J135" s="683"/>
      <c r="K135" s="686"/>
      <c r="L135" s="686"/>
      <c r="M135" s="686"/>
      <c r="N135" s="683"/>
      <c r="O135" s="470"/>
      <c r="P135" s="470"/>
      <c r="Q135" s="470"/>
      <c r="R135" s="683"/>
      <c r="S135" s="711"/>
      <c r="T135" s="711"/>
      <c r="U135" s="711"/>
      <c r="V135" s="684"/>
      <c r="W135" s="711"/>
      <c r="X135" s="711"/>
      <c r="Y135" s="711"/>
      <c r="Z135" s="684"/>
      <c r="AA135" s="711"/>
      <c r="AB135" s="711"/>
      <c r="AC135" s="711"/>
      <c r="AD135" s="684"/>
      <c r="AE135" s="711"/>
      <c r="AF135" s="711"/>
      <c r="AG135" s="711"/>
      <c r="AH135" s="684"/>
      <c r="AI135" s="711"/>
      <c r="AJ135" s="711"/>
      <c r="AK135" s="711"/>
      <c r="AL135" s="684"/>
      <c r="AM135" s="711"/>
      <c r="AN135" s="711"/>
      <c r="AO135" s="711"/>
      <c r="AP135" s="684"/>
      <c r="AQ135" s="711"/>
      <c r="AR135" s="711"/>
      <c r="AS135" s="711"/>
      <c r="AT135" s="684"/>
      <c r="AU135" s="470"/>
      <c r="AV135" s="470"/>
      <c r="AW135" s="470"/>
      <c r="AX135" s="683"/>
      <c r="AY135" s="470"/>
      <c r="AZ135" s="470"/>
      <c r="BA135" s="470"/>
      <c r="BB135" s="683"/>
      <c r="BC135" s="470"/>
      <c r="BD135" s="470"/>
      <c r="BE135" s="470"/>
      <c r="BF135" s="683"/>
      <c r="BG135" s="470"/>
      <c r="BH135" s="470"/>
      <c r="BI135" s="470"/>
      <c r="BJ135" s="683"/>
      <c r="BK135" s="470"/>
      <c r="BL135" s="470"/>
      <c r="BM135" s="470"/>
      <c r="BN135" s="683"/>
      <c r="BO135" s="470"/>
      <c r="BP135" s="470"/>
      <c r="BQ135" s="470"/>
      <c r="BR135" s="683"/>
      <c r="BS135" s="711"/>
      <c r="BT135" s="711"/>
      <c r="BU135" s="711"/>
      <c r="BV135" s="684"/>
      <c r="BW135" s="688"/>
      <c r="BX135" s="688"/>
      <c r="BY135" s="688"/>
      <c r="BZ135" s="688"/>
      <c r="CA135" s="711"/>
      <c r="CB135" s="711"/>
      <c r="CC135" s="711"/>
      <c r="CD135" s="684"/>
      <c r="CE135" s="711"/>
      <c r="CF135" s="711"/>
      <c r="CG135" s="711"/>
      <c r="CH135" s="684"/>
      <c r="CI135" s="688"/>
      <c r="CJ135" s="688"/>
      <c r="CK135" s="688"/>
      <c r="CL135" s="688"/>
      <c r="CM135" s="706"/>
      <c r="CN135" s="543"/>
      <c r="CO135" s="707"/>
      <c r="CR135" s="710"/>
      <c r="CS135" s="711"/>
      <c r="CT135" s="711"/>
      <c r="CU135" s="684"/>
    </row>
    <row r="136" spans="1:99">
      <c r="A136" s="514" t="s">
        <v>608</v>
      </c>
      <c r="B136" s="474"/>
      <c r="C136" s="470"/>
      <c r="D136" s="470"/>
      <c r="E136" s="470"/>
      <c r="F136" s="683"/>
      <c r="G136" s="470"/>
      <c r="H136" s="470"/>
      <c r="I136" s="470"/>
      <c r="J136" s="683"/>
      <c r="K136" s="686"/>
      <c r="L136" s="686"/>
      <c r="M136" s="686"/>
      <c r="N136" s="683"/>
      <c r="O136" s="470"/>
      <c r="P136" s="470"/>
      <c r="Q136" s="470"/>
      <c r="R136" s="683"/>
      <c r="S136" s="711"/>
      <c r="T136" s="711"/>
      <c r="U136" s="711"/>
      <c r="V136" s="684"/>
      <c r="W136" s="711"/>
      <c r="X136" s="711"/>
      <c r="Y136" s="711"/>
      <c r="Z136" s="684"/>
      <c r="AA136" s="688"/>
      <c r="AB136" s="688"/>
      <c r="AC136" s="688"/>
      <c r="AD136" s="688"/>
      <c r="AE136" s="711"/>
      <c r="AF136" s="711"/>
      <c r="AG136" s="711"/>
      <c r="AH136" s="684"/>
      <c r="AI136" s="711"/>
      <c r="AJ136" s="711"/>
      <c r="AK136" s="711"/>
      <c r="AL136" s="684"/>
      <c r="AM136" s="688"/>
      <c r="AN136" s="688"/>
      <c r="AO136" s="688"/>
      <c r="AP136" s="688"/>
      <c r="AQ136" s="711"/>
      <c r="AR136" s="711"/>
      <c r="AS136" s="711"/>
      <c r="AT136" s="684"/>
      <c r="AU136" s="470"/>
      <c r="AV136" s="470"/>
      <c r="AW136" s="470"/>
      <c r="AX136" s="683"/>
      <c r="AY136" s="470"/>
      <c r="AZ136" s="470"/>
      <c r="BA136" s="470"/>
      <c r="BB136" s="683"/>
      <c r="BC136" s="470"/>
      <c r="BD136" s="470"/>
      <c r="BE136" s="470"/>
      <c r="BF136" s="683"/>
      <c r="BG136" s="470"/>
      <c r="BH136" s="470"/>
      <c r="BI136" s="470"/>
      <c r="BJ136" s="683"/>
      <c r="BK136" s="470"/>
      <c r="BL136" s="470"/>
      <c r="BM136" s="470"/>
      <c r="BN136" s="683"/>
      <c r="BO136" s="470"/>
      <c r="BP136" s="470"/>
      <c r="BQ136" s="470"/>
      <c r="BR136" s="683"/>
      <c r="BS136" s="711"/>
      <c r="BT136" s="711"/>
      <c r="BU136" s="711"/>
      <c r="BV136" s="684"/>
      <c r="BW136" s="688"/>
      <c r="BX136" s="688"/>
      <c r="BY136" s="688"/>
      <c r="BZ136" s="688"/>
      <c r="CA136" s="711"/>
      <c r="CB136" s="711"/>
      <c r="CC136" s="711"/>
      <c r="CD136" s="684"/>
      <c r="CE136" s="711"/>
      <c r="CF136" s="711"/>
      <c r="CG136" s="711"/>
      <c r="CH136" s="684"/>
      <c r="CI136" s="688"/>
      <c r="CJ136" s="688"/>
      <c r="CK136" s="688"/>
      <c r="CL136" s="688"/>
      <c r="CM136" s="706"/>
      <c r="CN136" s="708"/>
      <c r="CO136" s="679"/>
      <c r="CR136" s="710"/>
      <c r="CS136" s="711"/>
      <c r="CT136" s="711"/>
      <c r="CU136" s="684"/>
    </row>
    <row r="137" spans="1:99">
      <c r="A137" s="514" t="s">
        <v>609</v>
      </c>
      <c r="B137" s="474"/>
      <c r="C137" s="470"/>
      <c r="D137" s="470"/>
      <c r="E137" s="470"/>
      <c r="F137" s="683"/>
      <c r="G137" s="470"/>
      <c r="H137" s="470"/>
      <c r="I137" s="470"/>
      <c r="J137" s="683"/>
      <c r="K137" s="686"/>
      <c r="L137" s="686"/>
      <c r="M137" s="686"/>
      <c r="N137" s="683"/>
      <c r="O137" s="470"/>
      <c r="P137" s="470"/>
      <c r="Q137" s="470"/>
      <c r="R137" s="683"/>
      <c r="S137" s="711"/>
      <c r="T137" s="711"/>
      <c r="U137" s="711"/>
      <c r="V137" s="684"/>
      <c r="W137" s="711"/>
      <c r="X137" s="711"/>
      <c r="Y137" s="711"/>
      <c r="Z137" s="684"/>
      <c r="AA137" s="688"/>
      <c r="AB137" s="688"/>
      <c r="AC137" s="688"/>
      <c r="AD137" s="688"/>
      <c r="AE137" s="711"/>
      <c r="AF137" s="711"/>
      <c r="AG137" s="711"/>
      <c r="AH137" s="684"/>
      <c r="AI137" s="711"/>
      <c r="AJ137" s="711"/>
      <c r="AK137" s="711"/>
      <c r="AL137" s="684"/>
      <c r="AM137" s="688"/>
      <c r="AN137" s="688"/>
      <c r="AO137" s="688"/>
      <c r="AP137" s="688"/>
      <c r="AQ137" s="711"/>
      <c r="AR137" s="711"/>
      <c r="AS137" s="711"/>
      <c r="AT137" s="684"/>
      <c r="AU137" s="470"/>
      <c r="AV137" s="470"/>
      <c r="AW137" s="470"/>
      <c r="AX137" s="683"/>
      <c r="AY137" s="470"/>
      <c r="AZ137" s="470"/>
      <c r="BA137" s="470"/>
      <c r="BB137" s="683"/>
      <c r="BC137" s="470"/>
      <c r="BD137" s="470"/>
      <c r="BE137" s="470"/>
      <c r="BF137" s="683"/>
      <c r="BG137" s="470"/>
      <c r="BH137" s="470"/>
      <c r="BI137" s="470"/>
      <c r="BJ137" s="683"/>
      <c r="BK137" s="470"/>
      <c r="BL137" s="470"/>
      <c r="BM137" s="470"/>
      <c r="BN137" s="683"/>
      <c r="BO137" s="470"/>
      <c r="BP137" s="470"/>
      <c r="BQ137" s="470"/>
      <c r="BR137" s="683"/>
      <c r="BS137" s="711"/>
      <c r="BT137" s="711"/>
      <c r="BU137" s="711"/>
      <c r="BV137" s="684"/>
      <c r="BW137" s="688"/>
      <c r="BX137" s="688"/>
      <c r="BY137" s="688"/>
      <c r="BZ137" s="688"/>
      <c r="CA137" s="711"/>
      <c r="CB137" s="711"/>
      <c r="CC137" s="711"/>
      <c r="CD137" s="684"/>
      <c r="CE137" s="711"/>
      <c r="CF137" s="711"/>
      <c r="CG137" s="711"/>
      <c r="CH137" s="684"/>
      <c r="CI137" s="688"/>
      <c r="CJ137" s="688"/>
      <c r="CK137" s="688"/>
      <c r="CL137" s="688"/>
      <c r="CM137" s="706"/>
      <c r="CN137" s="543"/>
      <c r="CO137" s="707"/>
      <c r="CR137" s="710"/>
      <c r="CS137" s="711"/>
      <c r="CT137" s="711"/>
      <c r="CU137" s="684"/>
    </row>
    <row r="138" spans="1:99">
      <c r="A138" s="514" t="s">
        <v>608</v>
      </c>
      <c r="B138" s="474"/>
      <c r="C138" s="470"/>
      <c r="D138" s="470"/>
      <c r="E138" s="470"/>
      <c r="F138" s="683"/>
      <c r="G138" s="470"/>
      <c r="H138" s="470"/>
      <c r="I138" s="470"/>
      <c r="J138" s="683"/>
      <c r="K138" s="686"/>
      <c r="L138" s="686"/>
      <c r="M138" s="686"/>
      <c r="N138" s="683"/>
      <c r="O138" s="470"/>
      <c r="P138" s="470"/>
      <c r="Q138" s="470"/>
      <c r="R138" s="683"/>
      <c r="S138" s="711"/>
      <c r="T138" s="711"/>
      <c r="U138" s="711"/>
      <c r="V138" s="684"/>
      <c r="W138" s="711"/>
      <c r="X138" s="711"/>
      <c r="Y138" s="711"/>
      <c r="Z138" s="684"/>
      <c r="AA138" s="688"/>
      <c r="AB138" s="688"/>
      <c r="AC138" s="688"/>
      <c r="AD138" s="688"/>
      <c r="AE138" s="711"/>
      <c r="AF138" s="711"/>
      <c r="AG138" s="711"/>
      <c r="AH138" s="684"/>
      <c r="AI138" s="711"/>
      <c r="AJ138" s="711"/>
      <c r="AK138" s="711"/>
      <c r="AL138" s="684"/>
      <c r="AM138" s="688"/>
      <c r="AN138" s="688"/>
      <c r="AO138" s="688"/>
      <c r="AP138" s="688"/>
      <c r="AQ138" s="711"/>
      <c r="AR138" s="711"/>
      <c r="AS138" s="711"/>
      <c r="AT138" s="684"/>
      <c r="AU138" s="470"/>
      <c r="AV138" s="470"/>
      <c r="AW138" s="470"/>
      <c r="AX138" s="683"/>
      <c r="AY138" s="470"/>
      <c r="AZ138" s="470"/>
      <c r="BA138" s="470"/>
      <c r="BB138" s="683"/>
      <c r="BC138" s="470"/>
      <c r="BD138" s="470"/>
      <c r="BE138" s="470"/>
      <c r="BF138" s="683"/>
      <c r="BG138" s="470"/>
      <c r="BH138" s="470"/>
      <c r="BI138" s="470"/>
      <c r="BJ138" s="683"/>
      <c r="BK138" s="470"/>
      <c r="BL138" s="470"/>
      <c r="BM138" s="470"/>
      <c r="BN138" s="683"/>
      <c r="BO138" s="470"/>
      <c r="BP138" s="470"/>
      <c r="BQ138" s="470"/>
      <c r="BR138" s="683"/>
      <c r="BS138" s="711"/>
      <c r="BT138" s="711"/>
      <c r="BU138" s="711"/>
      <c r="BV138" s="684"/>
      <c r="BW138" s="688"/>
      <c r="BX138" s="688"/>
      <c r="BY138" s="688"/>
      <c r="BZ138" s="688"/>
      <c r="CA138" s="711"/>
      <c r="CB138" s="711"/>
      <c r="CC138" s="711"/>
      <c r="CD138" s="684"/>
      <c r="CE138" s="711"/>
      <c r="CF138" s="711"/>
      <c r="CG138" s="711"/>
      <c r="CH138" s="684"/>
      <c r="CI138" s="688"/>
      <c r="CJ138" s="688"/>
      <c r="CK138" s="688"/>
      <c r="CL138" s="688"/>
      <c r="CM138" s="706"/>
      <c r="CN138" s="708"/>
      <c r="CO138" s="679"/>
      <c r="CR138" s="710"/>
      <c r="CS138" s="711"/>
      <c r="CT138" s="711"/>
      <c r="CU138" s="684"/>
    </row>
    <row r="139" spans="1:99">
      <c r="A139" s="514" t="s">
        <v>609</v>
      </c>
      <c r="B139" s="474"/>
      <c r="C139" s="470"/>
      <c r="D139" s="470"/>
      <c r="E139" s="470"/>
      <c r="F139" s="683"/>
      <c r="G139" s="470"/>
      <c r="H139" s="470"/>
      <c r="I139" s="470"/>
      <c r="J139" s="683"/>
      <c r="K139" s="686"/>
      <c r="L139" s="686"/>
      <c r="M139" s="686"/>
      <c r="N139" s="683"/>
      <c r="O139" s="470"/>
      <c r="P139" s="470"/>
      <c r="Q139" s="470"/>
      <c r="R139" s="683"/>
      <c r="S139" s="711"/>
      <c r="T139" s="711"/>
      <c r="U139" s="711"/>
      <c r="V139" s="684"/>
      <c r="W139" s="711"/>
      <c r="X139" s="711"/>
      <c r="Y139" s="711"/>
      <c r="Z139" s="684"/>
      <c r="AA139" s="688"/>
      <c r="AB139" s="688"/>
      <c r="AC139" s="688"/>
      <c r="AD139" s="688"/>
      <c r="AE139" s="711"/>
      <c r="AF139" s="711"/>
      <c r="AG139" s="711"/>
      <c r="AH139" s="684"/>
      <c r="AI139" s="711"/>
      <c r="AJ139" s="711"/>
      <c r="AK139" s="711"/>
      <c r="AL139" s="684"/>
      <c r="AM139" s="688"/>
      <c r="AN139" s="688"/>
      <c r="AO139" s="688"/>
      <c r="AP139" s="688"/>
      <c r="AQ139" s="711"/>
      <c r="AR139" s="711"/>
      <c r="AS139" s="711"/>
      <c r="AT139" s="684"/>
      <c r="AU139" s="470"/>
      <c r="AV139" s="470"/>
      <c r="AW139" s="470"/>
      <c r="AX139" s="683"/>
      <c r="AY139" s="470"/>
      <c r="AZ139" s="470"/>
      <c r="BA139" s="470"/>
      <c r="BB139" s="683"/>
      <c r="BC139" s="470"/>
      <c r="BD139" s="470"/>
      <c r="BE139" s="470"/>
      <c r="BF139" s="683"/>
      <c r="BG139" s="470"/>
      <c r="BH139" s="470"/>
      <c r="BI139" s="470"/>
      <c r="BJ139" s="683"/>
      <c r="BK139" s="470"/>
      <c r="BL139" s="470"/>
      <c r="BM139" s="470"/>
      <c r="BN139" s="683"/>
      <c r="BO139" s="470"/>
      <c r="BP139" s="470"/>
      <c r="BQ139" s="470"/>
      <c r="BR139" s="683"/>
      <c r="BS139" s="711"/>
      <c r="BT139" s="711"/>
      <c r="BU139" s="711"/>
      <c r="BV139" s="684"/>
      <c r="BW139" s="688"/>
      <c r="BX139" s="688"/>
      <c r="BY139" s="688"/>
      <c r="BZ139" s="688"/>
      <c r="CA139" s="711"/>
      <c r="CB139" s="711"/>
      <c r="CC139" s="711"/>
      <c r="CD139" s="684"/>
      <c r="CE139" s="711"/>
      <c r="CF139" s="711"/>
      <c r="CG139" s="711"/>
      <c r="CH139" s="684"/>
      <c r="CI139" s="688"/>
      <c r="CJ139" s="688"/>
      <c r="CK139" s="688"/>
      <c r="CL139" s="688"/>
      <c r="CM139" s="706"/>
      <c r="CN139" s="543"/>
      <c r="CO139" s="707"/>
      <c r="CR139" s="710"/>
      <c r="CS139" s="711"/>
      <c r="CT139" s="711"/>
      <c r="CU139" s="684"/>
    </row>
    <row r="140" spans="1:99">
      <c r="A140" s="514" t="s">
        <v>608</v>
      </c>
      <c r="B140" s="474"/>
      <c r="C140" s="470"/>
      <c r="D140" s="470"/>
      <c r="E140" s="470"/>
      <c r="F140" s="683"/>
      <c r="G140" s="470"/>
      <c r="H140" s="470"/>
      <c r="I140" s="470"/>
      <c r="J140" s="683"/>
      <c r="K140" s="686"/>
      <c r="L140" s="686"/>
      <c r="M140" s="686"/>
      <c r="N140" s="683"/>
      <c r="O140" s="470"/>
      <c r="P140" s="470"/>
      <c r="Q140" s="470"/>
      <c r="R140" s="683"/>
      <c r="S140" s="711"/>
      <c r="T140" s="711"/>
      <c r="U140" s="711"/>
      <c r="V140" s="684"/>
      <c r="W140" s="711"/>
      <c r="X140" s="711"/>
      <c r="Y140" s="711"/>
      <c r="Z140" s="684"/>
      <c r="AA140" s="688"/>
      <c r="AB140" s="688"/>
      <c r="AC140" s="688"/>
      <c r="AD140" s="688"/>
      <c r="AE140" s="711"/>
      <c r="AF140" s="711"/>
      <c r="AG140" s="711"/>
      <c r="AH140" s="684"/>
      <c r="AI140" s="711"/>
      <c r="AJ140" s="711"/>
      <c r="AK140" s="711"/>
      <c r="AL140" s="684"/>
      <c r="AM140" s="688"/>
      <c r="AN140" s="688"/>
      <c r="AO140" s="688"/>
      <c r="AP140" s="688"/>
      <c r="AQ140" s="711"/>
      <c r="AR140" s="711"/>
      <c r="AS140" s="711"/>
      <c r="AT140" s="684"/>
      <c r="AU140" s="470"/>
      <c r="AV140" s="470"/>
      <c r="AW140" s="470"/>
      <c r="AX140" s="683"/>
      <c r="AY140" s="470"/>
      <c r="AZ140" s="470"/>
      <c r="BA140" s="470"/>
      <c r="BB140" s="683"/>
      <c r="BC140" s="470"/>
      <c r="BD140" s="470"/>
      <c r="BE140" s="470"/>
      <c r="BF140" s="683"/>
      <c r="BG140" s="470"/>
      <c r="BH140" s="470"/>
      <c r="BI140" s="470"/>
      <c r="BJ140" s="683"/>
      <c r="BK140" s="470"/>
      <c r="BL140" s="470"/>
      <c r="BM140" s="470"/>
      <c r="BN140" s="683"/>
      <c r="BO140" s="470"/>
      <c r="BP140" s="470"/>
      <c r="BQ140" s="470"/>
      <c r="BR140" s="683"/>
      <c r="BS140" s="711"/>
      <c r="BT140" s="711"/>
      <c r="BU140" s="711"/>
      <c r="BV140" s="684"/>
      <c r="BW140" s="688"/>
      <c r="BX140" s="688"/>
      <c r="BY140" s="688"/>
      <c r="BZ140" s="688"/>
      <c r="CA140" s="711"/>
      <c r="CB140" s="711"/>
      <c r="CC140" s="711"/>
      <c r="CD140" s="684"/>
      <c r="CE140" s="711"/>
      <c r="CF140" s="711"/>
      <c r="CG140" s="711"/>
      <c r="CH140" s="684"/>
      <c r="CI140" s="688"/>
      <c r="CJ140" s="688"/>
      <c r="CK140" s="688"/>
      <c r="CL140" s="688"/>
      <c r="CM140" s="706"/>
      <c r="CN140" s="708"/>
      <c r="CO140" s="679"/>
      <c r="CR140" s="710"/>
      <c r="CS140" s="711"/>
      <c r="CT140" s="711"/>
      <c r="CU140" s="684"/>
    </row>
    <row r="141" spans="1:99">
      <c r="A141" s="514" t="s">
        <v>609</v>
      </c>
      <c r="B141" s="474"/>
      <c r="C141" s="470"/>
      <c r="D141" s="470"/>
      <c r="E141" s="470"/>
      <c r="F141" s="683"/>
      <c r="G141" s="470"/>
      <c r="H141" s="470"/>
      <c r="I141" s="470"/>
      <c r="J141" s="683"/>
      <c r="K141" s="686"/>
      <c r="L141" s="686"/>
      <c r="M141" s="686"/>
      <c r="N141" s="683"/>
      <c r="O141" s="470"/>
      <c r="P141" s="470"/>
      <c r="Q141" s="470"/>
      <c r="R141" s="683"/>
      <c r="S141" s="711"/>
      <c r="T141" s="711"/>
      <c r="U141" s="711"/>
      <c r="V141" s="684"/>
      <c r="W141" s="711"/>
      <c r="X141" s="711"/>
      <c r="Y141" s="711"/>
      <c r="Z141" s="684"/>
      <c r="AA141" s="688"/>
      <c r="AB141" s="688"/>
      <c r="AC141" s="688"/>
      <c r="AD141" s="688"/>
      <c r="AE141" s="711"/>
      <c r="AF141" s="711"/>
      <c r="AG141" s="711"/>
      <c r="AH141" s="684"/>
      <c r="AI141" s="711"/>
      <c r="AJ141" s="711"/>
      <c r="AK141" s="711"/>
      <c r="AL141" s="684"/>
      <c r="AM141" s="688"/>
      <c r="AN141" s="688"/>
      <c r="AO141" s="688"/>
      <c r="AP141" s="688"/>
      <c r="AQ141" s="711"/>
      <c r="AR141" s="711"/>
      <c r="AS141" s="711"/>
      <c r="AT141" s="684"/>
      <c r="AU141" s="470"/>
      <c r="AV141" s="470"/>
      <c r="AW141" s="470"/>
      <c r="AX141" s="683"/>
      <c r="AY141" s="470"/>
      <c r="AZ141" s="470"/>
      <c r="BA141" s="470"/>
      <c r="BB141" s="683"/>
      <c r="BC141" s="470"/>
      <c r="BD141" s="470"/>
      <c r="BE141" s="470"/>
      <c r="BF141" s="683"/>
      <c r="BG141" s="470"/>
      <c r="BH141" s="470"/>
      <c r="BI141" s="470"/>
      <c r="BJ141" s="683"/>
      <c r="BK141" s="470"/>
      <c r="BL141" s="470"/>
      <c r="BM141" s="470"/>
      <c r="BN141" s="683"/>
      <c r="BO141" s="470"/>
      <c r="BP141" s="470"/>
      <c r="BQ141" s="470"/>
      <c r="BR141" s="683"/>
      <c r="BS141" s="711"/>
      <c r="BT141" s="711"/>
      <c r="BU141" s="711"/>
      <c r="BV141" s="684"/>
      <c r="BW141" s="688"/>
      <c r="BX141" s="688"/>
      <c r="BY141" s="688"/>
      <c r="BZ141" s="688"/>
      <c r="CA141" s="711"/>
      <c r="CB141" s="711"/>
      <c r="CC141" s="711"/>
      <c r="CD141" s="684"/>
      <c r="CE141" s="711"/>
      <c r="CF141" s="711"/>
      <c r="CG141" s="711"/>
      <c r="CH141" s="684"/>
      <c r="CI141" s="688"/>
      <c r="CJ141" s="688"/>
      <c r="CK141" s="688"/>
      <c r="CL141" s="688"/>
      <c r="CM141" s="706"/>
      <c r="CN141" s="708"/>
      <c r="CO141" s="679"/>
      <c r="CR141" s="710"/>
      <c r="CS141" s="711"/>
      <c r="CT141" s="711"/>
      <c r="CU141" s="684"/>
    </row>
    <row r="142" spans="1:99">
      <c r="A142" s="514" t="s">
        <v>608</v>
      </c>
      <c r="B142" s="474"/>
      <c r="C142" s="470"/>
      <c r="D142" s="470"/>
      <c r="E142" s="470"/>
      <c r="F142" s="683"/>
      <c r="G142" s="470"/>
      <c r="H142" s="470"/>
      <c r="I142" s="470"/>
      <c r="J142" s="683"/>
      <c r="K142" s="686"/>
      <c r="L142" s="686"/>
      <c r="M142" s="686"/>
      <c r="N142" s="683"/>
      <c r="O142" s="470"/>
      <c r="P142" s="470"/>
      <c r="Q142" s="470"/>
      <c r="R142" s="683"/>
      <c r="S142" s="711"/>
      <c r="T142" s="711"/>
      <c r="U142" s="711"/>
      <c r="V142" s="684"/>
      <c r="W142" s="711"/>
      <c r="X142" s="711"/>
      <c r="Y142" s="711"/>
      <c r="Z142" s="684"/>
      <c r="AA142" s="688"/>
      <c r="AB142" s="688"/>
      <c r="AC142" s="688"/>
      <c r="AD142" s="688"/>
      <c r="AE142" s="711"/>
      <c r="AF142" s="711"/>
      <c r="AG142" s="711"/>
      <c r="AH142" s="684"/>
      <c r="AI142" s="711"/>
      <c r="AJ142" s="711"/>
      <c r="AK142" s="711"/>
      <c r="AL142" s="684"/>
      <c r="AM142" s="688"/>
      <c r="AN142" s="688"/>
      <c r="AO142" s="688"/>
      <c r="AP142" s="688"/>
      <c r="AQ142" s="711"/>
      <c r="AR142" s="711"/>
      <c r="AS142" s="711"/>
      <c r="AT142" s="684"/>
      <c r="AU142" s="470"/>
      <c r="AV142" s="470"/>
      <c r="AW142" s="470"/>
      <c r="AX142" s="683"/>
      <c r="AY142" s="470"/>
      <c r="AZ142" s="470"/>
      <c r="BA142" s="470"/>
      <c r="BB142" s="683"/>
      <c r="BC142" s="470"/>
      <c r="BD142" s="470"/>
      <c r="BE142" s="470"/>
      <c r="BF142" s="683"/>
      <c r="BG142" s="470"/>
      <c r="BH142" s="470"/>
      <c r="BI142" s="470"/>
      <c r="BJ142" s="683"/>
      <c r="BK142" s="470"/>
      <c r="BL142" s="470"/>
      <c r="BM142" s="470"/>
      <c r="BN142" s="683"/>
      <c r="BO142" s="470"/>
      <c r="BP142" s="470"/>
      <c r="BQ142" s="470"/>
      <c r="BR142" s="683"/>
      <c r="BS142" s="711"/>
      <c r="BT142" s="711"/>
      <c r="BU142" s="711"/>
      <c r="BV142" s="684"/>
      <c r="BW142" s="688"/>
      <c r="BX142" s="688"/>
      <c r="BY142" s="688"/>
      <c r="BZ142" s="688"/>
      <c r="CA142" s="711"/>
      <c r="CB142" s="711"/>
      <c r="CC142" s="711"/>
      <c r="CD142" s="684"/>
      <c r="CE142" s="711"/>
      <c r="CF142" s="711"/>
      <c r="CG142" s="711"/>
      <c r="CH142" s="684"/>
      <c r="CI142" s="688"/>
      <c r="CJ142" s="688"/>
      <c r="CK142" s="688"/>
      <c r="CL142" s="688"/>
      <c r="CM142" s="706"/>
      <c r="CN142" s="708"/>
      <c r="CO142" s="679"/>
      <c r="CR142" s="710"/>
      <c r="CS142" s="711"/>
      <c r="CT142" s="711"/>
      <c r="CU142" s="684"/>
    </row>
    <row r="143" spans="1:99">
      <c r="A143" s="514" t="s">
        <v>609</v>
      </c>
      <c r="B143" s="474"/>
      <c r="C143" s="470"/>
      <c r="D143" s="470"/>
      <c r="E143" s="470"/>
      <c r="F143" s="683"/>
      <c r="G143" s="470"/>
      <c r="H143" s="470"/>
      <c r="I143" s="470"/>
      <c r="J143" s="683"/>
      <c r="K143" s="686"/>
      <c r="L143" s="686"/>
      <c r="M143" s="686"/>
      <c r="N143" s="683"/>
      <c r="O143" s="470"/>
      <c r="P143" s="470"/>
      <c r="Q143" s="470"/>
      <c r="R143" s="683"/>
      <c r="S143" s="711"/>
      <c r="T143" s="711"/>
      <c r="U143" s="711"/>
      <c r="V143" s="684"/>
      <c r="W143" s="711"/>
      <c r="X143" s="711"/>
      <c r="Y143" s="711"/>
      <c r="Z143" s="684"/>
      <c r="AA143" s="688"/>
      <c r="AB143" s="688"/>
      <c r="AC143" s="688"/>
      <c r="AD143" s="688"/>
      <c r="AE143" s="711"/>
      <c r="AF143" s="711"/>
      <c r="AG143" s="711"/>
      <c r="AH143" s="684"/>
      <c r="AI143" s="711"/>
      <c r="AJ143" s="711"/>
      <c r="AK143" s="711"/>
      <c r="AL143" s="684"/>
      <c r="AM143" s="688"/>
      <c r="AN143" s="688"/>
      <c r="AO143" s="688"/>
      <c r="AP143" s="688"/>
      <c r="AQ143" s="711"/>
      <c r="AR143" s="711"/>
      <c r="AS143" s="711"/>
      <c r="AT143" s="684"/>
      <c r="AU143" s="470"/>
      <c r="AV143" s="470"/>
      <c r="AW143" s="470"/>
      <c r="AX143" s="683"/>
      <c r="AY143" s="470"/>
      <c r="AZ143" s="470"/>
      <c r="BA143" s="470"/>
      <c r="BB143" s="683"/>
      <c r="BC143" s="470"/>
      <c r="BD143" s="470"/>
      <c r="BE143" s="470"/>
      <c r="BF143" s="683"/>
      <c r="BG143" s="470"/>
      <c r="BH143" s="470"/>
      <c r="BI143" s="470"/>
      <c r="BJ143" s="683"/>
      <c r="BK143" s="470"/>
      <c r="BL143" s="470"/>
      <c r="BM143" s="470"/>
      <c r="BN143" s="683"/>
      <c r="BO143" s="470"/>
      <c r="BP143" s="470"/>
      <c r="BQ143" s="470"/>
      <c r="BR143" s="683"/>
      <c r="BS143" s="711"/>
      <c r="BT143" s="711"/>
      <c r="BU143" s="711"/>
      <c r="BV143" s="684"/>
      <c r="BW143" s="688"/>
      <c r="BX143" s="688"/>
      <c r="BY143" s="688"/>
      <c r="BZ143" s="688"/>
      <c r="CA143" s="711"/>
      <c r="CB143" s="711"/>
      <c r="CC143" s="711"/>
      <c r="CD143" s="684"/>
      <c r="CE143" s="711"/>
      <c r="CF143" s="711"/>
      <c r="CG143" s="711"/>
      <c r="CH143" s="684"/>
      <c r="CI143" s="688"/>
      <c r="CJ143" s="688"/>
      <c r="CK143" s="688"/>
      <c r="CL143" s="688"/>
      <c r="CM143" s="706"/>
      <c r="CN143" s="708"/>
      <c r="CO143" s="679"/>
      <c r="CR143" s="710"/>
      <c r="CS143" s="711"/>
      <c r="CT143" s="711"/>
      <c r="CU143" s="684"/>
    </row>
    <row r="144" spans="1:99">
      <c r="A144" s="514" t="s">
        <v>608</v>
      </c>
      <c r="B144" s="474"/>
      <c r="C144" s="470"/>
      <c r="D144" s="470"/>
      <c r="E144" s="470"/>
      <c r="F144" s="683"/>
      <c r="G144" s="470"/>
      <c r="H144" s="470"/>
      <c r="I144" s="470"/>
      <c r="J144" s="683"/>
      <c r="K144" s="686"/>
      <c r="L144" s="686"/>
      <c r="M144" s="686"/>
      <c r="N144" s="683"/>
      <c r="O144" s="470"/>
      <c r="P144" s="470"/>
      <c r="Q144" s="470"/>
      <c r="R144" s="683"/>
      <c r="S144" s="711"/>
      <c r="T144" s="711"/>
      <c r="U144" s="711"/>
      <c r="V144" s="684"/>
      <c r="W144" s="711"/>
      <c r="X144" s="711"/>
      <c r="Y144" s="711"/>
      <c r="Z144" s="684"/>
      <c r="AA144" s="688"/>
      <c r="AB144" s="688"/>
      <c r="AC144" s="688"/>
      <c r="AD144" s="688"/>
      <c r="AE144" s="711"/>
      <c r="AF144" s="711"/>
      <c r="AG144" s="711"/>
      <c r="AH144" s="684"/>
      <c r="AI144" s="711"/>
      <c r="AJ144" s="711"/>
      <c r="AK144" s="711"/>
      <c r="AL144" s="684"/>
      <c r="AM144" s="688"/>
      <c r="AN144" s="688"/>
      <c r="AO144" s="688"/>
      <c r="AP144" s="688"/>
      <c r="AQ144" s="711"/>
      <c r="AR144" s="711"/>
      <c r="AS144" s="711"/>
      <c r="AT144" s="684"/>
      <c r="AU144" s="470"/>
      <c r="AV144" s="470"/>
      <c r="AW144" s="470"/>
      <c r="AX144" s="683"/>
      <c r="AY144" s="470"/>
      <c r="AZ144" s="470"/>
      <c r="BA144" s="470"/>
      <c r="BB144" s="683"/>
      <c r="BC144" s="470"/>
      <c r="BD144" s="470"/>
      <c r="BE144" s="470"/>
      <c r="BF144" s="683"/>
      <c r="BG144" s="470"/>
      <c r="BH144" s="470"/>
      <c r="BI144" s="470"/>
      <c r="BJ144" s="683"/>
      <c r="BK144" s="470"/>
      <c r="BL144" s="470"/>
      <c r="BM144" s="470"/>
      <c r="BN144" s="683"/>
      <c r="BO144" s="470"/>
      <c r="BP144" s="470"/>
      <c r="BQ144" s="470"/>
      <c r="BR144" s="683"/>
      <c r="BS144" s="711"/>
      <c r="BT144" s="711"/>
      <c r="BU144" s="711"/>
      <c r="BV144" s="684"/>
      <c r="BW144" s="688"/>
      <c r="BX144" s="688"/>
      <c r="BY144" s="688"/>
      <c r="BZ144" s="688"/>
      <c r="CA144" s="711"/>
      <c r="CB144" s="711"/>
      <c r="CC144" s="711"/>
      <c r="CD144" s="684"/>
      <c r="CE144" s="711"/>
      <c r="CF144" s="711"/>
      <c r="CG144" s="711"/>
      <c r="CH144" s="684"/>
      <c r="CI144" s="688"/>
      <c r="CJ144" s="688"/>
      <c r="CK144" s="688"/>
      <c r="CL144" s="688"/>
      <c r="CM144" s="706"/>
      <c r="CN144" s="708"/>
      <c r="CO144" s="679"/>
      <c r="CR144" s="710"/>
      <c r="CS144" s="711"/>
      <c r="CT144" s="711"/>
      <c r="CU144" s="684"/>
    </row>
    <row r="145" spans="1:99">
      <c r="A145" s="514" t="s">
        <v>609</v>
      </c>
      <c r="B145" s="474"/>
      <c r="C145" s="470"/>
      <c r="D145" s="470"/>
      <c r="E145" s="470"/>
      <c r="F145" s="683"/>
      <c r="G145" s="470"/>
      <c r="H145" s="470"/>
      <c r="I145" s="470"/>
      <c r="J145" s="683"/>
      <c r="K145" s="686"/>
      <c r="L145" s="686"/>
      <c r="M145" s="686"/>
      <c r="N145" s="683"/>
      <c r="O145" s="470"/>
      <c r="P145" s="470"/>
      <c r="Q145" s="470"/>
      <c r="R145" s="683"/>
      <c r="S145" s="711"/>
      <c r="T145" s="711"/>
      <c r="U145" s="711"/>
      <c r="V145" s="684"/>
      <c r="W145" s="711"/>
      <c r="X145" s="711"/>
      <c r="Y145" s="711"/>
      <c r="Z145" s="684"/>
      <c r="AA145" s="688"/>
      <c r="AB145" s="688"/>
      <c r="AC145" s="688"/>
      <c r="AD145" s="688"/>
      <c r="AE145" s="711"/>
      <c r="AF145" s="711"/>
      <c r="AG145" s="711"/>
      <c r="AH145" s="684"/>
      <c r="AI145" s="711"/>
      <c r="AJ145" s="711"/>
      <c r="AK145" s="711"/>
      <c r="AL145" s="684"/>
      <c r="AM145" s="688"/>
      <c r="AN145" s="688"/>
      <c r="AO145" s="688"/>
      <c r="AP145" s="688"/>
      <c r="AQ145" s="711"/>
      <c r="AR145" s="711"/>
      <c r="AS145" s="711"/>
      <c r="AT145" s="684"/>
      <c r="AU145" s="470"/>
      <c r="AV145" s="470"/>
      <c r="AW145" s="470"/>
      <c r="AX145" s="683"/>
      <c r="AY145" s="470"/>
      <c r="AZ145" s="470"/>
      <c r="BA145" s="470"/>
      <c r="BB145" s="683"/>
      <c r="BC145" s="470"/>
      <c r="BD145" s="470"/>
      <c r="BE145" s="470"/>
      <c r="BF145" s="683"/>
      <c r="BG145" s="470"/>
      <c r="BH145" s="470"/>
      <c r="BI145" s="470"/>
      <c r="BJ145" s="683"/>
      <c r="BK145" s="470"/>
      <c r="BL145" s="470"/>
      <c r="BM145" s="470"/>
      <c r="BN145" s="683"/>
      <c r="BO145" s="470"/>
      <c r="BP145" s="470"/>
      <c r="BQ145" s="470"/>
      <c r="BR145" s="683"/>
      <c r="BS145" s="711"/>
      <c r="BT145" s="711"/>
      <c r="BU145" s="711"/>
      <c r="BV145" s="684"/>
      <c r="BW145" s="688"/>
      <c r="BX145" s="688"/>
      <c r="BY145" s="688"/>
      <c r="BZ145" s="688"/>
      <c r="CA145" s="711"/>
      <c r="CB145" s="711"/>
      <c r="CC145" s="711"/>
      <c r="CD145" s="684"/>
      <c r="CE145" s="711"/>
      <c r="CF145" s="711"/>
      <c r="CG145" s="711"/>
      <c r="CH145" s="684"/>
      <c r="CI145" s="688"/>
      <c r="CJ145" s="688"/>
      <c r="CK145" s="688"/>
      <c r="CL145" s="688"/>
      <c r="CM145" s="706"/>
      <c r="CN145" s="708"/>
      <c r="CO145" s="679"/>
      <c r="CR145" s="710"/>
      <c r="CS145" s="711"/>
      <c r="CT145" s="711"/>
      <c r="CU145" s="684"/>
    </row>
    <row r="146" spans="1:99">
      <c r="A146" s="514" t="s">
        <v>608</v>
      </c>
      <c r="B146" s="523" t="s">
        <v>382</v>
      </c>
      <c r="C146" s="524"/>
      <c r="D146" s="524" t="s">
        <v>382</v>
      </c>
      <c r="E146" s="524" t="s">
        <v>383</v>
      </c>
      <c r="F146" s="713" t="s">
        <v>382</v>
      </c>
      <c r="G146" s="524" t="s">
        <v>382</v>
      </c>
      <c r="H146" s="524" t="s">
        <v>382</v>
      </c>
      <c r="I146" s="524" t="s">
        <v>383</v>
      </c>
      <c r="J146" s="713" t="s">
        <v>382</v>
      </c>
      <c r="K146" s="524" t="s">
        <v>382</v>
      </c>
      <c r="L146" s="524" t="s">
        <v>382</v>
      </c>
      <c r="M146" s="524" t="s">
        <v>383</v>
      </c>
      <c r="N146" s="713" t="s">
        <v>382</v>
      </c>
      <c r="O146" s="524" t="s">
        <v>382</v>
      </c>
      <c r="P146" s="524" t="s">
        <v>382</v>
      </c>
      <c r="Q146" s="524" t="s">
        <v>383</v>
      </c>
      <c r="R146" s="713" t="s">
        <v>382</v>
      </c>
      <c r="S146" s="714" t="s">
        <v>382</v>
      </c>
      <c r="T146" s="714" t="s">
        <v>382</v>
      </c>
      <c r="U146" s="714" t="s">
        <v>383</v>
      </c>
      <c r="V146" s="715" t="s">
        <v>382</v>
      </c>
      <c r="W146" s="714" t="s">
        <v>382</v>
      </c>
      <c r="X146" s="714" t="s">
        <v>382</v>
      </c>
      <c r="Y146" s="714" t="s">
        <v>383</v>
      </c>
      <c r="Z146" s="715" t="s">
        <v>382</v>
      </c>
      <c r="AA146" s="716"/>
      <c r="AB146" s="716"/>
      <c r="AC146" s="716"/>
      <c r="AD146" s="716"/>
      <c r="AE146" s="714" t="s">
        <v>382</v>
      </c>
      <c r="AF146" s="714" t="s">
        <v>382</v>
      </c>
      <c r="AG146" s="714" t="s">
        <v>383</v>
      </c>
      <c r="AH146" s="715" t="s">
        <v>382</v>
      </c>
      <c r="AI146" s="714" t="s">
        <v>382</v>
      </c>
      <c r="AJ146" s="714" t="s">
        <v>382</v>
      </c>
      <c r="AK146" s="714" t="s">
        <v>383</v>
      </c>
      <c r="AL146" s="715" t="s">
        <v>382</v>
      </c>
      <c r="AM146" s="716"/>
      <c r="AN146" s="716"/>
      <c r="AO146" s="716"/>
      <c r="AP146" s="716"/>
      <c r="AQ146" s="714" t="s">
        <v>382</v>
      </c>
      <c r="AR146" s="714" t="s">
        <v>382</v>
      </c>
      <c r="AS146" s="714" t="s">
        <v>383</v>
      </c>
      <c r="AT146" s="715" t="s">
        <v>382</v>
      </c>
      <c r="AU146" s="524" t="s">
        <v>382</v>
      </c>
      <c r="AV146" s="524" t="s">
        <v>382</v>
      </c>
      <c r="AW146" s="524" t="s">
        <v>383</v>
      </c>
      <c r="AX146" s="713" t="s">
        <v>382</v>
      </c>
      <c r="AY146" s="524" t="s">
        <v>382</v>
      </c>
      <c r="AZ146" s="524" t="s">
        <v>382</v>
      </c>
      <c r="BA146" s="524" t="s">
        <v>383</v>
      </c>
      <c r="BB146" s="713" t="s">
        <v>382</v>
      </c>
      <c r="BC146" s="524" t="s">
        <v>382</v>
      </c>
      <c r="BD146" s="524" t="s">
        <v>382</v>
      </c>
      <c r="BE146" s="524" t="s">
        <v>383</v>
      </c>
      <c r="BF146" s="713" t="s">
        <v>382</v>
      </c>
      <c r="BG146" s="524" t="s">
        <v>382</v>
      </c>
      <c r="BH146" s="524" t="s">
        <v>382</v>
      </c>
      <c r="BI146" s="524" t="s">
        <v>383</v>
      </c>
      <c r="BJ146" s="713" t="s">
        <v>382</v>
      </c>
      <c r="BK146" s="524" t="s">
        <v>382</v>
      </c>
      <c r="BL146" s="524" t="s">
        <v>382</v>
      </c>
      <c r="BM146" s="524" t="s">
        <v>383</v>
      </c>
      <c r="BN146" s="713" t="s">
        <v>382</v>
      </c>
      <c r="BO146" s="524" t="s">
        <v>382</v>
      </c>
      <c r="BP146" s="524" t="s">
        <v>382</v>
      </c>
      <c r="BQ146" s="524" t="s">
        <v>383</v>
      </c>
      <c r="BR146" s="713" t="s">
        <v>382</v>
      </c>
      <c r="BS146" s="714" t="s">
        <v>382</v>
      </c>
      <c r="BT146" s="714" t="s">
        <v>382</v>
      </c>
      <c r="BU146" s="714" t="s">
        <v>383</v>
      </c>
      <c r="BV146" s="715" t="s">
        <v>382</v>
      </c>
      <c r="BW146" s="716"/>
      <c r="BX146" s="716"/>
      <c r="BY146" s="716"/>
      <c r="BZ146" s="716"/>
      <c r="CA146" s="714" t="s">
        <v>382</v>
      </c>
      <c r="CB146" s="714" t="s">
        <v>382</v>
      </c>
      <c r="CC146" s="714" t="s">
        <v>383</v>
      </c>
      <c r="CD146" s="715" t="s">
        <v>382</v>
      </c>
      <c r="CE146" s="714" t="s">
        <v>382</v>
      </c>
      <c r="CF146" s="714" t="s">
        <v>382</v>
      </c>
      <c r="CG146" s="714" t="s">
        <v>383</v>
      </c>
      <c r="CH146" s="715" t="s">
        <v>382</v>
      </c>
      <c r="CI146" s="716"/>
      <c r="CJ146" s="716"/>
      <c r="CK146" s="716"/>
      <c r="CL146" s="716"/>
      <c r="CM146" s="706"/>
      <c r="CN146" s="543"/>
      <c r="CO146" s="707"/>
      <c r="CR146" s="710"/>
      <c r="CS146" s="711"/>
      <c r="CT146" s="711"/>
      <c r="CU146" s="684"/>
    </row>
    <row r="147" spans="1:99" ht="13.5" thickBot="1">
      <c r="A147" s="717" t="s">
        <v>382</v>
      </c>
      <c r="B147" s="525" t="s">
        <v>382</v>
      </c>
      <c r="C147" s="526" t="s">
        <v>382</v>
      </c>
      <c r="D147" s="526" t="s">
        <v>383</v>
      </c>
      <c r="E147" s="526" t="s">
        <v>383</v>
      </c>
      <c r="F147" s="718" t="s">
        <v>382</v>
      </c>
      <c r="G147" s="526" t="s">
        <v>382</v>
      </c>
      <c r="H147" s="526" t="s">
        <v>383</v>
      </c>
      <c r="I147" s="526" t="s">
        <v>383</v>
      </c>
      <c r="J147" s="718" t="s">
        <v>382</v>
      </c>
      <c r="K147" s="526" t="s">
        <v>382</v>
      </c>
      <c r="L147" s="526" t="s">
        <v>383</v>
      </c>
      <c r="M147" s="526" t="s">
        <v>383</v>
      </c>
      <c r="N147" s="718" t="s">
        <v>382</v>
      </c>
      <c r="O147" s="526" t="s">
        <v>382</v>
      </c>
      <c r="P147" s="526" t="s">
        <v>383</v>
      </c>
      <c r="Q147" s="526" t="s">
        <v>383</v>
      </c>
      <c r="R147" s="718" t="s">
        <v>382</v>
      </c>
      <c r="S147" s="719" t="s">
        <v>382</v>
      </c>
      <c r="T147" s="719" t="s">
        <v>383</v>
      </c>
      <c r="U147" s="719" t="s">
        <v>383</v>
      </c>
      <c r="V147" s="720" t="s">
        <v>382</v>
      </c>
      <c r="W147" s="719" t="s">
        <v>382</v>
      </c>
      <c r="X147" s="719" t="s">
        <v>383</v>
      </c>
      <c r="Y147" s="719" t="s">
        <v>383</v>
      </c>
      <c r="Z147" s="720" t="s">
        <v>382</v>
      </c>
      <c r="AA147" s="721"/>
      <c r="AB147" s="721"/>
      <c r="AC147" s="721"/>
      <c r="AD147" s="721"/>
      <c r="AE147" s="719" t="s">
        <v>382</v>
      </c>
      <c r="AF147" s="719" t="s">
        <v>383</v>
      </c>
      <c r="AG147" s="719" t="s">
        <v>383</v>
      </c>
      <c r="AH147" s="720" t="s">
        <v>382</v>
      </c>
      <c r="AI147" s="719" t="s">
        <v>382</v>
      </c>
      <c r="AJ147" s="719" t="s">
        <v>383</v>
      </c>
      <c r="AK147" s="719" t="s">
        <v>383</v>
      </c>
      <c r="AL147" s="720" t="s">
        <v>382</v>
      </c>
      <c r="AM147" s="721"/>
      <c r="AN147" s="721"/>
      <c r="AO147" s="721"/>
      <c r="AP147" s="721"/>
      <c r="AQ147" s="719" t="s">
        <v>382</v>
      </c>
      <c r="AR147" s="719" t="s">
        <v>383</v>
      </c>
      <c r="AS147" s="719" t="s">
        <v>383</v>
      </c>
      <c r="AT147" s="720" t="s">
        <v>382</v>
      </c>
      <c r="AU147" s="526" t="s">
        <v>382</v>
      </c>
      <c r="AV147" s="526" t="s">
        <v>383</v>
      </c>
      <c r="AW147" s="526" t="s">
        <v>383</v>
      </c>
      <c r="AX147" s="718" t="s">
        <v>382</v>
      </c>
      <c r="AY147" s="526" t="s">
        <v>382</v>
      </c>
      <c r="AZ147" s="526" t="s">
        <v>383</v>
      </c>
      <c r="BA147" s="526" t="s">
        <v>383</v>
      </c>
      <c r="BB147" s="718" t="s">
        <v>382</v>
      </c>
      <c r="BC147" s="526" t="s">
        <v>382</v>
      </c>
      <c r="BD147" s="526" t="s">
        <v>383</v>
      </c>
      <c r="BE147" s="526" t="s">
        <v>383</v>
      </c>
      <c r="BF147" s="718" t="s">
        <v>382</v>
      </c>
      <c r="BG147" s="526" t="s">
        <v>382</v>
      </c>
      <c r="BH147" s="526" t="s">
        <v>383</v>
      </c>
      <c r="BI147" s="526" t="s">
        <v>383</v>
      </c>
      <c r="BJ147" s="718" t="s">
        <v>382</v>
      </c>
      <c r="BK147" s="526" t="s">
        <v>382</v>
      </c>
      <c r="BL147" s="526" t="s">
        <v>383</v>
      </c>
      <c r="BM147" s="526" t="s">
        <v>383</v>
      </c>
      <c r="BN147" s="718" t="s">
        <v>382</v>
      </c>
      <c r="BO147" s="526" t="s">
        <v>382</v>
      </c>
      <c r="BP147" s="526" t="s">
        <v>383</v>
      </c>
      <c r="BQ147" s="526" t="s">
        <v>383</v>
      </c>
      <c r="BR147" s="718" t="s">
        <v>382</v>
      </c>
      <c r="BS147" s="718"/>
      <c r="BT147" s="718"/>
      <c r="BU147" s="718"/>
      <c r="BV147" s="718"/>
      <c r="BW147" s="718"/>
      <c r="BX147" s="718"/>
      <c r="BY147" s="718"/>
      <c r="BZ147" s="718"/>
      <c r="CA147" s="718"/>
      <c r="CB147" s="718"/>
      <c r="CC147" s="718"/>
      <c r="CD147" s="718"/>
      <c r="CE147" s="718"/>
      <c r="CF147" s="718"/>
      <c r="CG147" s="718"/>
      <c r="CH147" s="718"/>
      <c r="CI147" s="718"/>
      <c r="CJ147" s="718"/>
      <c r="CK147" s="718"/>
      <c r="CL147" s="718"/>
      <c r="CM147" s="722"/>
      <c r="CN147" s="723"/>
      <c r="CO147" s="696"/>
      <c r="CR147" s="996"/>
      <c r="CS147" s="997"/>
      <c r="CT147" s="997"/>
      <c r="CU147" s="695"/>
    </row>
    <row r="148" spans="1:99">
      <c r="A148" s="465" t="s">
        <v>134</v>
      </c>
      <c r="CN148" s="724"/>
      <c r="CO148" s="724"/>
    </row>
    <row r="149" spans="1:99">
      <c r="A149" s="527" t="s">
        <v>363</v>
      </c>
    </row>
    <row r="150" spans="1:99">
      <c r="A150" s="527" t="s">
        <v>364</v>
      </c>
      <c r="CN150" s="725"/>
    </row>
    <row r="151" spans="1:99">
      <c r="A151" s="527" t="s">
        <v>762</v>
      </c>
    </row>
    <row r="152" spans="1:99">
      <c r="A152" s="527" t="s">
        <v>763</v>
      </c>
    </row>
    <row r="153" spans="1:99">
      <c r="A153" s="527" t="s">
        <v>764</v>
      </c>
    </row>
    <row r="154" spans="1:99">
      <c r="A154" s="527" t="s">
        <v>765</v>
      </c>
    </row>
    <row r="155" spans="1:99">
      <c r="A155" s="527" t="s">
        <v>766</v>
      </c>
    </row>
    <row r="380" spans="1:6">
      <c r="A380" s="527"/>
      <c r="B380" s="518"/>
      <c r="C380" s="527"/>
      <c r="D380" s="527"/>
      <c r="E380" s="527"/>
      <c r="F380" s="688"/>
    </row>
    <row r="381" spans="1:6">
      <c r="A381" s="527"/>
      <c r="B381" s="518"/>
      <c r="C381" s="527"/>
      <c r="D381" s="527"/>
      <c r="E381" s="527"/>
      <c r="F381" s="688"/>
    </row>
    <row r="382" spans="1:6">
      <c r="A382" s="527"/>
      <c r="B382" s="518"/>
      <c r="C382" s="527"/>
      <c r="D382" s="527"/>
      <c r="E382" s="527"/>
      <c r="F382" s="688"/>
    </row>
    <row r="383" spans="1:6">
      <c r="A383" s="527"/>
      <c r="B383" s="518"/>
      <c r="C383" s="527"/>
      <c r="D383" s="527"/>
      <c r="E383" s="527"/>
      <c r="F383" s="688"/>
    </row>
    <row r="384" spans="1:6">
      <c r="A384" s="527"/>
      <c r="B384" s="518"/>
      <c r="C384" s="527"/>
      <c r="D384" s="527"/>
      <c r="E384" s="527"/>
      <c r="F384" s="688"/>
    </row>
    <row r="385" spans="1:6">
      <c r="A385" s="527"/>
      <c r="B385" s="518"/>
      <c r="C385" s="527"/>
      <c r="D385" s="527"/>
      <c r="E385" s="527"/>
      <c r="F385" s="688"/>
    </row>
    <row r="386" spans="1:6">
      <c r="A386" s="527"/>
      <c r="B386" s="518"/>
      <c r="C386" s="527"/>
      <c r="D386" s="527"/>
      <c r="E386" s="527"/>
      <c r="F386" s="688"/>
    </row>
    <row r="387" spans="1:6">
      <c r="A387" s="527"/>
      <c r="B387" s="518"/>
      <c r="C387" s="527"/>
      <c r="D387" s="527"/>
      <c r="E387" s="527"/>
      <c r="F387" s="688"/>
    </row>
    <row r="388" spans="1:6">
      <c r="A388" s="527"/>
      <c r="B388" s="518"/>
      <c r="C388" s="527"/>
      <c r="D388" s="527"/>
      <c r="E388" s="527"/>
      <c r="F388" s="688"/>
    </row>
  </sheetData>
  <mergeCells count="21">
    <mergeCell ref="CR23:CU23"/>
    <mergeCell ref="A21:AK21"/>
    <mergeCell ref="A22:AK22"/>
    <mergeCell ref="A3:CO3"/>
    <mergeCell ref="BW23:BZ23"/>
    <mergeCell ref="AA23:AD23"/>
    <mergeCell ref="A1:CO1"/>
    <mergeCell ref="C23:F23"/>
    <mergeCell ref="G23:J23"/>
    <mergeCell ref="O23:R23"/>
    <mergeCell ref="K23:N23"/>
    <mergeCell ref="S23:V23"/>
    <mergeCell ref="W23:Z23"/>
    <mergeCell ref="AE23:AH23"/>
    <mergeCell ref="AI23:AL23"/>
    <mergeCell ref="AM23:AP23"/>
    <mergeCell ref="AQ23:AT23"/>
    <mergeCell ref="BS23:BV23"/>
    <mergeCell ref="CE23:CH23"/>
    <mergeCell ref="CA23:CD23"/>
    <mergeCell ref="CI23:CL23"/>
  </mergeCells>
  <phoneticPr fontId="0" type="noConversion"/>
  <printOptions horizontalCentered="1"/>
  <pageMargins left="0" right="0" top="0.51" bottom="0.18" header="0.24" footer="0.22"/>
  <pageSetup scale="11" orientation="landscape" r:id="rId1"/>
  <headerFooter alignWithMargins="0">
    <oddHeader>&amp;R&amp;22Page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workbookViewId="0">
      <selection activeCell="E18" sqref="E18"/>
    </sheetView>
  </sheetViews>
  <sheetFormatPr defaultRowHeight="12.75"/>
  <cols>
    <col min="1" max="1" width="9.140625" style="465"/>
    <col min="2" max="2" width="1.42578125" style="465" customWidth="1"/>
    <col min="3" max="3" width="2.28515625" style="465" customWidth="1"/>
    <col min="4" max="4" width="43.42578125" style="465" customWidth="1"/>
    <col min="5" max="5" width="19.7109375" style="465" customWidth="1"/>
    <col min="6" max="6" width="19.42578125" style="465" customWidth="1"/>
    <col min="7" max="7" width="20.5703125" style="465" bestFit="1" customWidth="1"/>
    <col min="8" max="16384" width="9.140625" style="465"/>
  </cols>
  <sheetData>
    <row r="1" spans="1:8" ht="15">
      <c r="A1" s="1147" t="str">
        <f>+'ATT H-2A'!A4</f>
        <v>Baltimore Gas and Electric Company</v>
      </c>
      <c r="B1" s="1147"/>
      <c r="C1" s="1147"/>
      <c r="D1" s="1147"/>
      <c r="E1" s="1147"/>
      <c r="F1" s="1147"/>
    </row>
    <row r="2" spans="1:8">
      <c r="A2" s="155"/>
    </row>
    <row r="3" spans="1:8" ht="15">
      <c r="A3" s="1050" t="s">
        <v>642</v>
      </c>
      <c r="B3" s="1146"/>
      <c r="C3" s="1146"/>
      <c r="D3" s="1146"/>
      <c r="E3" s="1146"/>
      <c r="F3" s="1146"/>
    </row>
    <row r="4" spans="1:8">
      <c r="B4" s="91"/>
      <c r="C4" s="477"/>
      <c r="D4" s="477"/>
    </row>
    <row r="5" spans="1:8">
      <c r="A5" s="91"/>
    </row>
    <row r="6" spans="1:8">
      <c r="E6" s="158"/>
    </row>
    <row r="8" spans="1:8">
      <c r="B8" s="463"/>
      <c r="C8" s="463"/>
      <c r="D8" s="463"/>
      <c r="E8" s="463"/>
      <c r="F8" s="463"/>
      <c r="G8" s="463"/>
      <c r="H8" s="463"/>
    </row>
    <row r="9" spans="1:8">
      <c r="B9" s="159"/>
      <c r="C9" s="159"/>
      <c r="D9" s="159"/>
      <c r="E9" s="159"/>
      <c r="F9" s="159"/>
      <c r="G9" s="159"/>
      <c r="H9" s="463"/>
    </row>
    <row r="10" spans="1:8">
      <c r="B10" s="463"/>
      <c r="C10" s="463"/>
      <c r="D10" s="463"/>
      <c r="E10" s="463"/>
      <c r="F10" s="463"/>
      <c r="G10" s="463"/>
      <c r="H10" s="463"/>
    </row>
    <row r="12" spans="1:8">
      <c r="A12" s="465" t="s">
        <v>340</v>
      </c>
    </row>
    <row r="13" spans="1:8">
      <c r="C13" s="465" t="s">
        <v>33</v>
      </c>
    </row>
    <row r="14" spans="1:8">
      <c r="A14" s="155">
        <f>+'ATT H-2A'!A173</f>
        <v>100</v>
      </c>
      <c r="B14" s="155">
        <f>+'ATT H-2A'!B173</f>
        <v>0</v>
      </c>
      <c r="C14" s="155" t="str">
        <f>+'ATT H-2A'!C173</f>
        <v xml:space="preserve">    Less LTD Interest on Securitization Bonds</v>
      </c>
      <c r="D14" s="155"/>
      <c r="E14" s="664">
        <f>16233463+839628</f>
        <v>17073091</v>
      </c>
      <c r="F14" s="155"/>
    </row>
    <row r="17" spans="1:6">
      <c r="C17" s="465" t="s">
        <v>172</v>
      </c>
    </row>
    <row r="18" spans="1:6">
      <c r="A18" s="155">
        <f>+'ATT H-2A'!A190</f>
        <v>111</v>
      </c>
      <c r="C18" s="155" t="str">
        <f>+'ATT H-2A'!C190</f>
        <v xml:space="preserve">      Less LTD on Securitization Bonds</v>
      </c>
      <c r="D18" s="155"/>
      <c r="E18" s="664">
        <v>240801124</v>
      </c>
      <c r="F18" s="155"/>
    </row>
    <row r="21" spans="1:6">
      <c r="C21" s="463" t="s">
        <v>573</v>
      </c>
      <c r="D21" s="463"/>
      <c r="E21" s="463"/>
    </row>
    <row r="22" spans="1:6">
      <c r="D22" s="665"/>
      <c r="E22" s="665"/>
      <c r="F22" s="665"/>
    </row>
    <row r="23" spans="1:6">
      <c r="D23" s="665"/>
      <c r="E23" s="665"/>
      <c r="F23" s="665"/>
    </row>
    <row r="24" spans="1:6">
      <c r="D24" s="665"/>
      <c r="E24" s="665"/>
      <c r="F24" s="665"/>
    </row>
    <row r="25" spans="1:6">
      <c r="D25" s="665"/>
      <c r="E25" s="665"/>
      <c r="F25" s="665"/>
    </row>
    <row r="26" spans="1:6">
      <c r="D26" s="665"/>
      <c r="E26" s="665"/>
      <c r="F26" s="665"/>
    </row>
    <row r="27" spans="1:6">
      <c r="D27" s="665"/>
      <c r="E27" s="665"/>
      <c r="F27" s="665"/>
    </row>
    <row r="28" spans="1:6">
      <c r="D28" s="665"/>
      <c r="E28" s="665"/>
      <c r="F28" s="665"/>
    </row>
    <row r="29" spans="1:6">
      <c r="D29" s="665"/>
      <c r="E29" s="665"/>
      <c r="F29" s="665"/>
    </row>
    <row r="30" spans="1:6">
      <c r="D30" s="665"/>
      <c r="E30" s="665"/>
      <c r="F30" s="665"/>
    </row>
    <row r="31" spans="1:6">
      <c r="D31" s="665"/>
      <c r="E31" s="665"/>
      <c r="F31" s="665"/>
    </row>
    <row r="32" spans="1:6">
      <c r="D32" s="665"/>
      <c r="E32" s="665"/>
      <c r="F32" s="665"/>
    </row>
    <row r="33" spans="4:6">
      <c r="D33" s="665"/>
      <c r="E33" s="665"/>
      <c r="F33" s="665"/>
    </row>
    <row r="34" spans="4:6">
      <c r="D34" s="665"/>
      <c r="E34" s="665"/>
      <c r="F34" s="665"/>
    </row>
    <row r="35" spans="4:6">
      <c r="D35" s="665"/>
      <c r="E35" s="665"/>
      <c r="F35" s="665"/>
    </row>
    <row r="36" spans="4:6">
      <c r="D36" s="665"/>
      <c r="E36" s="665"/>
      <c r="F36" s="665"/>
    </row>
    <row r="37" spans="4:6">
      <c r="D37" s="665"/>
      <c r="E37" s="665"/>
      <c r="F37" s="665"/>
    </row>
    <row r="38" spans="4:6">
      <c r="D38" s="665"/>
      <c r="E38" s="665"/>
      <c r="F38" s="665"/>
    </row>
    <row r="39" spans="4:6">
      <c r="D39" s="665"/>
      <c r="E39" s="665"/>
      <c r="F39" s="665"/>
    </row>
    <row r="40" spans="4:6">
      <c r="D40" s="665"/>
      <c r="E40" s="665"/>
      <c r="F40" s="665"/>
    </row>
    <row r="41" spans="4:6">
      <c r="D41" s="665"/>
      <c r="E41" s="665"/>
      <c r="F41" s="665"/>
    </row>
    <row r="42" spans="4:6">
      <c r="D42" s="665"/>
      <c r="E42" s="665"/>
      <c r="F42" s="665"/>
    </row>
    <row r="43" spans="4:6">
      <c r="D43" s="665"/>
      <c r="E43" s="665"/>
      <c r="F43" s="665"/>
    </row>
    <row r="44" spans="4:6">
      <c r="D44" s="665"/>
      <c r="E44" s="665"/>
      <c r="F44" s="665"/>
    </row>
    <row r="45" spans="4:6">
      <c r="D45" s="665"/>
      <c r="E45" s="665"/>
      <c r="F45" s="665"/>
    </row>
  </sheetData>
  <mergeCells count="2">
    <mergeCell ref="A3:F3"/>
    <mergeCell ref="A1:F1"/>
  </mergeCells>
  <phoneticPr fontId="0" type="noConversion"/>
  <pageMargins left="0.75" right="0.75" top="1.5" bottom="1" header="0.5" footer="0.5"/>
  <pageSetup scale="94" orientation="portrait" r:id="rId1"/>
  <headerFooter alignWithMargins="0">
    <oddHeader>&amp;R&amp;"Arial,Bold"&amp;11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topLeftCell="A232" zoomScale="80" zoomScaleNormal="80" workbookViewId="0">
      <selection activeCell="A131" sqref="A131:XFD135"/>
    </sheetView>
  </sheetViews>
  <sheetFormatPr defaultRowHeight="12.75"/>
  <cols>
    <col min="1" max="1" width="9.85546875" style="510" bestFit="1" customWidth="1"/>
    <col min="2" max="2" width="51.85546875" style="465" bestFit="1" customWidth="1"/>
    <col min="3" max="3" width="12" style="465" bestFit="1" customWidth="1"/>
    <col min="4" max="4" width="14.85546875" style="465" customWidth="1"/>
    <col min="5" max="5" width="14.5703125" style="465" customWidth="1"/>
    <col min="6" max="6" width="14.85546875" style="465" customWidth="1"/>
    <col min="7" max="7" width="16.5703125" style="465" bestFit="1" customWidth="1"/>
    <col min="8" max="8" width="37.140625" style="951" customWidth="1"/>
    <col min="9" max="9" width="18.5703125" style="465" bestFit="1" customWidth="1"/>
    <col min="10" max="10" width="14.85546875" style="465" bestFit="1" customWidth="1"/>
    <col min="11" max="11" width="12.7109375" style="465" customWidth="1"/>
    <col min="12" max="12" width="15.85546875" style="465" bestFit="1" customWidth="1"/>
    <col min="13" max="16384" width="9.140625" style="465"/>
  </cols>
  <sheetData>
    <row r="1" spans="1:7" ht="18">
      <c r="A1" s="1048" t="s">
        <v>662</v>
      </c>
      <c r="B1" s="1049"/>
      <c r="C1" s="1049"/>
      <c r="D1" s="1049"/>
      <c r="E1" s="1049"/>
      <c r="F1" s="1049"/>
      <c r="G1" s="1049"/>
    </row>
    <row r="2" spans="1:7">
      <c r="A2" s="155"/>
      <c r="B2" s="91"/>
    </row>
    <row r="3" spans="1:7" ht="15">
      <c r="B3" s="1050" t="s">
        <v>636</v>
      </c>
      <c r="C3" s="1050"/>
      <c r="D3" s="1050"/>
      <c r="E3" s="1050"/>
      <c r="F3" s="1050"/>
      <c r="G3" s="1050"/>
    </row>
    <row r="4" spans="1:7">
      <c r="G4" s="144" t="s">
        <v>312</v>
      </c>
    </row>
    <row r="5" spans="1:7">
      <c r="D5" s="147" t="s">
        <v>305</v>
      </c>
      <c r="E5" s="147"/>
      <c r="G5" s="147"/>
    </row>
    <row r="6" spans="1:7">
      <c r="D6" s="147" t="s">
        <v>284</v>
      </c>
      <c r="E6" s="147" t="s">
        <v>300</v>
      </c>
      <c r="F6" s="147" t="s">
        <v>302</v>
      </c>
      <c r="G6" s="147" t="s">
        <v>222</v>
      </c>
    </row>
    <row r="7" spans="1:7">
      <c r="D7" s="147" t="s">
        <v>301</v>
      </c>
      <c r="E7" s="147" t="s">
        <v>301</v>
      </c>
      <c r="F7" s="147" t="s">
        <v>301</v>
      </c>
      <c r="G7" s="147" t="s">
        <v>317</v>
      </c>
    </row>
    <row r="10" spans="1:7">
      <c r="B10" s="144" t="s">
        <v>286</v>
      </c>
      <c r="D10" s="952">
        <f>+E85</f>
        <v>0</v>
      </c>
      <c r="E10" s="952">
        <f>+F85</f>
        <v>-1094974194.7679749</v>
      </c>
      <c r="F10" s="952">
        <f>+G85</f>
        <v>-13848942.558999998</v>
      </c>
    </row>
    <row r="11" spans="1:7">
      <c r="B11" s="144" t="s">
        <v>287</v>
      </c>
      <c r="D11" s="952">
        <f>+E135</f>
        <v>0</v>
      </c>
      <c r="E11" s="952">
        <f>+F135</f>
        <v>-61374419.170607001</v>
      </c>
      <c r="F11" s="952">
        <f>+G135</f>
        <v>-5382410.8923929995</v>
      </c>
    </row>
    <row r="12" spans="1:7">
      <c r="B12" s="144" t="s">
        <v>285</v>
      </c>
      <c r="D12" s="952">
        <f>+E53</f>
        <v>0</v>
      </c>
      <c r="E12" s="952">
        <f>+F53</f>
        <v>29304270.657000002</v>
      </c>
      <c r="F12" s="952">
        <f>+G53</f>
        <v>-109912189.95</v>
      </c>
    </row>
    <row r="13" spans="1:7">
      <c r="B13" s="144" t="s">
        <v>259</v>
      </c>
      <c r="D13" s="952">
        <f>SUM(D10:D12)</f>
        <v>0</v>
      </c>
      <c r="E13" s="952">
        <f>SUM(E10:E12)</f>
        <v>-1127044343.2815819</v>
      </c>
      <c r="F13" s="952">
        <f>SUM(F10:F12)</f>
        <v>-129143543.401393</v>
      </c>
    </row>
    <row r="14" spans="1:7">
      <c r="B14" s="144" t="s">
        <v>575</v>
      </c>
      <c r="F14" s="953">
        <f>+'ATT H-2A'!H16</f>
        <v>0.12385193414972966</v>
      </c>
      <c r="G14" s="465" t="s">
        <v>101</v>
      </c>
    </row>
    <row r="15" spans="1:7">
      <c r="B15" s="431" t="s">
        <v>21</v>
      </c>
      <c r="E15" s="953">
        <f>+'ATT H-2A'!H32</f>
        <v>0.17006487987085997</v>
      </c>
      <c r="F15" s="465" t="s">
        <v>101</v>
      </c>
    </row>
    <row r="16" spans="1:7">
      <c r="B16" s="144" t="s">
        <v>317</v>
      </c>
      <c r="D16" s="952">
        <f>+D13</f>
        <v>0</v>
      </c>
      <c r="E16" s="952">
        <f>+E15*E13</f>
        <v>-191670660.84931448</v>
      </c>
      <c r="F16" s="952">
        <f>+F14*F13</f>
        <v>-15994677.633212078</v>
      </c>
      <c r="G16" s="952">
        <f>SUM(D16:F16)</f>
        <v>-207665338.48252657</v>
      </c>
    </row>
    <row r="18" spans="1:10">
      <c r="B18" s="463" t="s">
        <v>199</v>
      </c>
      <c r="C18" s="463"/>
      <c r="D18" s="463"/>
      <c r="E18" s="463"/>
      <c r="F18" s="463"/>
      <c r="G18" s="463"/>
    </row>
    <row r="19" spans="1:10">
      <c r="B19" s="463"/>
      <c r="C19" s="463"/>
      <c r="D19" s="463" t="s">
        <v>688</v>
      </c>
      <c r="E19" s="954">
        <f>+D111</f>
        <v>-3013182</v>
      </c>
      <c r="F19" s="463"/>
      <c r="G19" s="463"/>
    </row>
    <row r="20" spans="1:10">
      <c r="B20" s="463"/>
      <c r="C20" s="463"/>
      <c r="D20" s="463"/>
      <c r="E20" s="463"/>
      <c r="F20" s="463"/>
      <c r="G20" s="463"/>
    </row>
    <row r="22" spans="1:10">
      <c r="A22" s="569" t="s">
        <v>27</v>
      </c>
    </row>
    <row r="23" spans="1:10">
      <c r="A23" s="569" t="s">
        <v>530</v>
      </c>
    </row>
    <row r="24" spans="1:10" ht="15">
      <c r="B24" s="1050" t="str">
        <f>+B3</f>
        <v>Attachment 1 - Accumulated Deferred Income Taxes (ADIT) Worksheet</v>
      </c>
      <c r="C24" s="1050"/>
      <c r="D24" s="1050"/>
      <c r="E24" s="1050"/>
      <c r="F24" s="1050"/>
      <c r="G24" s="1050"/>
    </row>
    <row r="25" spans="1:10">
      <c r="G25" s="144" t="s">
        <v>313</v>
      </c>
    </row>
    <row r="26" spans="1:10">
      <c r="D26" s="467" t="s">
        <v>47</v>
      </c>
      <c r="E26" s="467" t="s">
        <v>223</v>
      </c>
      <c r="F26" s="467" t="s">
        <v>19</v>
      </c>
      <c r="G26" s="467" t="s">
        <v>48</v>
      </c>
      <c r="H26" s="951" t="s">
        <v>46</v>
      </c>
    </row>
    <row r="27" spans="1:10">
      <c r="B27" s="144" t="s">
        <v>285</v>
      </c>
      <c r="D27" s="147" t="s">
        <v>303</v>
      </c>
      <c r="E27" s="147" t="s">
        <v>305</v>
      </c>
      <c r="F27" s="147"/>
      <c r="G27" s="147"/>
    </row>
    <row r="28" spans="1:10">
      <c r="D28" s="147" t="s">
        <v>304</v>
      </c>
      <c r="E28" s="147" t="s">
        <v>284</v>
      </c>
      <c r="F28" s="147" t="s">
        <v>300</v>
      </c>
      <c r="G28" s="147" t="s">
        <v>302</v>
      </c>
      <c r="H28" s="955" t="s">
        <v>733</v>
      </c>
    </row>
    <row r="29" spans="1:10">
      <c r="D29" s="147" t="s">
        <v>301</v>
      </c>
      <c r="E29" s="147" t="s">
        <v>301</v>
      </c>
      <c r="F29" s="147" t="s">
        <v>301</v>
      </c>
      <c r="G29" s="147" t="s">
        <v>301</v>
      </c>
      <c r="H29" s="955" t="s">
        <v>734</v>
      </c>
    </row>
    <row r="30" spans="1:10">
      <c r="D30" s="565"/>
      <c r="E30" s="565"/>
      <c r="F30" s="565"/>
      <c r="G30" s="565"/>
    </row>
    <row r="31" spans="1:10" ht="102">
      <c r="A31" s="956">
        <v>190</v>
      </c>
      <c r="B31" s="475" t="s">
        <v>864</v>
      </c>
      <c r="C31" s="476"/>
      <c r="D31" s="957">
        <f>-31144941+(-39550*0.271)</f>
        <v>-31155659.050000001</v>
      </c>
      <c r="E31" s="957"/>
      <c r="F31" s="957"/>
      <c r="G31" s="957">
        <f>-109883358+(-39550*0.729)</f>
        <v>-109912189.95</v>
      </c>
      <c r="H31" s="958" t="s">
        <v>582</v>
      </c>
      <c r="J31" s="952"/>
    </row>
    <row r="32" spans="1:10" ht="25.5">
      <c r="A32" s="956">
        <v>190</v>
      </c>
      <c r="B32" s="475" t="s">
        <v>788</v>
      </c>
      <c r="C32" s="476"/>
      <c r="D32" s="957">
        <f>10667603+4379644</f>
        <v>15047247</v>
      </c>
      <c r="E32" s="957"/>
      <c r="F32" s="957"/>
      <c r="G32" s="957"/>
      <c r="H32" s="958" t="s">
        <v>578</v>
      </c>
    </row>
    <row r="33" spans="1:8" ht="25.5">
      <c r="A33" s="956">
        <v>190</v>
      </c>
      <c r="B33" s="475" t="s">
        <v>789</v>
      </c>
      <c r="C33" s="476"/>
      <c r="D33" s="957">
        <f>8646559+2571864</f>
        <v>11218423</v>
      </c>
      <c r="E33" s="957"/>
      <c r="F33" s="957"/>
      <c r="G33" s="957"/>
      <c r="H33" s="958" t="s">
        <v>578</v>
      </c>
    </row>
    <row r="34" spans="1:8" ht="38.25">
      <c r="A34" s="956">
        <v>190</v>
      </c>
      <c r="B34" s="475" t="s">
        <v>790</v>
      </c>
      <c r="C34" s="476"/>
      <c r="D34" s="957">
        <f>1728643+2279672</f>
        <v>4008315</v>
      </c>
      <c r="E34" s="957"/>
      <c r="F34" s="957"/>
      <c r="G34" s="957"/>
      <c r="H34" s="958" t="s">
        <v>583</v>
      </c>
    </row>
    <row r="35" spans="1:8" ht="25.5">
      <c r="A35" s="956">
        <v>190</v>
      </c>
      <c r="B35" s="475" t="s">
        <v>791</v>
      </c>
      <c r="C35" s="476"/>
      <c r="D35" s="957">
        <f>1820424+825842</f>
        <v>2646266</v>
      </c>
      <c r="E35" s="957"/>
      <c r="F35" s="957"/>
      <c r="G35" s="957"/>
      <c r="H35" s="958" t="s">
        <v>578</v>
      </c>
    </row>
    <row r="36" spans="1:8" ht="25.5">
      <c r="A36" s="956">
        <v>190</v>
      </c>
      <c r="B36" s="475" t="s">
        <v>792</v>
      </c>
      <c r="C36" s="476"/>
      <c r="D36" s="957">
        <f>772025+182047</f>
        <v>954072</v>
      </c>
      <c r="E36" s="957"/>
      <c r="F36" s="957"/>
      <c r="G36" s="957"/>
      <c r="H36" s="958" t="s">
        <v>578</v>
      </c>
    </row>
    <row r="37" spans="1:8" ht="23.25" customHeight="1">
      <c r="A37" s="956">
        <v>190</v>
      </c>
      <c r="B37" s="475" t="s">
        <v>793</v>
      </c>
      <c r="C37" s="476"/>
      <c r="D37" s="957">
        <v>542366</v>
      </c>
      <c r="E37" s="957"/>
      <c r="F37" s="957"/>
      <c r="G37" s="957"/>
      <c r="H37" s="958" t="s">
        <v>212</v>
      </c>
    </row>
    <row r="38" spans="1:8" ht="25.5">
      <c r="A38" s="956">
        <v>190</v>
      </c>
      <c r="B38" s="475" t="s">
        <v>794</v>
      </c>
      <c r="C38" s="476"/>
      <c r="D38" s="957">
        <v>311972</v>
      </c>
      <c r="E38" s="957"/>
      <c r="F38" s="957"/>
      <c r="G38" s="957"/>
      <c r="H38" s="958" t="s">
        <v>578</v>
      </c>
    </row>
    <row r="39" spans="1:8" ht="25.5">
      <c r="A39" s="956">
        <v>190</v>
      </c>
      <c r="B39" s="475" t="s">
        <v>795</v>
      </c>
      <c r="C39" s="476"/>
      <c r="D39" s="957">
        <f>-260297-90508+727287</f>
        <v>376482</v>
      </c>
      <c r="E39" s="957"/>
      <c r="F39" s="957"/>
      <c r="G39" s="957"/>
      <c r="H39" s="958" t="s">
        <v>578</v>
      </c>
    </row>
    <row r="40" spans="1:8" ht="28.5" customHeight="1">
      <c r="A40" s="956">
        <v>190</v>
      </c>
      <c r="B40" s="475" t="s">
        <v>289</v>
      </c>
      <c r="C40" s="476"/>
      <c r="D40" s="957">
        <f>75373+77205+42537-1</f>
        <v>195114</v>
      </c>
      <c r="E40" s="957"/>
      <c r="F40" s="957"/>
      <c r="G40" s="957"/>
      <c r="H40" s="958" t="s">
        <v>578</v>
      </c>
    </row>
    <row r="41" spans="1:8" ht="17.25" customHeight="1">
      <c r="A41" s="956">
        <v>190</v>
      </c>
      <c r="B41" s="475" t="s">
        <v>797</v>
      </c>
      <c r="C41" s="476"/>
      <c r="D41" s="957">
        <v>1987913</v>
      </c>
      <c r="E41" s="957"/>
      <c r="F41" s="957"/>
      <c r="G41" s="957"/>
      <c r="H41" s="958" t="s">
        <v>212</v>
      </c>
    </row>
    <row r="42" spans="1:8" ht="16.5" customHeight="1">
      <c r="A42" s="956">
        <v>190</v>
      </c>
      <c r="B42" s="475" t="s">
        <v>793</v>
      </c>
      <c r="C42" s="476"/>
      <c r="D42" s="957">
        <v>212408</v>
      </c>
      <c r="E42" s="957"/>
      <c r="F42" s="957"/>
      <c r="G42" s="957"/>
      <c r="H42" s="958" t="s">
        <v>212</v>
      </c>
    </row>
    <row r="43" spans="1:8" ht="16.5" customHeight="1">
      <c r="A43" s="956">
        <v>190</v>
      </c>
      <c r="B43" s="475" t="s">
        <v>796</v>
      </c>
      <c r="C43" s="476"/>
      <c r="D43" s="957">
        <v>94382</v>
      </c>
      <c r="E43" s="957"/>
      <c r="F43" s="957"/>
      <c r="G43" s="957"/>
      <c r="H43" s="958" t="s">
        <v>212</v>
      </c>
    </row>
    <row r="44" spans="1:8" ht="25.5">
      <c r="A44" s="956">
        <v>190</v>
      </c>
      <c r="B44" s="475" t="s">
        <v>798</v>
      </c>
      <c r="C44" s="476"/>
      <c r="D44" s="957">
        <v>9147261</v>
      </c>
      <c r="E44" s="957"/>
      <c r="F44" s="957"/>
      <c r="G44" s="957"/>
      <c r="H44" s="958" t="s">
        <v>578</v>
      </c>
    </row>
    <row r="45" spans="1:8" ht="28.5" customHeight="1">
      <c r="A45" s="956">
        <v>190</v>
      </c>
      <c r="B45" s="475" t="s">
        <v>799</v>
      </c>
      <c r="C45" s="476"/>
      <c r="D45" s="957">
        <v>1631971</v>
      </c>
      <c r="E45" s="957"/>
      <c r="F45" s="957"/>
      <c r="G45" s="957"/>
      <c r="H45" s="958" t="s">
        <v>578</v>
      </c>
    </row>
    <row r="46" spans="1:8" ht="28.5" customHeight="1">
      <c r="A46" s="956">
        <v>190</v>
      </c>
      <c r="B46" s="475" t="s">
        <v>865</v>
      </c>
      <c r="C46" s="476"/>
      <c r="D46" s="957">
        <f>70431572+11211399+927601</f>
        <v>82570572</v>
      </c>
      <c r="E46" s="957"/>
      <c r="F46" s="957"/>
      <c r="G46" s="957"/>
      <c r="H46" s="958" t="s">
        <v>578</v>
      </c>
    </row>
    <row r="47" spans="1:8" ht="51">
      <c r="A47" s="956">
        <v>190</v>
      </c>
      <c r="B47" s="475" t="s">
        <v>800</v>
      </c>
      <c r="C47" s="476"/>
      <c r="D47" s="957">
        <f>(18102062+(3530433*0.271))</f>
        <v>19058809.342999998</v>
      </c>
      <c r="E47" s="957"/>
      <c r="F47" s="957">
        <f>(26730585+(3530433*0.729))</f>
        <v>29304270.657000002</v>
      </c>
      <c r="G47" s="957"/>
      <c r="H47" s="958" t="s">
        <v>801</v>
      </c>
    </row>
    <row r="48" spans="1:8">
      <c r="A48" s="956"/>
      <c r="B48" s="475"/>
      <c r="C48" s="476"/>
      <c r="D48" s="957"/>
      <c r="E48" s="957"/>
      <c r="F48" s="957"/>
      <c r="G48" s="957"/>
      <c r="H48" s="958"/>
    </row>
    <row r="49" spans="1:8">
      <c r="A49" s="956"/>
      <c r="B49" s="476"/>
      <c r="C49" s="476"/>
      <c r="D49" s="961"/>
      <c r="E49" s="961"/>
      <c r="F49" s="961"/>
      <c r="G49" s="961"/>
      <c r="H49" s="960"/>
    </row>
    <row r="50" spans="1:8">
      <c r="B50" s="570" t="s">
        <v>316</v>
      </c>
      <c r="D50" s="568">
        <f>SUM(D31:D49)</f>
        <v>118847914.293</v>
      </c>
      <c r="E50" s="568">
        <f>SUM(E31:E49)</f>
        <v>0</v>
      </c>
      <c r="F50" s="568">
        <f>SUM(F31:F49)</f>
        <v>29304270.657000002</v>
      </c>
      <c r="G50" s="568">
        <f>SUM(G31:G49)</f>
        <v>-109912189.95</v>
      </c>
      <c r="H50" s="972"/>
    </row>
    <row r="51" spans="1:8">
      <c r="B51" s="571" t="s">
        <v>651</v>
      </c>
      <c r="D51" s="954"/>
      <c r="E51" s="954">
        <f>SUM(E34)</f>
        <v>0</v>
      </c>
      <c r="F51" s="954">
        <f>SUM(F34)</f>
        <v>0</v>
      </c>
      <c r="G51" s="962"/>
      <c r="H51" s="973"/>
    </row>
    <row r="52" spans="1:8">
      <c r="B52" s="571" t="s">
        <v>652</v>
      </c>
      <c r="D52" s="954"/>
      <c r="E52" s="954">
        <f>+E46</f>
        <v>0</v>
      </c>
      <c r="F52" s="954">
        <f>+F46</f>
        <v>0</v>
      </c>
      <c r="G52" s="954">
        <f>+G46</f>
        <v>0</v>
      </c>
      <c r="H52" s="973"/>
    </row>
    <row r="53" spans="1:8">
      <c r="B53" s="571" t="s">
        <v>222</v>
      </c>
      <c r="D53" s="568">
        <f>+D50-D51-D52</f>
        <v>118847914.293</v>
      </c>
      <c r="E53" s="568">
        <f>+E50-E51-E52</f>
        <v>0</v>
      </c>
      <c r="F53" s="568">
        <f>+F50-F51-F52</f>
        <v>29304270.657000002</v>
      </c>
      <c r="G53" s="568">
        <f>+G50-G51-G52</f>
        <v>-109912189.95</v>
      </c>
      <c r="H53" s="972"/>
    </row>
    <row r="54" spans="1:8">
      <c r="B54" s="571"/>
      <c r="D54" s="463"/>
      <c r="E54" s="463"/>
      <c r="F54" s="767"/>
      <c r="G54" s="767"/>
    </row>
    <row r="55" spans="1:8">
      <c r="B55" s="571" t="s">
        <v>306</v>
      </c>
      <c r="D55" s="463"/>
      <c r="E55" s="463"/>
      <c r="F55" s="767"/>
      <c r="G55" s="767"/>
    </row>
    <row r="56" spans="1:8" ht="25.5" customHeight="1">
      <c r="B56" s="1051" t="s">
        <v>318</v>
      </c>
      <c r="C56" s="1052"/>
      <c r="D56" s="1052"/>
      <c r="E56" s="1052"/>
      <c r="F56" s="1052"/>
      <c r="G56" s="1052"/>
    </row>
    <row r="57" spans="1:8">
      <c r="B57" s="572" t="s">
        <v>309</v>
      </c>
      <c r="D57" s="463"/>
      <c r="E57" s="463"/>
      <c r="F57" s="767"/>
      <c r="G57" s="767"/>
    </row>
    <row r="58" spans="1:8">
      <c r="B58" s="572" t="s">
        <v>310</v>
      </c>
      <c r="D58" s="463"/>
      <c r="E58" s="463"/>
      <c r="F58" s="767"/>
      <c r="G58" s="767"/>
    </row>
    <row r="59" spans="1:8">
      <c r="B59" s="572" t="s">
        <v>311</v>
      </c>
      <c r="D59" s="463"/>
      <c r="E59" s="463"/>
      <c r="F59" s="767"/>
      <c r="G59" s="767"/>
    </row>
    <row r="60" spans="1:8">
      <c r="B60" s="1053" t="s">
        <v>630</v>
      </c>
      <c r="C60" s="1054"/>
      <c r="D60" s="1054"/>
      <c r="E60" s="1054"/>
      <c r="F60" s="1054"/>
      <c r="G60" s="1054"/>
      <c r="H60" s="454"/>
    </row>
    <row r="61" spans="1:8">
      <c r="B61" s="1054"/>
      <c r="C61" s="1054"/>
      <c r="D61" s="1054"/>
      <c r="E61" s="1054"/>
      <c r="F61" s="1054"/>
      <c r="G61" s="1054"/>
    </row>
    <row r="62" spans="1:8">
      <c r="B62" s="572"/>
      <c r="D62" s="463"/>
      <c r="E62" s="463"/>
      <c r="F62" s="767"/>
      <c r="G62" s="767"/>
    </row>
    <row r="63" spans="1:8" ht="15">
      <c r="B63" s="1050" t="str">
        <f>+B24</f>
        <v>Attachment 1 - Accumulated Deferred Income Taxes (ADIT) Worksheet</v>
      </c>
      <c r="C63" s="1050"/>
      <c r="D63" s="1050"/>
      <c r="E63" s="1050"/>
      <c r="F63" s="1050"/>
      <c r="G63" s="1050"/>
    </row>
    <row r="64" spans="1:8">
      <c r="G64" s="144" t="s">
        <v>314</v>
      </c>
    </row>
    <row r="65" spans="1:11">
      <c r="G65" s="144"/>
    </row>
    <row r="66" spans="1:11">
      <c r="G66" s="144"/>
    </row>
    <row r="67" spans="1:11">
      <c r="B67" s="572"/>
      <c r="D67" s="467" t="s">
        <v>47</v>
      </c>
      <c r="E67" s="467" t="s">
        <v>223</v>
      </c>
      <c r="F67" s="467" t="s">
        <v>19</v>
      </c>
      <c r="G67" s="467" t="s">
        <v>48</v>
      </c>
      <c r="H67" s="951" t="s">
        <v>46</v>
      </c>
    </row>
    <row r="68" spans="1:11">
      <c r="B68" s="144" t="s">
        <v>286</v>
      </c>
      <c r="D68" s="147" t="s">
        <v>303</v>
      </c>
      <c r="E68" s="147" t="s">
        <v>305</v>
      </c>
      <c r="F68" s="147"/>
      <c r="G68" s="147"/>
    </row>
    <row r="69" spans="1:11">
      <c r="B69" s="571"/>
      <c r="D69" s="147" t="s">
        <v>304</v>
      </c>
      <c r="E69" s="147" t="s">
        <v>284</v>
      </c>
      <c r="F69" s="147" t="s">
        <v>300</v>
      </c>
      <c r="G69" s="147" t="s">
        <v>302</v>
      </c>
      <c r="H69" s="955" t="s">
        <v>733</v>
      </c>
    </row>
    <row r="70" spans="1:11">
      <c r="D70" s="147" t="s">
        <v>301</v>
      </c>
      <c r="E70" s="147" t="s">
        <v>301</v>
      </c>
      <c r="F70" s="147" t="s">
        <v>301</v>
      </c>
      <c r="G70" s="147" t="s">
        <v>301</v>
      </c>
      <c r="H70" s="955" t="s">
        <v>734</v>
      </c>
    </row>
    <row r="71" spans="1:11" ht="25.5">
      <c r="A71" s="959">
        <v>282</v>
      </c>
      <c r="B71" s="475" t="s">
        <v>802</v>
      </c>
      <c r="C71" s="473"/>
      <c r="D71" s="957">
        <v>-24556395</v>
      </c>
      <c r="E71" s="957"/>
      <c r="F71" s="957"/>
      <c r="G71" s="957"/>
      <c r="H71" s="958" t="s">
        <v>578</v>
      </c>
      <c r="J71" s="952"/>
      <c r="K71" s="952"/>
    </row>
    <row r="72" spans="1:11" ht="25.5">
      <c r="A72" s="959">
        <v>282</v>
      </c>
      <c r="B72" s="476" t="s">
        <v>803</v>
      </c>
      <c r="C72" s="476"/>
      <c r="D72" s="957">
        <v>5774178</v>
      </c>
      <c r="E72" s="957"/>
      <c r="F72" s="957"/>
      <c r="G72" s="957"/>
      <c r="H72" s="958" t="s">
        <v>578</v>
      </c>
      <c r="J72" s="952"/>
      <c r="K72" s="952"/>
    </row>
    <row r="73" spans="1:11" ht="51">
      <c r="A73" s="959">
        <v>282</v>
      </c>
      <c r="B73" s="476" t="s">
        <v>804</v>
      </c>
      <c r="C73" s="476"/>
      <c r="D73" s="957">
        <f>-308781189-(938359*0.271)</f>
        <v>-309035484.28899997</v>
      </c>
      <c r="E73" s="957"/>
      <c r="F73" s="957">
        <f>-814271524-(938359*0.729)</f>
        <v>-814955587.71099997</v>
      </c>
      <c r="G73" s="957"/>
      <c r="H73" s="958" t="s">
        <v>856</v>
      </c>
      <c r="J73" s="952"/>
      <c r="K73" s="952"/>
    </row>
    <row r="74" spans="1:11" ht="51">
      <c r="A74" s="959">
        <v>282</v>
      </c>
      <c r="B74" s="476" t="s">
        <v>805</v>
      </c>
      <c r="C74" s="476"/>
      <c r="D74" s="957">
        <f>-39456078-(8838079*0.271)</f>
        <v>-41851197.409000002</v>
      </c>
      <c r="E74" s="957"/>
      <c r="F74" s="957">
        <f>-114251144-(8838079*0.729)</f>
        <v>-120694103.59100001</v>
      </c>
      <c r="G74" s="957"/>
      <c r="H74" s="958" t="s">
        <v>855</v>
      </c>
      <c r="J74" s="952"/>
      <c r="K74" s="952"/>
    </row>
    <row r="75" spans="1:11" ht="51">
      <c r="A75" s="959">
        <v>282</v>
      </c>
      <c r="B75" s="475" t="s">
        <v>806</v>
      </c>
      <c r="C75" s="473"/>
      <c r="D75" s="957">
        <f>34645+(17323*0.271)</f>
        <v>39339.533000000003</v>
      </c>
      <c r="E75" s="957"/>
      <c r="F75" s="957">
        <f>121258+(17323*0.729)</f>
        <v>133886.467</v>
      </c>
      <c r="G75" s="957"/>
      <c r="H75" s="958" t="s">
        <v>854</v>
      </c>
      <c r="I75" s="986"/>
      <c r="J75" s="952"/>
      <c r="K75" s="952"/>
    </row>
    <row r="76" spans="1:11" ht="51">
      <c r="A76" s="959">
        <v>282</v>
      </c>
      <c r="B76" s="476" t="s">
        <v>807</v>
      </c>
      <c r="C76" s="476"/>
      <c r="D76" s="957">
        <f>-3547822+(-794705*0.271)+1</f>
        <v>-3763186.0550000002</v>
      </c>
      <c r="E76" s="957"/>
      <c r="F76" s="957">
        <f>-10273264+(-794705*0.729)</f>
        <v>-10852603.945</v>
      </c>
      <c r="G76" s="957"/>
      <c r="H76" s="958" t="s">
        <v>857</v>
      </c>
      <c r="I76" s="986"/>
      <c r="J76" s="952"/>
      <c r="K76" s="952"/>
    </row>
    <row r="77" spans="1:11" ht="51">
      <c r="A77" s="959">
        <v>282</v>
      </c>
      <c r="B77" s="476" t="s">
        <v>808</v>
      </c>
      <c r="C77" s="476"/>
      <c r="D77" s="957">
        <f>-10522788+(-8910*0.271)</f>
        <v>-10525202.609999999</v>
      </c>
      <c r="E77" s="957"/>
      <c r="F77" s="957">
        <f>-27992480+(-8910*0.729)</f>
        <v>-27998975.390000001</v>
      </c>
      <c r="G77" s="957"/>
      <c r="H77" s="958" t="s">
        <v>857</v>
      </c>
      <c r="I77" s="986"/>
      <c r="J77" s="952"/>
      <c r="K77" s="952"/>
    </row>
    <row r="78" spans="1:11">
      <c r="A78" s="959">
        <v>282</v>
      </c>
      <c r="B78" s="475" t="s">
        <v>809</v>
      </c>
      <c r="C78" s="473"/>
      <c r="D78" s="957">
        <f>1253</f>
        <v>1253</v>
      </c>
      <c r="E78" s="957"/>
      <c r="F78" s="957"/>
      <c r="G78" s="957"/>
      <c r="H78" s="958" t="s">
        <v>26</v>
      </c>
      <c r="I78" s="986"/>
      <c r="J78" s="952"/>
      <c r="K78" s="952"/>
    </row>
    <row r="79" spans="1:11" ht="38.25">
      <c r="A79" s="956">
        <v>282</v>
      </c>
      <c r="B79" s="476" t="s">
        <v>810</v>
      </c>
      <c r="C79" s="476"/>
      <c r="D79" s="957">
        <f>-49459360+(-381575*0.271)</f>
        <v>-49562766.825000003</v>
      </c>
      <c r="E79" s="957"/>
      <c r="F79" s="957">
        <f>(-134177585+(-381575*0.729))*0.897</f>
        <v>-120606810.59797502</v>
      </c>
      <c r="G79" s="957">
        <f>-134455753*0.103</f>
        <v>-13848942.558999998</v>
      </c>
      <c r="H79" s="958" t="s">
        <v>859</v>
      </c>
      <c r="I79" s="986"/>
      <c r="J79" s="952"/>
      <c r="K79" s="952"/>
    </row>
    <row r="80" spans="1:11">
      <c r="A80" s="956"/>
      <c r="B80" s="476"/>
      <c r="C80" s="476"/>
      <c r="D80" s="957"/>
      <c r="E80" s="957"/>
      <c r="F80" s="957"/>
      <c r="G80" s="957"/>
      <c r="H80" s="958"/>
      <c r="J80" s="952"/>
      <c r="K80" s="952"/>
    </row>
    <row r="81" spans="1:8">
      <c r="A81" s="956"/>
      <c r="B81" s="476"/>
      <c r="C81" s="476"/>
      <c r="D81" s="957"/>
      <c r="E81" s="957"/>
      <c r="F81" s="957"/>
      <c r="G81" s="957"/>
      <c r="H81" s="960"/>
    </row>
    <row r="82" spans="1:8">
      <c r="B82" s="570" t="s">
        <v>661</v>
      </c>
      <c r="D82" s="568">
        <f>SUM(D71:D81)</f>
        <v>-433479461.65499997</v>
      </c>
      <c r="E82" s="568">
        <f>SUM(E71:E81)</f>
        <v>0</v>
      </c>
      <c r="F82" s="568">
        <f>SUM(F71:F81)</f>
        <v>-1094974194.7679749</v>
      </c>
      <c r="G82" s="568">
        <f>SUM(G71:G81)</f>
        <v>-13848942.558999998</v>
      </c>
      <c r="H82" s="568"/>
    </row>
    <row r="83" spans="1:8">
      <c r="B83" s="571" t="s">
        <v>651</v>
      </c>
      <c r="D83" s="954"/>
      <c r="E83" s="954"/>
      <c r="F83" s="954"/>
      <c r="G83" s="954"/>
      <c r="H83" s="454"/>
    </row>
    <row r="84" spans="1:8">
      <c r="B84" s="571" t="s">
        <v>652</v>
      </c>
      <c r="D84" s="954"/>
      <c r="E84" s="954"/>
      <c r="F84" s="954"/>
      <c r="G84" s="954"/>
      <c r="H84" s="973"/>
    </row>
    <row r="85" spans="1:8">
      <c r="B85" s="571" t="s">
        <v>222</v>
      </c>
      <c r="D85" s="568">
        <f>+D82-D83-D84</f>
        <v>-433479461.65499997</v>
      </c>
      <c r="E85" s="568">
        <f>+E82-E83-E84</f>
        <v>0</v>
      </c>
      <c r="F85" s="568">
        <f>+F82-F83-F84</f>
        <v>-1094974194.7679749</v>
      </c>
      <c r="G85" s="568">
        <f>+G82-G83-G84</f>
        <v>-13848942.558999998</v>
      </c>
    </row>
    <row r="86" spans="1:8">
      <c r="B86" s="571"/>
      <c r="D86" s="463"/>
      <c r="E86" s="463"/>
      <c r="F86" s="767"/>
      <c r="G86" s="767"/>
    </row>
    <row r="87" spans="1:8">
      <c r="B87" s="571" t="s">
        <v>308</v>
      </c>
      <c r="D87" s="463"/>
      <c r="E87" s="463"/>
      <c r="F87" s="767"/>
      <c r="G87" s="767"/>
    </row>
    <row r="88" spans="1:8" ht="24" customHeight="1">
      <c r="B88" s="1051" t="s">
        <v>318</v>
      </c>
      <c r="C88" s="1052"/>
      <c r="D88" s="1052"/>
      <c r="E88" s="1052"/>
      <c r="F88" s="1052"/>
      <c r="G88" s="1052"/>
    </row>
    <row r="89" spans="1:8">
      <c r="B89" s="572" t="s">
        <v>309</v>
      </c>
      <c r="D89" s="463"/>
      <c r="E89" s="463"/>
      <c r="F89" s="767"/>
      <c r="G89" s="767"/>
    </row>
    <row r="90" spans="1:8">
      <c r="B90" s="572" t="s">
        <v>310</v>
      </c>
      <c r="D90" s="463"/>
      <c r="E90" s="463"/>
      <c r="F90" s="767"/>
      <c r="G90" s="767"/>
    </row>
    <row r="91" spans="1:8">
      <c r="B91" s="572" t="s">
        <v>311</v>
      </c>
      <c r="D91" s="463"/>
      <c r="E91" s="463"/>
      <c r="F91" s="767"/>
      <c r="G91" s="767"/>
    </row>
    <row r="92" spans="1:8">
      <c r="B92" s="1053" t="str">
        <f>+B60</f>
        <v>5. Since deferred income taxes arise when items are included in taxable income in different periods than they are included in rates - therefore, if the item giving rise to the ADIT is not included in the formula, the associated ADIT amount shall be excluded</v>
      </c>
      <c r="C92" s="1054"/>
      <c r="D92" s="1054"/>
      <c r="E92" s="1054"/>
      <c r="F92" s="1054"/>
      <c r="G92" s="1054"/>
      <c r="H92" s="454"/>
    </row>
    <row r="93" spans="1:8">
      <c r="B93" s="1054"/>
      <c r="C93" s="1054"/>
      <c r="D93" s="1054"/>
      <c r="E93" s="1054"/>
      <c r="F93" s="1054"/>
      <c r="G93" s="1054"/>
    </row>
    <row r="94" spans="1:8">
      <c r="B94" s="572"/>
      <c r="D94" s="463"/>
      <c r="E94" s="463"/>
      <c r="F94" s="767"/>
      <c r="G94" s="767"/>
    </row>
    <row r="95" spans="1:8">
      <c r="B95" s="572"/>
      <c r="D95" s="463"/>
      <c r="E95" s="463"/>
      <c r="F95" s="767"/>
      <c r="G95" s="767"/>
      <c r="H95" s="972">
        <f>+F103+G103</f>
        <v>0</v>
      </c>
    </row>
    <row r="96" spans="1:8" ht="15">
      <c r="B96" s="1050" t="str">
        <f>+B3</f>
        <v>Attachment 1 - Accumulated Deferred Income Taxes (ADIT) Worksheet</v>
      </c>
      <c r="C96" s="1050"/>
      <c r="D96" s="1050"/>
      <c r="E96" s="1050"/>
      <c r="F96" s="1050"/>
      <c r="G96" s="1050"/>
      <c r="H96" s="951" t="e">
        <f>+F103/H95</f>
        <v>#DIV/0!</v>
      </c>
    </row>
    <row r="97" spans="1:12">
      <c r="G97" s="144" t="s">
        <v>315</v>
      </c>
    </row>
    <row r="98" spans="1:12">
      <c r="B98" s="571"/>
      <c r="D98" s="467" t="s">
        <v>47</v>
      </c>
      <c r="E98" s="467" t="s">
        <v>223</v>
      </c>
      <c r="F98" s="467" t="s">
        <v>19</v>
      </c>
      <c r="G98" s="467" t="s">
        <v>48</v>
      </c>
      <c r="H98" s="951" t="s">
        <v>46</v>
      </c>
    </row>
    <row r="99" spans="1:12">
      <c r="D99" s="147" t="s">
        <v>303</v>
      </c>
      <c r="E99" s="147" t="s">
        <v>305</v>
      </c>
      <c r="F99" s="147"/>
      <c r="G99" s="147"/>
    </row>
    <row r="100" spans="1:12">
      <c r="B100" s="144" t="s">
        <v>287</v>
      </c>
      <c r="D100" s="147" t="s">
        <v>304</v>
      </c>
      <c r="E100" s="147" t="s">
        <v>284</v>
      </c>
      <c r="F100" s="147" t="s">
        <v>300</v>
      </c>
      <c r="G100" s="147" t="s">
        <v>302</v>
      </c>
      <c r="H100" s="955" t="s">
        <v>733</v>
      </c>
    </row>
    <row r="101" spans="1:12">
      <c r="D101" s="147" t="s">
        <v>301</v>
      </c>
      <c r="E101" s="147" t="s">
        <v>301</v>
      </c>
      <c r="F101" s="147" t="s">
        <v>301</v>
      </c>
      <c r="G101" s="147" t="s">
        <v>301</v>
      </c>
      <c r="H101" s="955" t="s">
        <v>734</v>
      </c>
    </row>
    <row r="102" spans="1:12" ht="25.5">
      <c r="A102" s="956">
        <v>283</v>
      </c>
      <c r="B102" s="475" t="s">
        <v>811</v>
      </c>
      <c r="C102" s="476"/>
      <c r="D102" s="1029">
        <v>-3656358</v>
      </c>
      <c r="E102" s="961"/>
      <c r="F102" s="961"/>
      <c r="G102" s="961"/>
      <c r="H102" s="958" t="s">
        <v>578</v>
      </c>
      <c r="I102" s="986"/>
      <c r="J102" s="986"/>
      <c r="K102" s="986"/>
      <c r="L102" s="986"/>
    </row>
    <row r="103" spans="1:12" ht="25.5">
      <c r="A103" s="956">
        <v>283</v>
      </c>
      <c r="B103" s="475" t="s">
        <v>812</v>
      </c>
      <c r="C103" s="473"/>
      <c r="D103" s="957">
        <v>-20106185</v>
      </c>
      <c r="E103" s="957"/>
      <c r="F103" s="957"/>
      <c r="G103" s="957"/>
      <c r="H103" s="958" t="s">
        <v>578</v>
      </c>
      <c r="I103" s="986"/>
      <c r="J103" s="986"/>
      <c r="K103" s="986"/>
      <c r="L103" s="986"/>
    </row>
    <row r="104" spans="1:12" ht="25.5">
      <c r="A104" s="956">
        <v>283</v>
      </c>
      <c r="B104" s="476" t="s">
        <v>813</v>
      </c>
      <c r="C104" s="476"/>
      <c r="D104" s="957">
        <v>-6585677</v>
      </c>
      <c r="E104" s="957"/>
      <c r="F104" s="957"/>
      <c r="G104" s="957"/>
      <c r="H104" s="958" t="s">
        <v>578</v>
      </c>
      <c r="I104" s="986"/>
      <c r="J104" s="986"/>
      <c r="K104" s="986"/>
      <c r="L104" s="986"/>
    </row>
    <row r="105" spans="1:12" ht="25.5">
      <c r="A105" s="956">
        <v>283</v>
      </c>
      <c r="B105" s="476" t="s">
        <v>814</v>
      </c>
      <c r="C105" s="476"/>
      <c r="D105" s="957">
        <v>-71813904</v>
      </c>
      <c r="E105" s="957"/>
      <c r="F105" s="957"/>
      <c r="G105" s="957"/>
      <c r="H105" s="958" t="s">
        <v>578</v>
      </c>
      <c r="I105" s="986"/>
      <c r="J105" s="986"/>
      <c r="K105" s="986"/>
      <c r="L105" s="986"/>
    </row>
    <row r="106" spans="1:12" ht="25.5">
      <c r="A106" s="956">
        <v>283</v>
      </c>
      <c r="B106" s="476" t="s">
        <v>815</v>
      </c>
      <c r="C106" s="476"/>
      <c r="D106" s="957">
        <v>-4931511</v>
      </c>
      <c r="E106" s="957"/>
      <c r="F106" s="957"/>
      <c r="G106" s="957"/>
      <c r="H106" s="958" t="s">
        <v>578</v>
      </c>
      <c r="I106" s="986"/>
      <c r="J106" s="986"/>
      <c r="K106" s="986"/>
      <c r="L106" s="986"/>
    </row>
    <row r="107" spans="1:12" ht="25.5">
      <c r="A107" s="956">
        <v>283</v>
      </c>
      <c r="B107" s="476" t="s">
        <v>816</v>
      </c>
      <c r="C107" s="476"/>
      <c r="D107" s="957">
        <v>-64970481</v>
      </c>
      <c r="E107" s="957"/>
      <c r="F107" s="957"/>
      <c r="G107" s="961"/>
      <c r="H107" s="958" t="s">
        <v>578</v>
      </c>
      <c r="I107" s="986"/>
      <c r="J107" s="986"/>
      <c r="K107" s="986"/>
      <c r="L107" s="986"/>
    </row>
    <row r="108" spans="1:12" ht="25.5">
      <c r="A108" s="956">
        <v>283</v>
      </c>
      <c r="B108" s="476" t="s">
        <v>817</v>
      </c>
      <c r="C108" s="476"/>
      <c r="D108" s="957">
        <v>-575366</v>
      </c>
      <c r="E108" s="957"/>
      <c r="F108" s="957"/>
      <c r="G108" s="961"/>
      <c r="H108" s="958" t="s">
        <v>578</v>
      </c>
      <c r="I108" s="986"/>
      <c r="J108" s="986"/>
      <c r="K108" s="986"/>
      <c r="L108" s="986"/>
    </row>
    <row r="109" spans="1:12" ht="25.5">
      <c r="A109" s="956">
        <v>283</v>
      </c>
      <c r="B109" s="476" t="s">
        <v>866</v>
      </c>
      <c r="C109" s="476"/>
      <c r="D109" s="957">
        <v>0</v>
      </c>
      <c r="E109" s="957"/>
      <c r="F109" s="957"/>
      <c r="G109" s="961"/>
      <c r="H109" s="958" t="s">
        <v>578</v>
      </c>
      <c r="I109" s="986"/>
      <c r="J109" s="986"/>
      <c r="K109" s="986"/>
      <c r="L109" s="986"/>
    </row>
    <row r="110" spans="1:12" ht="25.5">
      <c r="A110" s="956">
        <v>283</v>
      </c>
      <c r="B110" s="476" t="s">
        <v>818</v>
      </c>
      <c r="C110" s="476"/>
      <c r="D110" s="957">
        <v>0</v>
      </c>
      <c r="E110" s="957"/>
      <c r="F110" s="957"/>
      <c r="G110" s="961"/>
      <c r="H110" s="958" t="s">
        <v>578</v>
      </c>
      <c r="I110" s="986"/>
      <c r="J110" s="986"/>
      <c r="K110" s="986"/>
      <c r="L110" s="986"/>
    </row>
    <row r="111" spans="1:12">
      <c r="A111" s="956">
        <v>283</v>
      </c>
      <c r="B111" s="476" t="s">
        <v>819</v>
      </c>
      <c r="C111" s="476"/>
      <c r="D111" s="957">
        <v>-3013182</v>
      </c>
      <c r="E111" s="957"/>
      <c r="F111" s="957"/>
      <c r="G111" s="961"/>
      <c r="H111" s="958" t="s">
        <v>98</v>
      </c>
      <c r="I111" s="986"/>
      <c r="J111" s="986"/>
      <c r="K111" s="986"/>
      <c r="L111" s="986"/>
    </row>
    <row r="112" spans="1:12" ht="25.5">
      <c r="A112" s="956">
        <v>283</v>
      </c>
      <c r="B112" s="475" t="s">
        <v>820</v>
      </c>
      <c r="C112" s="971"/>
      <c r="D112" s="957">
        <v>-237931</v>
      </c>
      <c r="E112" s="957"/>
      <c r="F112" s="957"/>
      <c r="G112" s="961"/>
      <c r="H112" s="958" t="s">
        <v>578</v>
      </c>
      <c r="I112" s="986"/>
      <c r="J112" s="986"/>
      <c r="K112" s="986"/>
      <c r="L112" s="986"/>
    </row>
    <row r="113" spans="1:12" ht="25.5">
      <c r="A113" s="956">
        <v>283</v>
      </c>
      <c r="B113" s="476" t="s">
        <v>821</v>
      </c>
      <c r="C113" s="476"/>
      <c r="D113" s="957">
        <v>-1950360</v>
      </c>
      <c r="E113" s="957"/>
      <c r="F113" s="957"/>
      <c r="G113" s="961"/>
      <c r="H113" s="958" t="s">
        <v>578</v>
      </c>
      <c r="I113" s="986"/>
      <c r="J113" s="986"/>
      <c r="K113" s="986"/>
      <c r="L113" s="986"/>
    </row>
    <row r="114" spans="1:12" ht="25.5">
      <c r="A114" s="956">
        <v>283</v>
      </c>
      <c r="B114" s="475" t="s">
        <v>822</v>
      </c>
      <c r="C114" s="971"/>
      <c r="D114" s="957">
        <v>-1334759</v>
      </c>
      <c r="E114" s="957"/>
      <c r="F114" s="957"/>
      <c r="G114" s="961"/>
      <c r="H114" s="958" t="s">
        <v>578</v>
      </c>
      <c r="I114" s="986"/>
      <c r="J114" s="986"/>
      <c r="K114" s="986"/>
      <c r="L114" s="986"/>
    </row>
    <row r="115" spans="1:12" ht="25.5">
      <c r="A115" s="956">
        <v>283</v>
      </c>
      <c r="B115" s="476" t="s">
        <v>823</v>
      </c>
      <c r="C115" s="476"/>
      <c r="D115" s="957">
        <v>-808644</v>
      </c>
      <c r="E115" s="957"/>
      <c r="F115" s="957"/>
      <c r="G115" s="961"/>
      <c r="H115" s="958" t="s">
        <v>578</v>
      </c>
      <c r="I115" s="986"/>
      <c r="J115" s="986"/>
      <c r="K115" s="986"/>
      <c r="L115" s="986"/>
    </row>
    <row r="116" spans="1:12" ht="25.5">
      <c r="A116" s="956">
        <v>283</v>
      </c>
      <c r="B116" s="476" t="s">
        <v>824</v>
      </c>
      <c r="C116" s="476"/>
      <c r="D116" s="957">
        <v>-5393801</v>
      </c>
      <c r="E116" s="957"/>
      <c r="F116" s="957"/>
      <c r="G116" s="961"/>
      <c r="H116" s="958" t="s">
        <v>578</v>
      </c>
      <c r="I116" s="986"/>
      <c r="J116" s="986"/>
      <c r="K116" s="986"/>
      <c r="L116" s="986"/>
    </row>
    <row r="117" spans="1:12" ht="25.5">
      <c r="A117" s="956">
        <v>283</v>
      </c>
      <c r="B117" s="476" t="s">
        <v>825</v>
      </c>
      <c r="C117" s="476"/>
      <c r="D117" s="957">
        <v>-3450513</v>
      </c>
      <c r="E117" s="957"/>
      <c r="F117" s="957"/>
      <c r="G117" s="961"/>
      <c r="H117" s="958" t="s">
        <v>578</v>
      </c>
      <c r="I117" s="986"/>
      <c r="J117" s="986"/>
      <c r="K117" s="986"/>
      <c r="L117" s="986"/>
    </row>
    <row r="118" spans="1:12" ht="25.5">
      <c r="A118" s="956">
        <v>283</v>
      </c>
      <c r="B118" s="476" t="s">
        <v>826</v>
      </c>
      <c r="C118" s="476"/>
      <c r="D118" s="957">
        <v>-204004</v>
      </c>
      <c r="E118" s="957"/>
      <c r="F118" s="957"/>
      <c r="G118" s="961"/>
      <c r="H118" s="958" t="s">
        <v>578</v>
      </c>
      <c r="I118" s="986"/>
      <c r="J118" s="986"/>
      <c r="K118" s="986"/>
      <c r="L118" s="986"/>
    </row>
    <row r="119" spans="1:12" ht="25.5">
      <c r="A119" s="956">
        <v>283</v>
      </c>
      <c r="B119" s="476" t="s">
        <v>827</v>
      </c>
      <c r="C119" s="476"/>
      <c r="D119" s="957">
        <v>-2297036</v>
      </c>
      <c r="E119" s="957"/>
      <c r="F119" s="957"/>
      <c r="G119" s="961"/>
      <c r="H119" s="958" t="s">
        <v>578</v>
      </c>
      <c r="I119" s="986"/>
      <c r="J119" s="986"/>
      <c r="K119" s="986"/>
      <c r="L119" s="986"/>
    </row>
    <row r="120" spans="1:12" ht="25.5">
      <c r="A120" s="956">
        <v>283</v>
      </c>
      <c r="B120" s="476" t="s">
        <v>828</v>
      </c>
      <c r="C120" s="476"/>
      <c r="D120" s="957">
        <v>-778452</v>
      </c>
      <c r="E120" s="957"/>
      <c r="F120" s="957"/>
      <c r="G120" s="961"/>
      <c r="H120" s="958" t="s">
        <v>578</v>
      </c>
      <c r="I120" s="986"/>
      <c r="J120" s="986"/>
      <c r="K120" s="986"/>
      <c r="L120" s="986"/>
    </row>
    <row r="121" spans="1:12" ht="25.5">
      <c r="A121" s="956">
        <v>283</v>
      </c>
      <c r="B121" s="476" t="s">
        <v>829</v>
      </c>
      <c r="C121" s="476"/>
      <c r="D121" s="957">
        <v>930192</v>
      </c>
      <c r="E121" s="957"/>
      <c r="F121" s="957"/>
      <c r="G121" s="961"/>
      <c r="H121" s="958" t="s">
        <v>578</v>
      </c>
      <c r="I121" s="986"/>
      <c r="J121" s="986"/>
      <c r="K121" s="986"/>
      <c r="L121" s="986"/>
    </row>
    <row r="122" spans="1:12" ht="25.5">
      <c r="A122" s="956">
        <v>283</v>
      </c>
      <c r="B122" s="476" t="s">
        <v>830</v>
      </c>
      <c r="C122" s="476"/>
      <c r="D122" s="957">
        <v>-761116</v>
      </c>
      <c r="E122" s="957"/>
      <c r="F122" s="957"/>
      <c r="G122" s="961"/>
      <c r="H122" s="958" t="s">
        <v>578</v>
      </c>
      <c r="I122" s="986"/>
      <c r="J122" s="986"/>
      <c r="K122" s="986"/>
      <c r="L122" s="986"/>
    </row>
    <row r="123" spans="1:12" ht="25.5">
      <c r="A123" s="956">
        <v>283</v>
      </c>
      <c r="B123" s="476" t="s">
        <v>831</v>
      </c>
      <c r="C123" s="476"/>
      <c r="D123" s="957">
        <v>-4563864</v>
      </c>
      <c r="E123" s="957"/>
      <c r="F123" s="957"/>
      <c r="G123" s="961"/>
      <c r="H123" s="958" t="s">
        <v>578</v>
      </c>
      <c r="I123" s="986"/>
      <c r="J123" s="986"/>
      <c r="K123" s="986"/>
      <c r="L123" s="986"/>
    </row>
    <row r="124" spans="1:12" ht="25.5">
      <c r="A124" s="956">
        <v>283</v>
      </c>
      <c r="B124" s="476" t="s">
        <v>832</v>
      </c>
      <c r="C124" s="476"/>
      <c r="D124" s="957">
        <v>-13800928</v>
      </c>
      <c r="E124" s="957"/>
      <c r="F124" s="957"/>
      <c r="G124" s="961"/>
      <c r="H124" s="958" t="s">
        <v>578</v>
      </c>
      <c r="I124" s="986"/>
      <c r="J124" s="986"/>
      <c r="K124" s="986"/>
      <c r="L124" s="986"/>
    </row>
    <row r="125" spans="1:12" ht="25.5">
      <c r="A125" s="956">
        <v>283</v>
      </c>
      <c r="B125" s="476" t="s">
        <v>833</v>
      </c>
      <c r="C125" s="476"/>
      <c r="D125" s="957">
        <v>-1</v>
      </c>
      <c r="E125" s="957"/>
      <c r="F125" s="957"/>
      <c r="G125" s="961"/>
      <c r="H125" s="958" t="s">
        <v>578</v>
      </c>
      <c r="I125" s="986"/>
      <c r="J125" s="986"/>
      <c r="K125" s="986"/>
      <c r="L125" s="986"/>
    </row>
    <row r="126" spans="1:12" ht="51">
      <c r="A126" s="956">
        <v>283</v>
      </c>
      <c r="B126" s="476" t="s">
        <v>834</v>
      </c>
      <c r="C126" s="476"/>
      <c r="D126" s="957">
        <f>-50946+(-410142*0.271)</f>
        <v>-162094.48200000002</v>
      </c>
      <c r="E126" s="957"/>
      <c r="F126" s="957">
        <f>-149348+(-410142*0.729)</f>
        <v>-448341.51799999998</v>
      </c>
      <c r="G126" s="961"/>
      <c r="H126" s="958" t="s">
        <v>858</v>
      </c>
      <c r="I126" s="986"/>
      <c r="J126" s="986"/>
      <c r="K126" s="986"/>
      <c r="L126" s="986"/>
    </row>
    <row r="127" spans="1:12" ht="51">
      <c r="A127" s="956">
        <v>283</v>
      </c>
      <c r="B127" s="476" t="s">
        <v>835</v>
      </c>
      <c r="C127" s="476"/>
      <c r="D127" s="957">
        <v>-18</v>
      </c>
      <c r="E127" s="957"/>
      <c r="F127" s="957">
        <v>-46</v>
      </c>
      <c r="G127" s="961"/>
      <c r="H127" s="958" t="s">
        <v>858</v>
      </c>
      <c r="I127" s="986"/>
      <c r="J127" s="986"/>
      <c r="K127" s="986"/>
      <c r="L127" s="986"/>
    </row>
    <row r="128" spans="1:12" ht="51">
      <c r="A128" s="956">
        <v>283</v>
      </c>
      <c r="B128" s="476" t="s">
        <v>836</v>
      </c>
      <c r="C128" s="476"/>
      <c r="D128" s="957">
        <f>-4034844+(-15066*0.271)</f>
        <v>-4038926.8859999999</v>
      </c>
      <c r="E128" s="957"/>
      <c r="F128" s="957">
        <f>-14041043+(-15066*0.729)</f>
        <v>-14052026.114</v>
      </c>
      <c r="G128" s="961"/>
      <c r="H128" s="958" t="s">
        <v>858</v>
      </c>
      <c r="I128" s="986"/>
      <c r="J128" s="986"/>
      <c r="K128" s="986"/>
      <c r="L128" s="986"/>
    </row>
    <row r="129" spans="1:12" ht="38.25">
      <c r="A129" s="956">
        <v>283</v>
      </c>
      <c r="B129" s="476" t="s">
        <v>837</v>
      </c>
      <c r="C129" s="476"/>
      <c r="D129" s="957">
        <f>-6564166+-(48039*0.271)+1</f>
        <v>-6577183.5690000001</v>
      </c>
      <c r="E129" s="957"/>
      <c r="F129" s="957">
        <f>(-52221396+(-48039*0.729))*0.897</f>
        <v>-46874005.538607001</v>
      </c>
      <c r="G129" s="957">
        <f>(-52221396+(-48039*0.729))*0.103</f>
        <v>-5382410.8923929995</v>
      </c>
      <c r="H129" s="958" t="s">
        <v>859</v>
      </c>
      <c r="I129" s="986"/>
      <c r="J129" s="986"/>
      <c r="K129" s="986"/>
      <c r="L129" s="986"/>
    </row>
    <row r="130" spans="1:12">
      <c r="A130" s="956"/>
      <c r="B130" s="476"/>
      <c r="C130" s="476"/>
      <c r="D130" s="957"/>
      <c r="E130" s="957"/>
      <c r="F130" s="957"/>
      <c r="G130" s="961"/>
      <c r="H130" s="958"/>
    </row>
    <row r="131" spans="1:12">
      <c r="A131" s="956"/>
      <c r="B131" s="475"/>
      <c r="C131" s="476"/>
      <c r="D131" s="961"/>
      <c r="E131" s="961"/>
      <c r="F131" s="961"/>
      <c r="G131" s="961"/>
      <c r="H131" s="960"/>
    </row>
    <row r="132" spans="1:12">
      <c r="B132" s="570" t="s">
        <v>660</v>
      </c>
      <c r="D132" s="950">
        <f>SUM(D102:D131)</f>
        <v>-221082103.93700001</v>
      </c>
      <c r="E132" s="950">
        <f>SUM(E102:E131)</f>
        <v>0</v>
      </c>
      <c r="F132" s="950">
        <f>SUM(F102:F131)</f>
        <v>-61374419.170607001</v>
      </c>
      <c r="G132" s="950">
        <f>SUM(G102:G131)</f>
        <v>-5382410.8923929995</v>
      </c>
      <c r="H132" s="950"/>
    </row>
    <row r="133" spans="1:12">
      <c r="B133" s="571" t="s">
        <v>651</v>
      </c>
      <c r="D133" s="944"/>
      <c r="E133" s="944"/>
      <c r="F133" s="944"/>
      <c r="G133" s="944"/>
      <c r="H133" s="975"/>
    </row>
    <row r="134" spans="1:12">
      <c r="B134" s="571" t="s">
        <v>652</v>
      </c>
      <c r="D134" s="944"/>
      <c r="E134" s="944"/>
      <c r="F134" s="944"/>
      <c r="G134" s="944"/>
      <c r="H134" s="975"/>
    </row>
    <row r="135" spans="1:12">
      <c r="B135" s="571" t="s">
        <v>222</v>
      </c>
      <c r="D135" s="950">
        <f>+D132-D133-D134</f>
        <v>-221082103.93700001</v>
      </c>
      <c r="E135" s="950">
        <f>+E132-E133-E134</f>
        <v>0</v>
      </c>
      <c r="F135" s="950">
        <f>+F132-F133-F134</f>
        <v>-61374419.170607001</v>
      </c>
      <c r="G135" s="950">
        <f>+G132-G133-G134</f>
        <v>-5382410.8923929995</v>
      </c>
      <c r="H135" s="949"/>
      <c r="K135" s="709"/>
    </row>
    <row r="136" spans="1:12">
      <c r="B136" s="571"/>
      <c r="C136" s="463"/>
      <c r="D136" s="568"/>
      <c r="E136" s="568"/>
      <c r="F136" s="568"/>
      <c r="G136" s="568"/>
      <c r="H136" s="974"/>
      <c r="K136" s="709"/>
    </row>
    <row r="137" spans="1:12">
      <c r="B137" s="571" t="s">
        <v>307</v>
      </c>
      <c r="D137" s="463"/>
      <c r="E137" s="463"/>
      <c r="F137" s="767"/>
      <c r="G137" s="767"/>
      <c r="H137" s="981"/>
    </row>
    <row r="138" spans="1:12" ht="25.5" customHeight="1">
      <c r="B138" s="1051" t="s">
        <v>318</v>
      </c>
      <c r="C138" s="1052"/>
      <c r="D138" s="1052"/>
      <c r="E138" s="1052"/>
      <c r="F138" s="1052"/>
      <c r="G138" s="1052"/>
      <c r="H138" s="974"/>
    </row>
    <row r="139" spans="1:12">
      <c r="B139" s="572" t="s">
        <v>309</v>
      </c>
      <c r="D139" s="463"/>
      <c r="E139" s="463"/>
      <c r="F139" s="1006"/>
      <c r="G139" s="767"/>
      <c r="H139" s="998"/>
      <c r="I139" s="998"/>
    </row>
    <row r="140" spans="1:12">
      <c r="B140" s="572" t="s">
        <v>310</v>
      </c>
      <c r="D140" s="463"/>
      <c r="E140" s="463"/>
      <c r="F140" s="767"/>
      <c r="G140" s="767"/>
      <c r="H140" s="998"/>
      <c r="I140" s="998"/>
    </row>
    <row r="141" spans="1:12">
      <c r="B141" s="572" t="s">
        <v>311</v>
      </c>
      <c r="H141" s="999"/>
      <c r="I141" s="999"/>
    </row>
    <row r="142" spans="1:12">
      <c r="B142" s="1053" t="str">
        <f>+B92</f>
        <v>5. Since deferred income taxes arise when items are included in taxable income in different periods than they are included in rates - therefore, if the item giving rise to the ADIT is not included in the formula, the associated ADIT amount shall be excluded</v>
      </c>
      <c r="C142" s="1054"/>
      <c r="D142" s="1054"/>
      <c r="E142" s="1054"/>
      <c r="F142" s="1054"/>
      <c r="G142" s="1054"/>
      <c r="H142" s="1000"/>
      <c r="I142" s="1000"/>
    </row>
    <row r="143" spans="1:12">
      <c r="B143" s="1054"/>
      <c r="C143" s="1054"/>
      <c r="D143" s="1054"/>
      <c r="E143" s="1054"/>
      <c r="F143" s="1054"/>
      <c r="G143" s="1054"/>
      <c r="H143" s="995"/>
      <c r="I143" s="1001"/>
    </row>
    <row r="144" spans="1:12">
      <c r="B144" s="572"/>
      <c r="H144" s="995"/>
      <c r="I144" s="543"/>
    </row>
    <row r="145" spans="1:9">
      <c r="H145" s="995"/>
      <c r="I145" s="543"/>
    </row>
    <row r="147" spans="1:9">
      <c r="A147" s="1055" t="s">
        <v>531</v>
      </c>
      <c r="B147" s="1056"/>
      <c r="C147" s="1056"/>
      <c r="D147" s="1056"/>
      <c r="E147" s="1056"/>
      <c r="F147" s="1056"/>
      <c r="G147" s="1056"/>
      <c r="H147" s="1056"/>
      <c r="I147" s="1056"/>
    </row>
    <row r="148" spans="1:9">
      <c r="A148" s="1002"/>
      <c r="B148" s="1002"/>
      <c r="C148" s="1002"/>
      <c r="D148" s="1002"/>
      <c r="E148" s="1002"/>
      <c r="F148" s="1002"/>
      <c r="G148" s="1002"/>
      <c r="H148" s="1003"/>
      <c r="I148" s="1002"/>
    </row>
    <row r="149" spans="1:9">
      <c r="A149" s="1002"/>
      <c r="B149" s="1002"/>
      <c r="C149" s="1002"/>
      <c r="D149" s="1002"/>
      <c r="E149" s="1002"/>
      <c r="F149" s="1002"/>
      <c r="G149" s="1002"/>
      <c r="H149" s="1003"/>
      <c r="I149" s="1002"/>
    </row>
    <row r="150" spans="1:9">
      <c r="A150" s="1002"/>
      <c r="B150" s="1002"/>
      <c r="C150" s="1002"/>
      <c r="D150" s="1002"/>
      <c r="E150" s="1002"/>
      <c r="F150" s="1002"/>
      <c r="G150" s="1002"/>
      <c r="H150" s="1003"/>
      <c r="I150" s="1002"/>
    </row>
    <row r="151" spans="1:9" ht="15">
      <c r="A151" s="451" t="s">
        <v>532</v>
      </c>
      <c r="D151" s="452"/>
      <c r="E151" s="452"/>
      <c r="F151" s="452"/>
      <c r="G151" s="452"/>
      <c r="H151" s="963"/>
      <c r="I151" s="452"/>
    </row>
    <row r="152" spans="1:9" ht="15">
      <c r="A152" s="451"/>
      <c r="D152" s="453"/>
      <c r="E152" s="453"/>
      <c r="F152" s="452"/>
      <c r="G152" s="452"/>
      <c r="H152" s="963"/>
      <c r="I152" s="452"/>
    </row>
    <row r="153" spans="1:9">
      <c r="C153" s="465" t="s">
        <v>533</v>
      </c>
      <c r="E153" s="465" t="s">
        <v>495</v>
      </c>
      <c r="F153" s="465" t="s">
        <v>534</v>
      </c>
      <c r="G153" s="463"/>
    </row>
    <row r="154" spans="1:9">
      <c r="B154" s="510"/>
      <c r="G154" s="463"/>
    </row>
    <row r="155" spans="1:9" ht="13.5" thickBot="1">
      <c r="A155" s="510">
        <v>1</v>
      </c>
      <c r="B155" s="465" t="s">
        <v>535</v>
      </c>
      <c r="E155" s="465">
        <v>0</v>
      </c>
      <c r="G155" s="463"/>
    </row>
    <row r="156" spans="1:9" ht="13.5" thickBot="1">
      <c r="A156" s="510">
        <v>2</v>
      </c>
      <c r="B156" s="465" t="s">
        <v>536</v>
      </c>
      <c r="C156" s="465" t="s">
        <v>222</v>
      </c>
      <c r="E156" s="964"/>
      <c r="F156" s="565"/>
      <c r="G156" s="463"/>
    </row>
    <row r="157" spans="1:9">
      <c r="G157" s="463"/>
    </row>
    <row r="158" spans="1:9" ht="13.5" thickBot="1">
      <c r="A158" s="510">
        <v>3</v>
      </c>
      <c r="B158" s="465" t="s">
        <v>534</v>
      </c>
      <c r="G158" s="463"/>
    </row>
    <row r="159" spans="1:9" ht="13.5" thickBot="1">
      <c r="A159" s="510">
        <v>4</v>
      </c>
      <c r="B159" s="465" t="s">
        <v>603</v>
      </c>
      <c r="C159" s="465" t="s">
        <v>222</v>
      </c>
      <c r="E159" s="565">
        <v>1512013</v>
      </c>
      <c r="F159" s="964">
        <v>589712</v>
      </c>
      <c r="G159" s="463"/>
    </row>
    <row r="160" spans="1:9">
      <c r="G160" s="463"/>
    </row>
    <row r="161" spans="1:7">
      <c r="A161" s="510">
        <v>5</v>
      </c>
      <c r="B161" s="465" t="s">
        <v>222</v>
      </c>
      <c r="E161" s="465">
        <f>+E159+E156</f>
        <v>1512013</v>
      </c>
      <c r="F161" s="465">
        <f>+F159+F156</f>
        <v>589712</v>
      </c>
      <c r="G161" s="463"/>
    </row>
    <row r="162" spans="1:7">
      <c r="G162" s="463"/>
    </row>
    <row r="163" spans="1:7">
      <c r="A163" s="510">
        <v>6</v>
      </c>
      <c r="B163" s="465" t="s">
        <v>537</v>
      </c>
      <c r="C163" s="465" t="s">
        <v>25</v>
      </c>
      <c r="E163" s="565">
        <v>1512013</v>
      </c>
      <c r="F163" s="565">
        <v>589712</v>
      </c>
      <c r="G163" s="463"/>
    </row>
    <row r="164" spans="1:7">
      <c r="A164" s="465"/>
      <c r="G164" s="463"/>
    </row>
    <row r="165" spans="1:7">
      <c r="A165" s="510">
        <v>7</v>
      </c>
      <c r="B165" s="465" t="s">
        <v>538</v>
      </c>
      <c r="E165" s="465">
        <f>+E161-E163</f>
        <v>0</v>
      </c>
      <c r="F165" s="465">
        <f>+F161-F163</f>
        <v>0</v>
      </c>
      <c r="G165" s="463"/>
    </row>
    <row r="166" spans="1:7">
      <c r="A166" s="465"/>
      <c r="G166" s="463"/>
    </row>
    <row r="167" spans="1:7">
      <c r="A167" s="510">
        <v>8</v>
      </c>
      <c r="B167" s="465" t="s">
        <v>539</v>
      </c>
    </row>
  </sheetData>
  <mergeCells count="12">
    <mergeCell ref="B138:G138"/>
    <mergeCell ref="B142:G143"/>
    <mergeCell ref="A147:I147"/>
    <mergeCell ref="B60:G61"/>
    <mergeCell ref="B63:G63"/>
    <mergeCell ref="B88:G88"/>
    <mergeCell ref="B92:G93"/>
    <mergeCell ref="A1:G1"/>
    <mergeCell ref="B3:G3"/>
    <mergeCell ref="B24:G24"/>
    <mergeCell ref="B56:G56"/>
    <mergeCell ref="B96:G96"/>
  </mergeCells>
  <phoneticPr fontId="0" type="noConversion"/>
  <pageMargins left="0.75" right="0.25" top="1.18" bottom="0.5" header="0.5" footer="0.5"/>
  <pageSetup scale="50" fitToHeight="8" orientation="portrait" r:id="rId1"/>
  <headerFooter alignWithMargins="0">
    <oddHeader>&amp;R&amp;"Arial,Bold"&amp;18
Page &amp;P of &amp;N</oddHeader>
  </headerFooter>
  <rowBreaks count="2" manualBreakCount="2">
    <brk id="62" max="16383" man="1"/>
    <brk id="9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topLeftCell="A73" zoomScale="115" zoomScaleNormal="115" workbookViewId="0">
      <selection activeCell="E61" sqref="E61"/>
    </sheetView>
  </sheetViews>
  <sheetFormatPr defaultRowHeight="12.75"/>
  <cols>
    <col min="1" max="2" width="4.7109375" style="465" customWidth="1"/>
    <col min="3" max="3" width="46.85546875" style="465" bestFit="1" customWidth="1"/>
    <col min="4" max="4" width="10.140625" style="465" bestFit="1" customWidth="1"/>
    <col min="5" max="5" width="15" style="939" bestFit="1" customWidth="1"/>
    <col min="6" max="6" width="15.28515625" style="465" customWidth="1"/>
    <col min="7" max="7" width="12" style="465" bestFit="1" customWidth="1"/>
    <col min="8" max="16384" width="9.140625" style="465"/>
  </cols>
  <sheetData>
    <row r="1" spans="1:8" ht="18">
      <c r="A1" s="1048" t="str">
        <f>+'ATT H-2A'!A4</f>
        <v>Baltimore Gas and Electric Company</v>
      </c>
      <c r="B1" s="1048"/>
      <c r="C1" s="1048"/>
      <c r="D1" s="1048"/>
      <c r="E1" s="1048"/>
      <c r="F1" s="1048"/>
      <c r="G1" s="1048"/>
      <c r="H1" s="1052"/>
    </row>
    <row r="2" spans="1:8">
      <c r="A2" s="155"/>
    </row>
    <row r="3" spans="1:8" ht="15">
      <c r="A3" s="1050" t="s">
        <v>637</v>
      </c>
      <c r="B3" s="1057"/>
      <c r="C3" s="1057"/>
      <c r="D3" s="1057"/>
      <c r="E3" s="1057"/>
      <c r="F3" s="1052"/>
      <c r="G3" s="1052"/>
      <c r="H3" s="1052"/>
    </row>
    <row r="5" spans="1:8">
      <c r="D5" s="158"/>
    </row>
    <row r="7" spans="1:8">
      <c r="D7" s="147"/>
      <c r="E7" s="443" t="s">
        <v>320</v>
      </c>
      <c r="F7" s="147"/>
      <c r="G7" s="147" t="s">
        <v>329</v>
      </c>
      <c r="H7" s="147"/>
    </row>
    <row r="8" spans="1:8">
      <c r="A8" s="144" t="s">
        <v>74</v>
      </c>
      <c r="B8" s="144"/>
      <c r="D8" s="147"/>
      <c r="E8" s="443" t="s">
        <v>321</v>
      </c>
      <c r="F8" s="147" t="s">
        <v>247</v>
      </c>
      <c r="G8" s="147" t="s">
        <v>330</v>
      </c>
      <c r="H8" s="147"/>
    </row>
    <row r="9" spans="1:8">
      <c r="A9" s="144"/>
      <c r="B9" s="144"/>
      <c r="D9" s="147"/>
      <c r="E9" s="444"/>
      <c r="F9" s="147"/>
      <c r="G9" s="147"/>
      <c r="H9" s="147"/>
    </row>
    <row r="10" spans="1:8">
      <c r="A10" s="144"/>
      <c r="B10" s="144"/>
      <c r="D10" s="147"/>
      <c r="E10" s="444"/>
      <c r="F10" s="147"/>
      <c r="G10" s="147"/>
      <c r="H10" s="147"/>
    </row>
    <row r="11" spans="1:8">
      <c r="D11" s="147"/>
      <c r="E11" s="444"/>
      <c r="G11" s="147"/>
      <c r="H11" s="154"/>
    </row>
    <row r="12" spans="1:8">
      <c r="B12" s="144" t="s">
        <v>319</v>
      </c>
      <c r="D12" s="147"/>
      <c r="E12" s="445"/>
      <c r="F12" s="157" t="s">
        <v>21</v>
      </c>
      <c r="G12" s="147"/>
      <c r="H12" s="154"/>
    </row>
    <row r="13" spans="1:8">
      <c r="D13" s="147"/>
      <c r="E13" s="445"/>
      <c r="F13" s="147"/>
      <c r="G13" s="147"/>
      <c r="H13" s="154"/>
    </row>
    <row r="14" spans="1:8" ht="12.75" customHeight="1">
      <c r="B14" s="465">
        <v>1</v>
      </c>
      <c r="C14" s="564" t="s">
        <v>387</v>
      </c>
      <c r="D14" s="557"/>
      <c r="E14" s="940">
        <v>7683191</v>
      </c>
      <c r="F14" s="557"/>
      <c r="G14" s="557"/>
    </row>
    <row r="15" spans="1:8" ht="12.75" customHeight="1">
      <c r="B15" s="465">
        <f>+B14+1</f>
        <v>2</v>
      </c>
      <c r="C15" s="564" t="s">
        <v>288</v>
      </c>
      <c r="D15" s="557"/>
      <c r="E15" s="940">
        <v>0</v>
      </c>
      <c r="F15" s="557"/>
      <c r="G15" s="557"/>
      <c r="H15" s="557"/>
    </row>
    <row r="16" spans="1:8" ht="12.75" customHeight="1">
      <c r="B16" s="465">
        <f>+B15+1</f>
        <v>3</v>
      </c>
      <c r="C16" s="565" t="s">
        <v>294</v>
      </c>
      <c r="D16" s="557"/>
      <c r="E16" s="940">
        <v>78322237</v>
      </c>
      <c r="F16" s="557"/>
      <c r="G16" s="557"/>
      <c r="H16" s="557"/>
    </row>
    <row r="17" spans="2:8" ht="12.75" customHeight="1">
      <c r="B17" s="465">
        <f>+B16+1</f>
        <v>4</v>
      </c>
      <c r="C17" s="565" t="s">
        <v>322</v>
      </c>
      <c r="D17" s="557"/>
      <c r="E17" s="940"/>
      <c r="F17" s="557"/>
      <c r="G17" s="557"/>
      <c r="H17" s="557"/>
    </row>
    <row r="18" spans="2:8" ht="12.75" customHeight="1">
      <c r="B18" s="465">
        <f>+B17+1</f>
        <v>5</v>
      </c>
      <c r="C18" s="565" t="s">
        <v>293</v>
      </c>
      <c r="D18" s="557"/>
      <c r="E18" s="940"/>
      <c r="F18" s="557"/>
      <c r="G18" s="557"/>
      <c r="H18" s="557"/>
    </row>
    <row r="19" spans="2:8" ht="12.75" customHeight="1">
      <c r="B19" s="465">
        <f>+B18+1</f>
        <v>6</v>
      </c>
      <c r="C19" s="565" t="s">
        <v>295</v>
      </c>
      <c r="D19" s="557"/>
      <c r="E19" s="940"/>
      <c r="F19" s="557"/>
      <c r="G19" s="557"/>
      <c r="H19" s="557"/>
    </row>
    <row r="20" spans="2:8" ht="12.75" customHeight="1">
      <c r="C20" s="565"/>
      <c r="D20" s="557"/>
      <c r="E20" s="940"/>
      <c r="F20" s="557"/>
      <c r="G20" s="557"/>
      <c r="H20" s="557"/>
    </row>
    <row r="21" spans="2:8" ht="12.75" customHeight="1">
      <c r="C21" s="565"/>
      <c r="D21" s="557"/>
      <c r="E21" s="940"/>
      <c r="F21" s="557"/>
      <c r="G21" s="557"/>
      <c r="H21" s="557"/>
    </row>
    <row r="22" spans="2:8" ht="12.75" customHeight="1">
      <c r="B22" s="144" t="s">
        <v>325</v>
      </c>
      <c r="D22" s="557"/>
      <c r="E22" s="941">
        <f>SUM(E14:E21)</f>
        <v>86005428</v>
      </c>
      <c r="F22" s="942">
        <f>+'ATT H-2A'!H32</f>
        <v>0.17006487987085997</v>
      </c>
      <c r="G22" s="943">
        <f>+F22*E22</f>
        <v>14626502.781061897</v>
      </c>
      <c r="H22" s="557"/>
    </row>
    <row r="23" spans="2:8" ht="12.75" customHeight="1">
      <c r="D23" s="557"/>
      <c r="E23" s="941"/>
      <c r="F23" s="557"/>
      <c r="G23" s="557"/>
      <c r="H23" s="557"/>
    </row>
    <row r="24" spans="2:8" ht="12.75" customHeight="1">
      <c r="D24" s="557"/>
      <c r="E24" s="941"/>
      <c r="F24" s="557"/>
      <c r="G24" s="557"/>
      <c r="H24" s="557"/>
    </row>
    <row r="25" spans="2:8" ht="12.75" customHeight="1">
      <c r="B25" s="144" t="s">
        <v>323</v>
      </c>
      <c r="D25" s="557"/>
      <c r="E25" s="941"/>
      <c r="F25" s="156" t="s">
        <v>193</v>
      </c>
      <c r="G25" s="557"/>
      <c r="H25" s="557"/>
    </row>
    <row r="26" spans="2:8" ht="12.75" customHeight="1">
      <c r="B26" s="144"/>
      <c r="D26" s="557"/>
      <c r="G26" s="557"/>
      <c r="H26" s="557"/>
    </row>
    <row r="27" spans="2:8" ht="12.75" customHeight="1">
      <c r="D27" s="557"/>
      <c r="E27" s="941"/>
      <c r="F27" s="557"/>
      <c r="G27" s="557"/>
      <c r="H27" s="557"/>
    </row>
    <row r="28" spans="2:8" ht="12.75" customHeight="1">
      <c r="B28" s="465">
        <f>+B19+1</f>
        <v>7</v>
      </c>
      <c r="C28" s="565" t="s">
        <v>681</v>
      </c>
      <c r="D28" s="556"/>
      <c r="E28" s="940">
        <v>11140158</v>
      </c>
      <c r="F28" s="556"/>
      <c r="G28" s="556"/>
      <c r="H28" s="556"/>
    </row>
    <row r="29" spans="2:8">
      <c r="B29" s="465">
        <f>+B28+1</f>
        <v>8</v>
      </c>
      <c r="C29" s="565" t="s">
        <v>290</v>
      </c>
      <c r="E29" s="940">
        <v>0</v>
      </c>
    </row>
    <row r="30" spans="2:8">
      <c r="C30" s="565"/>
      <c r="E30" s="944"/>
    </row>
    <row r="31" spans="2:8">
      <c r="C31" s="565"/>
      <c r="E31" s="944"/>
    </row>
    <row r="32" spans="2:8">
      <c r="C32" s="565"/>
      <c r="E32" s="944"/>
    </row>
    <row r="33" spans="2:7">
      <c r="B33" s="144" t="s">
        <v>326</v>
      </c>
      <c r="E33" s="941">
        <f>SUM(E28:E32)</f>
        <v>11140158</v>
      </c>
      <c r="F33" s="942">
        <f>+'ATT H-2A'!H16</f>
        <v>0.12385193414972966</v>
      </c>
      <c r="G33" s="943">
        <f>+F33*E33</f>
        <v>1379730.1150335839</v>
      </c>
    </row>
    <row r="34" spans="2:7">
      <c r="B34" s="144"/>
      <c r="C34" s="566"/>
      <c r="F34" s="463"/>
    </row>
    <row r="36" spans="2:7">
      <c r="B36" s="144" t="s">
        <v>324</v>
      </c>
      <c r="F36" s="157" t="s">
        <v>21</v>
      </c>
    </row>
    <row r="38" spans="2:7">
      <c r="B38" s="465">
        <f>+B29+1</f>
        <v>9</v>
      </c>
      <c r="C38" s="567" t="s">
        <v>289</v>
      </c>
      <c r="E38" s="944">
        <f>231246+50961</f>
        <v>282207</v>
      </c>
    </row>
    <row r="39" spans="2:7">
      <c r="B39" s="465">
        <f>+B38+1</f>
        <v>10</v>
      </c>
      <c r="C39" s="565" t="s">
        <v>291</v>
      </c>
      <c r="E39" s="940"/>
    </row>
    <row r="40" spans="2:7">
      <c r="C40" s="565"/>
      <c r="E40" s="944"/>
    </row>
    <row r="41" spans="2:7">
      <c r="C41" s="565"/>
      <c r="E41" s="944"/>
    </row>
    <row r="42" spans="2:7">
      <c r="B42" s="144" t="s">
        <v>327</v>
      </c>
      <c r="E42" s="941">
        <f>SUM(E38:E41)</f>
        <v>282207</v>
      </c>
      <c r="F42" s="942">
        <f>+'ATT H-2A'!H32</f>
        <v>0.17006487987085997</v>
      </c>
      <c r="G42" s="943">
        <f>+F42*E42</f>
        <v>47993.499553715781</v>
      </c>
    </row>
    <row r="44" spans="2:7">
      <c r="B44" s="144" t="s">
        <v>333</v>
      </c>
      <c r="G44" s="943">
        <f>+G42+G33+G22</f>
        <v>16054226.395649197</v>
      </c>
    </row>
    <row r="45" spans="2:7">
      <c r="C45" s="548"/>
    </row>
    <row r="46" spans="2:7">
      <c r="C46" s="548"/>
    </row>
    <row r="47" spans="2:7">
      <c r="C47" s="548"/>
    </row>
    <row r="48" spans="2:7">
      <c r="C48" s="144" t="s">
        <v>328</v>
      </c>
    </row>
    <row r="50" spans="2:19">
      <c r="B50" s="465">
        <f>+B39+1</f>
        <v>11</v>
      </c>
      <c r="C50" s="463" t="s">
        <v>587</v>
      </c>
      <c r="D50" s="463"/>
      <c r="E50" s="940">
        <v>37405974</v>
      </c>
      <c r="F50" s="424"/>
      <c r="G50" s="424"/>
      <c r="H50" s="424"/>
      <c r="I50" s="424"/>
      <c r="J50" s="424"/>
      <c r="K50" s="463"/>
      <c r="L50" s="463"/>
      <c r="M50" s="463"/>
      <c r="N50" s="463"/>
      <c r="O50" s="463"/>
      <c r="P50" s="463"/>
      <c r="Q50" s="463"/>
      <c r="R50" s="463"/>
      <c r="S50" s="463"/>
    </row>
    <row r="51" spans="2:19">
      <c r="B51" s="465">
        <f>+B50+1</f>
        <v>12</v>
      </c>
      <c r="C51" s="463" t="s">
        <v>588</v>
      </c>
      <c r="D51" s="463"/>
      <c r="E51" s="940">
        <v>-982185</v>
      </c>
      <c r="F51" s="424"/>
      <c r="G51" s="424"/>
      <c r="H51" s="424"/>
      <c r="I51" s="424"/>
      <c r="J51" s="424"/>
      <c r="K51" s="463"/>
      <c r="L51" s="463"/>
      <c r="M51" s="463"/>
      <c r="N51" s="463"/>
      <c r="O51" s="463"/>
      <c r="P51" s="463"/>
      <c r="Q51" s="463"/>
      <c r="R51" s="463"/>
      <c r="S51" s="463"/>
    </row>
    <row r="52" spans="2:19">
      <c r="B52" s="465">
        <f t="shared" ref="B52:B59" si="0">+B51+1</f>
        <v>13</v>
      </c>
      <c r="C52" s="463" t="s">
        <v>589</v>
      </c>
      <c r="D52" s="463"/>
      <c r="E52" s="940">
        <f>-163289+22722</f>
        <v>-140567</v>
      </c>
      <c r="F52" s="424"/>
      <c r="G52" s="424"/>
      <c r="H52" s="424"/>
      <c r="I52" s="424"/>
      <c r="J52" s="424"/>
      <c r="K52" s="463"/>
      <c r="L52" s="463"/>
      <c r="M52" s="463"/>
      <c r="N52" s="463"/>
      <c r="O52" s="463"/>
      <c r="P52" s="463"/>
      <c r="Q52" s="463"/>
      <c r="R52" s="463"/>
      <c r="S52" s="463"/>
    </row>
    <row r="53" spans="2:19">
      <c r="B53" s="465">
        <f t="shared" si="0"/>
        <v>14</v>
      </c>
      <c r="C53" s="463" t="s">
        <v>292</v>
      </c>
      <c r="D53" s="463"/>
      <c r="E53" s="944">
        <v>40215719</v>
      </c>
      <c r="F53" s="424"/>
      <c r="G53" s="424"/>
      <c r="H53" s="424"/>
      <c r="I53" s="424"/>
      <c r="J53" s="424"/>
      <c r="K53" s="463"/>
      <c r="L53" s="463"/>
      <c r="M53" s="463"/>
      <c r="N53" s="463"/>
      <c r="O53" s="463"/>
      <c r="P53" s="463"/>
      <c r="Q53" s="463"/>
      <c r="R53" s="463"/>
      <c r="S53" s="463"/>
    </row>
    <row r="54" spans="2:19">
      <c r="B54" s="465">
        <f t="shared" si="0"/>
        <v>15</v>
      </c>
      <c r="C54" s="463" t="s">
        <v>590</v>
      </c>
      <c r="D54" s="463"/>
      <c r="E54" s="940">
        <v>3751755</v>
      </c>
      <c r="F54" s="424"/>
      <c r="G54" s="424"/>
      <c r="H54" s="424"/>
      <c r="I54" s="424"/>
      <c r="J54" s="424"/>
      <c r="K54" s="463"/>
      <c r="L54" s="463"/>
      <c r="M54" s="463"/>
      <c r="N54" s="463"/>
      <c r="O54" s="463"/>
      <c r="P54" s="463"/>
      <c r="Q54" s="463"/>
      <c r="R54" s="463"/>
      <c r="S54" s="463"/>
    </row>
    <row r="55" spans="2:19">
      <c r="B55" s="465">
        <f t="shared" si="0"/>
        <v>16</v>
      </c>
      <c r="C55" s="557" t="s">
        <v>595</v>
      </c>
      <c r="E55" s="944">
        <v>4484492</v>
      </c>
      <c r="F55" s="463"/>
      <c r="G55" s="463"/>
      <c r="H55" s="463"/>
      <c r="I55" s="463"/>
      <c r="J55" s="463"/>
      <c r="K55" s="463"/>
      <c r="L55" s="463"/>
      <c r="M55" s="463"/>
      <c r="N55" s="463"/>
      <c r="O55" s="463"/>
      <c r="P55" s="463"/>
      <c r="Q55" s="463"/>
      <c r="R55" s="463"/>
      <c r="S55" s="463"/>
    </row>
    <row r="56" spans="2:19">
      <c r="B56" s="465">
        <f t="shared" si="0"/>
        <v>17</v>
      </c>
      <c r="C56" s="557" t="s">
        <v>596</v>
      </c>
      <c r="E56" s="944">
        <v>492663</v>
      </c>
    </row>
    <row r="57" spans="2:19">
      <c r="B57" s="465">
        <f t="shared" si="0"/>
        <v>18</v>
      </c>
      <c r="C57" s="557" t="s">
        <v>666</v>
      </c>
      <c r="E57" s="944">
        <v>3522791</v>
      </c>
    </row>
    <row r="58" spans="2:19">
      <c r="B58" s="465">
        <f t="shared" si="0"/>
        <v>19</v>
      </c>
      <c r="C58" s="463" t="s">
        <v>597</v>
      </c>
      <c r="E58" s="944">
        <v>0</v>
      </c>
    </row>
    <row r="59" spans="2:19">
      <c r="B59" s="465">
        <f t="shared" si="0"/>
        <v>20</v>
      </c>
      <c r="C59" s="463" t="s">
        <v>598</v>
      </c>
      <c r="E59" s="945">
        <v>21790330</v>
      </c>
    </row>
    <row r="60" spans="2:19">
      <c r="C60" s="463"/>
    </row>
    <row r="61" spans="2:19" ht="13.5" thickBot="1">
      <c r="B61" s="465">
        <f>+B59+1</f>
        <v>21</v>
      </c>
      <c r="C61" s="463" t="s">
        <v>599</v>
      </c>
      <c r="E61" s="946">
        <f>E22+E33+E42+SUM(E50:E59)</f>
        <v>207968765</v>
      </c>
    </row>
    <row r="62" spans="2:19" ht="13.5" thickTop="1">
      <c r="C62" s="463"/>
    </row>
    <row r="63" spans="2:19">
      <c r="B63" s="463"/>
      <c r="C63" s="568" t="s">
        <v>689</v>
      </c>
      <c r="D63" s="568"/>
      <c r="E63" s="947">
        <f>+F59-F61</f>
        <v>0</v>
      </c>
      <c r="F63" s="948"/>
      <c r="G63" s="948"/>
      <c r="H63" s="448"/>
      <c r="I63" s="463"/>
    </row>
    <row r="64" spans="2:19">
      <c r="B64" s="463" t="s">
        <v>540</v>
      </c>
      <c r="C64" s="463"/>
      <c r="D64" s="463"/>
      <c r="E64" s="949"/>
      <c r="F64" s="424"/>
      <c r="G64" s="424"/>
      <c r="H64" s="424"/>
      <c r="I64" s="463"/>
    </row>
    <row r="65" spans="2:9">
      <c r="B65" s="463" t="s">
        <v>47</v>
      </c>
      <c r="C65" s="463" t="s">
        <v>690</v>
      </c>
      <c r="D65" s="463"/>
      <c r="E65" s="949"/>
      <c r="F65" s="424"/>
      <c r="G65" s="424"/>
      <c r="H65" s="424"/>
      <c r="I65" s="463"/>
    </row>
    <row r="66" spans="2:9">
      <c r="B66" s="463"/>
      <c r="C66" s="569" t="s">
        <v>691</v>
      </c>
      <c r="D66" s="463"/>
      <c r="E66" s="949"/>
      <c r="F66" s="463"/>
      <c r="G66" s="424"/>
      <c r="H66" s="424"/>
      <c r="I66" s="463"/>
    </row>
    <row r="67" spans="2:9">
      <c r="B67" s="463" t="s">
        <v>223</v>
      </c>
      <c r="C67" s="463" t="s">
        <v>703</v>
      </c>
      <c r="D67" s="463"/>
      <c r="E67" s="949"/>
      <c r="F67" s="463"/>
      <c r="G67" s="424"/>
      <c r="H67" s="424"/>
      <c r="I67" s="463"/>
    </row>
    <row r="68" spans="2:9">
      <c r="B68" s="463"/>
      <c r="C68" s="569" t="s">
        <v>691</v>
      </c>
      <c r="D68" s="463"/>
      <c r="E68" s="949"/>
      <c r="F68" s="463"/>
      <c r="G68" s="424"/>
      <c r="H68" s="424"/>
      <c r="I68" s="463"/>
    </row>
    <row r="69" spans="2:9">
      <c r="B69" s="463" t="s">
        <v>19</v>
      </c>
      <c r="C69" s="463" t="s">
        <v>705</v>
      </c>
      <c r="D69" s="463"/>
      <c r="E69" s="949"/>
      <c r="F69" s="463"/>
      <c r="G69" s="424"/>
      <c r="H69" s="424"/>
      <c r="I69" s="463"/>
    </row>
    <row r="70" spans="2:9">
      <c r="B70" s="463" t="s">
        <v>48</v>
      </c>
      <c r="C70" s="569" t="s">
        <v>359</v>
      </c>
      <c r="D70" s="463"/>
      <c r="E70" s="949"/>
      <c r="F70" s="463"/>
      <c r="G70" s="424"/>
      <c r="H70" s="424"/>
      <c r="I70" s="463"/>
    </row>
    <row r="71" spans="2:9">
      <c r="B71" s="463"/>
      <c r="C71" s="463" t="s">
        <v>360</v>
      </c>
      <c r="D71" s="463"/>
      <c r="E71" s="949"/>
      <c r="F71" s="463"/>
      <c r="G71" s="463"/>
      <c r="H71" s="463"/>
      <c r="I71" s="463"/>
    </row>
    <row r="72" spans="2:9">
      <c r="B72" s="463"/>
      <c r="C72" s="463" t="s">
        <v>361</v>
      </c>
      <c r="D72" s="463"/>
      <c r="E72" s="949"/>
      <c r="F72" s="463"/>
      <c r="G72" s="463"/>
      <c r="H72" s="463"/>
      <c r="I72" s="463"/>
    </row>
    <row r="73" spans="2:9">
      <c r="B73" s="463" t="s">
        <v>46</v>
      </c>
      <c r="C73" s="463" t="s">
        <v>358</v>
      </c>
      <c r="D73" s="463"/>
      <c r="E73" s="950"/>
      <c r="F73" s="463"/>
      <c r="G73" s="463"/>
      <c r="H73" s="463"/>
      <c r="I73" s="463"/>
    </row>
  </sheetData>
  <mergeCells count="2">
    <mergeCell ref="A1:H1"/>
    <mergeCell ref="A3:H3"/>
  </mergeCells>
  <phoneticPr fontId="0" type="noConversion"/>
  <pageMargins left="1" right="0.75" top="1.04" bottom="0.53" header="0.5" footer="0.5"/>
  <pageSetup scale="73" orientation="portrait" r:id="rId1"/>
  <headerFooter alignWithMargins="0">
    <oddHeader>&amp;L&amp;"Arial,Bold"&amp;12
&amp;R&amp;"Arial,Bold"&amp;12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topLeftCell="A61" zoomScale="115" zoomScaleNormal="115" workbookViewId="0">
      <selection activeCell="B18" sqref="B18"/>
    </sheetView>
  </sheetViews>
  <sheetFormatPr defaultRowHeight="12.75"/>
  <cols>
    <col min="1" max="1" width="4.140625" style="465" customWidth="1"/>
    <col min="2" max="2" width="74.28515625" style="465" customWidth="1"/>
    <col min="3" max="3" width="18.85546875" style="465" bestFit="1" customWidth="1"/>
    <col min="4" max="4" width="14" style="923" bestFit="1" customWidth="1"/>
    <col min="5" max="5" width="6.28515625" style="465" customWidth="1"/>
    <col min="6" max="6" width="16" style="464" customWidth="1"/>
    <col min="7" max="7" width="12" style="465" bestFit="1" customWidth="1"/>
    <col min="8" max="16384" width="9.140625" style="465"/>
  </cols>
  <sheetData>
    <row r="1" spans="1:7" ht="18">
      <c r="A1" s="1048" t="str">
        <f>+'ATT H-2A'!A4</f>
        <v>Baltimore Gas and Electric Company</v>
      </c>
      <c r="B1" s="1048"/>
      <c r="C1" s="1048"/>
      <c r="D1" s="1048"/>
    </row>
    <row r="2" spans="1:7">
      <c r="A2" s="155"/>
    </row>
    <row r="3" spans="1:7" ht="15">
      <c r="A3" s="1050" t="s">
        <v>638</v>
      </c>
      <c r="B3" s="1057"/>
      <c r="C3" s="1057"/>
      <c r="D3" s="1057"/>
    </row>
    <row r="4" spans="1:7">
      <c r="B4" s="91"/>
      <c r="C4" s="477"/>
      <c r="E4" s="477"/>
    </row>
    <row r="5" spans="1:7">
      <c r="B5" s="425"/>
      <c r="C5" s="477"/>
      <c r="E5" s="477"/>
    </row>
    <row r="6" spans="1:7">
      <c r="B6" s="426" t="s">
        <v>600</v>
      </c>
    </row>
    <row r="7" spans="1:7">
      <c r="A7" s="465">
        <v>1</v>
      </c>
      <c r="B7" s="510" t="s">
        <v>137</v>
      </c>
      <c r="C7" s="553"/>
      <c r="D7" s="428">
        <f>277518+10049644</f>
        <v>10327162</v>
      </c>
      <c r="G7" s="924"/>
    </row>
    <row r="8" spans="1:7" s="91" customFormat="1">
      <c r="A8" s="465">
        <v>2</v>
      </c>
      <c r="B8" s="554" t="s">
        <v>601</v>
      </c>
      <c r="C8" s="465" t="s">
        <v>655</v>
      </c>
      <c r="D8" s="925">
        <f>SUM(D7:D7)</f>
        <v>10327162</v>
      </c>
      <c r="F8" s="464"/>
      <c r="G8" s="926"/>
    </row>
    <row r="9" spans="1:7">
      <c r="B9" s="554"/>
      <c r="C9" s="554"/>
      <c r="D9" s="875"/>
      <c r="G9" s="554"/>
    </row>
    <row r="10" spans="1:7">
      <c r="B10" s="426" t="s">
        <v>130</v>
      </c>
      <c r="C10" s="554"/>
      <c r="G10" s="923"/>
    </row>
    <row r="11" spans="1:7">
      <c r="B11" s="555"/>
      <c r="C11" s="556"/>
      <c r="D11" s="927"/>
      <c r="G11" s="556"/>
    </row>
    <row r="12" spans="1:7">
      <c r="A12" s="465">
        <f>+A8+1</f>
        <v>3</v>
      </c>
      <c r="B12" s="510" t="s">
        <v>73</v>
      </c>
      <c r="C12" s="557"/>
      <c r="D12" s="428">
        <v>1470313</v>
      </c>
      <c r="G12" s="924"/>
    </row>
    <row r="13" spans="1:7" ht="38.25">
      <c r="A13" s="928">
        <f t="shared" ref="A13:A19" si="0">+A12+1</f>
        <v>4</v>
      </c>
      <c r="B13" s="557" t="s">
        <v>730</v>
      </c>
      <c r="C13" s="557"/>
      <c r="D13" s="428">
        <v>0</v>
      </c>
      <c r="G13" s="557"/>
    </row>
    <row r="14" spans="1:7" ht="25.5">
      <c r="A14" s="465">
        <f t="shared" si="0"/>
        <v>5</v>
      </c>
      <c r="B14" s="558" t="s">
        <v>729</v>
      </c>
      <c r="C14" s="557"/>
      <c r="D14" s="428">
        <v>2321093</v>
      </c>
      <c r="G14" s="924"/>
    </row>
    <row r="15" spans="1:7">
      <c r="A15" s="465">
        <f t="shared" si="0"/>
        <v>6</v>
      </c>
      <c r="B15" s="554" t="s">
        <v>138</v>
      </c>
      <c r="C15" s="556"/>
      <c r="D15" s="929">
        <v>0</v>
      </c>
      <c r="G15" s="556"/>
    </row>
    <row r="16" spans="1:7">
      <c r="A16" s="465">
        <f t="shared" si="0"/>
        <v>7</v>
      </c>
      <c r="B16" s="554" t="s">
        <v>139</v>
      </c>
      <c r="C16" s="557"/>
      <c r="D16" s="929">
        <v>0</v>
      </c>
      <c r="E16" s="463"/>
      <c r="F16" s="666"/>
      <c r="G16" s="557"/>
    </row>
    <row r="17" spans="1:7">
      <c r="A17" s="465">
        <f t="shared" si="0"/>
        <v>8</v>
      </c>
      <c r="B17" s="554" t="s">
        <v>140</v>
      </c>
      <c r="C17" s="553"/>
      <c r="D17" s="930">
        <v>0</v>
      </c>
      <c r="G17" s="923"/>
    </row>
    <row r="18" spans="1:7">
      <c r="A18" s="465">
        <f t="shared" si="0"/>
        <v>9</v>
      </c>
      <c r="B18" s="554" t="s">
        <v>141</v>
      </c>
      <c r="C18" s="463"/>
      <c r="D18" s="930">
        <f>+'7 - Cap Add WS'!CU55</f>
        <v>3222576.5750494935</v>
      </c>
    </row>
    <row r="19" spans="1:7">
      <c r="A19" s="465">
        <f t="shared" si="0"/>
        <v>10</v>
      </c>
      <c r="B19" s="554" t="s">
        <v>142</v>
      </c>
      <c r="C19" s="463"/>
      <c r="D19" s="930"/>
    </row>
    <row r="20" spans="1:7">
      <c r="B20" s="554"/>
      <c r="D20" s="931"/>
    </row>
    <row r="21" spans="1:7">
      <c r="A21" s="465">
        <f>+A19+1</f>
        <v>11</v>
      </c>
      <c r="B21" s="554" t="s">
        <v>706</v>
      </c>
      <c r="C21" s="465" t="s">
        <v>658</v>
      </c>
      <c r="D21" s="930">
        <f>SUM(D12:D20)+D8</f>
        <v>17341144.575049493</v>
      </c>
      <c r="E21" s="463"/>
      <c r="G21" s="924"/>
    </row>
    <row r="22" spans="1:7">
      <c r="A22" s="463">
        <v>12</v>
      </c>
      <c r="B22" s="553" t="s">
        <v>593</v>
      </c>
      <c r="C22" s="463"/>
      <c r="D22" s="932">
        <f>+D39</f>
        <v>-7416044</v>
      </c>
      <c r="E22" s="463"/>
      <c r="G22" s="924"/>
    </row>
    <row r="23" spans="1:7">
      <c r="A23" s="463">
        <v>13</v>
      </c>
      <c r="B23" s="553" t="s">
        <v>707</v>
      </c>
      <c r="C23" s="463"/>
      <c r="D23" s="932">
        <f>+D21+D22</f>
        <v>9925100.5750494935</v>
      </c>
      <c r="E23" s="463"/>
      <c r="G23" s="924"/>
    </row>
    <row r="24" spans="1:7">
      <c r="A24" s="463"/>
      <c r="C24" s="463"/>
      <c r="D24" s="932"/>
      <c r="E24" s="933"/>
    </row>
    <row r="25" spans="1:7">
      <c r="B25" s="554"/>
      <c r="D25" s="932"/>
      <c r="E25" s="463"/>
    </row>
    <row r="26" spans="1:7" ht="54" customHeight="1">
      <c r="B26" s="554"/>
      <c r="D26" s="932"/>
      <c r="E26" s="463"/>
    </row>
    <row r="27" spans="1:7">
      <c r="B27" s="427" t="s">
        <v>602</v>
      </c>
      <c r="D27" s="934"/>
      <c r="E27" s="463"/>
    </row>
    <row r="28" spans="1:7" ht="57" customHeight="1">
      <c r="A28" s="935">
        <v>14</v>
      </c>
      <c r="B28" s="559" t="s">
        <v>365</v>
      </c>
      <c r="D28" s="932"/>
      <c r="E28" s="463"/>
    </row>
    <row r="29" spans="1:7">
      <c r="A29" s="928"/>
      <c r="B29" s="554"/>
      <c r="E29" s="463"/>
    </row>
    <row r="30" spans="1:7" ht="51.75" customHeight="1">
      <c r="A30" s="928">
        <v>15</v>
      </c>
      <c r="B30" s="558" t="s">
        <v>135</v>
      </c>
      <c r="E30" s="463"/>
    </row>
    <row r="31" spans="1:7">
      <c r="A31" s="928"/>
      <c r="B31" s="554"/>
      <c r="E31" s="463"/>
    </row>
    <row r="32" spans="1:7" ht="156.75" customHeight="1">
      <c r="A32" s="928">
        <v>16</v>
      </c>
      <c r="B32" s="560" t="s">
        <v>146</v>
      </c>
      <c r="C32" s="561"/>
      <c r="D32" s="932"/>
      <c r="E32" s="936"/>
    </row>
    <row r="33" spans="1:7" s="463" customFormat="1" ht="15">
      <c r="A33" s="935" t="s">
        <v>708</v>
      </c>
      <c r="B33" s="562" t="s">
        <v>554</v>
      </c>
      <c r="C33" s="563"/>
      <c r="D33" s="932">
        <f>+D7+D17+D19</f>
        <v>10327162</v>
      </c>
      <c r="F33" s="666"/>
    </row>
    <row r="34" spans="1:7" s="463" customFormat="1" ht="15">
      <c r="A34" s="935" t="s">
        <v>709</v>
      </c>
      <c r="B34" s="562" t="s">
        <v>710</v>
      </c>
      <c r="C34" s="563"/>
      <c r="D34" s="930">
        <v>4642812</v>
      </c>
      <c r="F34" s="666"/>
    </row>
    <row r="35" spans="1:7" s="463" customFormat="1" ht="15">
      <c r="A35" s="935" t="s">
        <v>711</v>
      </c>
      <c r="B35" s="562" t="s">
        <v>131</v>
      </c>
      <c r="C35" s="563"/>
      <c r="D35" s="932">
        <f>+D33-D34</f>
        <v>5684350</v>
      </c>
      <c r="F35" s="666"/>
    </row>
    <row r="36" spans="1:7" s="424" customFormat="1" ht="15">
      <c r="A36" s="935" t="s">
        <v>712</v>
      </c>
      <c r="B36" s="562" t="s">
        <v>132</v>
      </c>
      <c r="C36" s="563"/>
      <c r="D36" s="932">
        <f>+D35/2</f>
        <v>2842175</v>
      </c>
      <c r="E36" s="463"/>
      <c r="F36" s="937"/>
    </row>
    <row r="37" spans="1:7" s="463" customFormat="1" ht="38.25">
      <c r="A37" s="935" t="s">
        <v>713</v>
      </c>
      <c r="B37" s="562" t="s">
        <v>678</v>
      </c>
      <c r="C37" s="563"/>
      <c r="D37" s="930">
        <v>68943</v>
      </c>
      <c r="F37" s="666"/>
    </row>
    <row r="38" spans="1:7" s="424" customFormat="1">
      <c r="A38" s="935" t="s">
        <v>735</v>
      </c>
      <c r="B38" s="553" t="s">
        <v>133</v>
      </c>
      <c r="C38" s="463"/>
      <c r="D38" s="932">
        <f>+D36+D37</f>
        <v>2911118</v>
      </c>
      <c r="E38" s="463"/>
      <c r="F38" s="937"/>
    </row>
    <row r="39" spans="1:7" s="463" customFormat="1">
      <c r="A39" s="935" t="s">
        <v>714</v>
      </c>
      <c r="B39" s="553" t="s">
        <v>736</v>
      </c>
      <c r="D39" s="932">
        <f>+D38-D33</f>
        <v>-7416044</v>
      </c>
      <c r="F39" s="666"/>
    </row>
    <row r="40" spans="1:7" ht="63.75">
      <c r="A40" s="935">
        <v>18</v>
      </c>
      <c r="B40" s="559" t="s">
        <v>555</v>
      </c>
      <c r="D40" s="932">
        <f>2498507+3218309+7182172+37532594+5329605+3419118+4714391</f>
        <v>63894696</v>
      </c>
      <c r="F40" s="1016"/>
    </row>
    <row r="41" spans="1:7">
      <c r="E41" s="463"/>
    </row>
    <row r="42" spans="1:7">
      <c r="A42" s="465">
        <v>19</v>
      </c>
      <c r="B42" s="465" t="s">
        <v>11</v>
      </c>
      <c r="D42" s="428">
        <f>154208416</f>
        <v>154208416</v>
      </c>
      <c r="E42" s="463"/>
    </row>
    <row r="43" spans="1:7">
      <c r="D43" s="938"/>
      <c r="E43" s="477"/>
    </row>
    <row r="44" spans="1:7">
      <c r="A44" s="465">
        <v>20</v>
      </c>
      <c r="B44" s="465" t="s">
        <v>10</v>
      </c>
      <c r="C44" s="463"/>
      <c r="D44" s="709">
        <f>+D21+D28+D40+D42</f>
        <v>235444256.57504949</v>
      </c>
      <c r="E44" s="934"/>
      <c r="G44" s="709"/>
    </row>
    <row r="46" spans="1:7">
      <c r="C46" s="465" t="s">
        <v>541</v>
      </c>
      <c r="D46" s="923">
        <f>+D44</f>
        <v>235444256.57504949</v>
      </c>
    </row>
    <row r="48" spans="1:7">
      <c r="C48" s="465" t="s">
        <v>689</v>
      </c>
      <c r="D48" s="923">
        <f>+D46-D44</f>
        <v>0</v>
      </c>
    </row>
  </sheetData>
  <mergeCells count="2">
    <mergeCell ref="A3:D3"/>
    <mergeCell ref="A1:D1"/>
  </mergeCells>
  <phoneticPr fontId="0" type="noConversion"/>
  <pageMargins left="1" right="0.5" top="1.5" bottom="1" header="0.5" footer="0.5"/>
  <pageSetup scale="60" orientation="portrait" r:id="rId1"/>
  <headerFooter alignWithMargins="0">
    <oddHeader>&amp;R&amp;"Arial,Bold"&amp;12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6"/>
  <sheetViews>
    <sheetView topLeftCell="B67" zoomScale="75" zoomScaleNormal="75" zoomScaleSheetLayoutView="66" workbookViewId="0">
      <selection activeCell="I2" sqref="I2"/>
    </sheetView>
  </sheetViews>
  <sheetFormatPr defaultRowHeight="12.75"/>
  <cols>
    <col min="1" max="1" width="9.28515625" style="465" bestFit="1" customWidth="1"/>
    <col min="2" max="2" width="3" style="465" customWidth="1"/>
    <col min="3" max="3" width="3.5703125" style="465" customWidth="1"/>
    <col min="4" max="4" width="38.7109375" style="465" customWidth="1"/>
    <col min="5" max="5" width="27" style="465" customWidth="1"/>
    <col min="6" max="6" width="34.28515625" style="465" bestFit="1" customWidth="1"/>
    <col min="7" max="7" width="30.140625" style="465" customWidth="1"/>
    <col min="8" max="8" width="3.85546875" style="465" customWidth="1"/>
    <col min="9" max="9" width="18" style="465" customWidth="1"/>
    <col min="10" max="16384" width="9.140625" style="465"/>
  </cols>
  <sheetData>
    <row r="1" spans="1:9" ht="18">
      <c r="A1" s="1048" t="str">
        <f>+'ATT H-2A'!A4</f>
        <v>Baltimore Gas and Electric Company</v>
      </c>
      <c r="B1" s="1048"/>
      <c r="C1" s="1048"/>
      <c r="D1" s="1048"/>
      <c r="E1" s="1048"/>
      <c r="F1" s="1048"/>
      <c r="G1" s="1048"/>
    </row>
    <row r="2" spans="1:9" ht="18">
      <c r="A2" s="155"/>
      <c r="B2" s="466"/>
      <c r="C2" s="466"/>
      <c r="D2" s="466"/>
      <c r="E2" s="466"/>
      <c r="F2" s="466"/>
      <c r="G2" s="466"/>
    </row>
    <row r="3" spans="1:9" ht="18">
      <c r="A3" s="1048" t="s">
        <v>617</v>
      </c>
      <c r="B3" s="1048"/>
      <c r="C3" s="1048"/>
      <c r="D3" s="1048"/>
      <c r="E3" s="1048"/>
      <c r="F3" s="1048"/>
      <c r="G3" s="1048"/>
      <c r="I3" s="165"/>
    </row>
    <row r="5" spans="1:9" s="20" customFormat="1" ht="15">
      <c r="B5" s="155"/>
    </row>
    <row r="6" spans="1:9" s="20" customFormat="1" ht="15"/>
    <row r="7" spans="1:9" s="20" customFormat="1" ht="15"/>
    <row r="8" spans="1:9" s="20" customFormat="1" ht="15">
      <c r="C8" s="20" t="s">
        <v>618</v>
      </c>
    </row>
    <row r="9" spans="1:9" s="20" customFormat="1" ht="15">
      <c r="A9" s="52" t="s">
        <v>47</v>
      </c>
      <c r="B9" s="52"/>
      <c r="D9" s="20" t="s">
        <v>619</v>
      </c>
      <c r="G9" s="26" t="s">
        <v>653</v>
      </c>
      <c r="I9" s="99">
        <f>+I57+I78</f>
        <v>81262870.911700845</v>
      </c>
    </row>
    <row r="10" spans="1:9" s="20" customFormat="1" ht="15">
      <c r="A10" s="52"/>
      <c r="B10" s="52"/>
    </row>
    <row r="11" spans="1:9" s="20" customFormat="1" ht="15">
      <c r="A11" s="52" t="s">
        <v>223</v>
      </c>
      <c r="B11" s="52"/>
      <c r="D11" s="20" t="str">
        <f>I11*10000&amp;" Basis Point increase in ROE"</f>
        <v>100 Basis Point increase in ROE</v>
      </c>
      <c r="I11" s="168">
        <v>0.01</v>
      </c>
    </row>
    <row r="12" spans="1:9" s="20" customFormat="1" ht="15">
      <c r="A12" s="52"/>
      <c r="B12" s="52"/>
      <c r="I12" s="168"/>
    </row>
    <row r="13" spans="1:9" s="26" customFormat="1" ht="15">
      <c r="A13" s="52"/>
      <c r="B13" s="52"/>
      <c r="C13" s="20"/>
      <c r="D13" s="20"/>
      <c r="E13" s="20"/>
      <c r="F13" s="20"/>
      <c r="G13" s="20"/>
      <c r="H13" s="20"/>
    </row>
    <row r="14" spans="1:9" s="435" customFormat="1" ht="15">
      <c r="A14" s="435" t="s">
        <v>522</v>
      </c>
    </row>
    <row r="15" spans="1:9" s="20" customFormat="1" ht="15">
      <c r="I15" s="165"/>
    </row>
    <row r="16" spans="1:9" s="20" customFormat="1" ht="15">
      <c r="A16" s="52">
        <f>+'ATT H-2A'!A106</f>
        <v>59</v>
      </c>
      <c r="C16" s="37" t="str">
        <f>+'ATT H-2A'!B106</f>
        <v>Rate Base</v>
      </c>
      <c r="D16" s="37"/>
      <c r="F16" s="37"/>
      <c r="G16" s="37" t="str">
        <f>+'ATT H-2A'!F106</f>
        <v>(Line  + 58)</v>
      </c>
      <c r="H16" s="37"/>
      <c r="I16" s="99">
        <f>+'ATT H-2A'!H106</f>
        <v>600118707.24070644</v>
      </c>
    </row>
    <row r="17" spans="1:9" s="20" customFormat="1" ht="15">
      <c r="G17" s="37"/>
      <c r="I17" s="165"/>
    </row>
    <row r="18" spans="1:9" s="20" customFormat="1" ht="15">
      <c r="G18" s="37"/>
    </row>
    <row r="19" spans="1:9" s="20" customFormat="1" ht="15.75">
      <c r="A19" s="42"/>
      <c r="B19" s="37"/>
      <c r="C19" s="24" t="str">
        <f>'ATT H-2A'!B171</f>
        <v>Long Term Interest</v>
      </c>
      <c r="D19" s="48"/>
      <c r="E19" s="33"/>
      <c r="F19" s="9"/>
      <c r="G19" s="912"/>
      <c r="H19" s="587"/>
      <c r="I19" s="26"/>
    </row>
    <row r="20" spans="1:9" s="20" customFormat="1" ht="15.75">
      <c r="A20" s="42">
        <f>'ATT H-2A'!A172</f>
        <v>99</v>
      </c>
      <c r="B20" s="37"/>
      <c r="C20" s="37"/>
      <c r="D20" s="48" t="str">
        <f>'ATT H-2A'!C172</f>
        <v>Long Term Interest</v>
      </c>
      <c r="E20" s="33"/>
      <c r="F20" s="9"/>
      <c r="G20" s="912" t="str">
        <f>'ATT H-2A'!F172</f>
        <v>p117.62c through 67c</v>
      </c>
      <c r="H20" s="587"/>
      <c r="I20" s="593">
        <f>+'ATT H-2A'!H172</f>
        <v>125482757</v>
      </c>
    </row>
    <row r="21" spans="1:9" s="20" customFormat="1" ht="15" hidden="1">
      <c r="A21" s="8">
        <f>'ATT H-2A'!A173</f>
        <v>100</v>
      </c>
      <c r="B21" s="37"/>
      <c r="C21" s="37"/>
      <c r="D21" s="22" t="str">
        <f>'ATT H-2A'!C173</f>
        <v xml:space="preserve">    Less LTD Interest on Securitization Bonds</v>
      </c>
      <c r="E21" s="57" t="str">
        <f>'ATT H-2A'!E173</f>
        <v>(Note P)</v>
      </c>
      <c r="F21" s="913"/>
      <c r="G21" s="914" t="str">
        <f>'ATT H-2A'!F173</f>
        <v>Attachment 8</v>
      </c>
      <c r="H21" s="583"/>
      <c r="I21" s="593">
        <f>+'ATT H-2A'!H173</f>
        <v>17073091</v>
      </c>
    </row>
    <row r="22" spans="1:9" s="20" customFormat="1" ht="15.75">
      <c r="A22" s="8">
        <f>'ATT H-2A'!A174</f>
        <v>101</v>
      </c>
      <c r="B22" s="37"/>
      <c r="C22" s="37"/>
      <c r="D22" s="22" t="str">
        <f>'ATT H-2A'!C174</f>
        <v>Long Term Interest</v>
      </c>
      <c r="E22" s="33"/>
      <c r="F22" s="48"/>
      <c r="G22" s="538" t="str">
        <f>'ATT H-2A'!F174</f>
        <v>(Line 99)</v>
      </c>
      <c r="H22" s="587"/>
      <c r="I22" s="593">
        <f>+I20-I21</f>
        <v>108409666</v>
      </c>
    </row>
    <row r="23" spans="1:9" s="20" customFormat="1" ht="15">
      <c r="A23" s="8"/>
      <c r="B23" s="37"/>
      <c r="C23" s="22"/>
      <c r="D23" s="22"/>
      <c r="E23" s="9"/>
      <c r="F23" s="497"/>
      <c r="G23" s="37"/>
      <c r="H23" s="497"/>
      <c r="I23" s="498"/>
    </row>
    <row r="24" spans="1:9" s="20" customFormat="1" ht="15.75">
      <c r="A24" s="8">
        <f>'ATT H-2A'!A176</f>
        <v>102</v>
      </c>
      <c r="B24" s="37"/>
      <c r="C24" s="37" t="str">
        <f>'ATT H-2A'!B176</f>
        <v>Preferred Dividends</v>
      </c>
      <c r="D24" s="359"/>
      <c r="E24" s="9" t="str">
        <f>'ATT H-2A'!E176</f>
        <v xml:space="preserve"> enter positive</v>
      </c>
      <c r="F24" s="9"/>
      <c r="G24" s="502" t="str">
        <f>'ATT H-2A'!F176</f>
        <v>p118.29c</v>
      </c>
      <c r="H24" s="497"/>
      <c r="I24" s="593">
        <f>+'ATT H-2A'!H176</f>
        <v>13209000</v>
      </c>
    </row>
    <row r="25" spans="1:9" s="20" customFormat="1" ht="15">
      <c r="A25" s="8"/>
      <c r="B25" s="37"/>
      <c r="C25" s="22"/>
      <c r="D25" s="22"/>
      <c r="E25" s="9"/>
      <c r="F25" s="486"/>
      <c r="G25" s="502"/>
      <c r="H25" s="497"/>
      <c r="I25" s="498"/>
    </row>
    <row r="26" spans="1:9" s="20" customFormat="1" ht="15.75">
      <c r="A26" s="8"/>
      <c r="B26" s="37"/>
      <c r="C26" s="22" t="str">
        <f>'ATT H-2A'!B178</f>
        <v>Common Stock</v>
      </c>
      <c r="D26" s="59"/>
      <c r="E26" s="9"/>
      <c r="F26" s="9"/>
      <c r="G26" s="502"/>
      <c r="H26" s="497"/>
      <c r="I26" s="498"/>
    </row>
    <row r="27" spans="1:9" s="20" customFormat="1" ht="15">
      <c r="A27" s="8">
        <f>'ATT H-2A'!A179</f>
        <v>103</v>
      </c>
      <c r="B27" s="37"/>
      <c r="C27" s="37"/>
      <c r="D27" s="22" t="str">
        <f>'ATT H-2A'!C179</f>
        <v>Proprietary Capital</v>
      </c>
      <c r="E27" s="497"/>
      <c r="F27" s="497"/>
      <c r="G27" s="502" t="str">
        <f>'ATT H-2A'!F179</f>
        <v>p112.16c</v>
      </c>
      <c r="H27" s="497"/>
      <c r="I27" s="593">
        <f>+'ATT H-2A'!H179</f>
        <v>2554923347</v>
      </c>
    </row>
    <row r="28" spans="1:9" s="20" customFormat="1" ht="15">
      <c r="A28" s="42">
        <f>'ATT H-2A'!A180</f>
        <v>104</v>
      </c>
      <c r="B28" s="37"/>
      <c r="C28" s="37"/>
      <c r="D28" s="24" t="str">
        <f>'ATT H-2A'!C180</f>
        <v xml:space="preserve">    Less Preferred Stock</v>
      </c>
      <c r="E28" s="498" t="str">
        <f>'ATT H-2A'!E180</f>
        <v>enter negative</v>
      </c>
      <c r="F28" s="498"/>
      <c r="G28" s="915" t="str">
        <f>'ATT H-2A'!F180</f>
        <v>(Line 192)</v>
      </c>
      <c r="H28" s="497"/>
      <c r="I28" s="498">
        <f>-I40</f>
        <v>-190000000</v>
      </c>
    </row>
    <row r="29" spans="1:9" s="20" customFormat="1" ht="15" hidden="1">
      <c r="A29" s="8">
        <f>'ATT H-2A'!A181</f>
        <v>105</v>
      </c>
      <c r="B29" s="37"/>
      <c r="C29" s="37"/>
      <c r="D29" s="24" t="str">
        <f>'ATT H-2A'!C181</f>
        <v xml:space="preserve">    Plus Securitization Adjustment</v>
      </c>
      <c r="E29" s="582">
        <f>'ATT H-2A'!E181</f>
        <v>0</v>
      </c>
      <c r="F29" s="498"/>
      <c r="G29" s="502" t="str">
        <f>'ATT H-2A'!F181</f>
        <v>Attachment 8</v>
      </c>
      <c r="H29" s="497"/>
      <c r="I29" s="593">
        <f>+'ATT H-2A'!H181</f>
        <v>0</v>
      </c>
    </row>
    <row r="30" spans="1:9" s="20" customFormat="1" ht="15">
      <c r="A30" s="8">
        <f>'ATT H-2A'!A182</f>
        <v>105</v>
      </c>
      <c r="B30" s="37"/>
      <c r="C30" s="37"/>
      <c r="D30" s="24" t="str">
        <f>'ATT H-2A'!C182</f>
        <v xml:space="preserve">    Less Account 216.1</v>
      </c>
      <c r="E30" s="500" t="str">
        <f>'ATT H-2A'!E182</f>
        <v>enter negative</v>
      </c>
      <c r="F30" s="500"/>
      <c r="G30" s="916" t="str">
        <f>'ATT H-2A'!F182</f>
        <v>p112.12c</v>
      </c>
      <c r="H30" s="583"/>
      <c r="I30" s="500">
        <f>+'ATT H-2A'!H182</f>
        <v>0</v>
      </c>
    </row>
    <row r="31" spans="1:9" s="20" customFormat="1" ht="15.75">
      <c r="A31" s="8">
        <f>'ATT H-2A'!A183</f>
        <v>106</v>
      </c>
      <c r="B31" s="37"/>
      <c r="C31" s="37"/>
      <c r="D31" s="24" t="str">
        <f>'ATT H-2A'!C183</f>
        <v>Common Stock</v>
      </c>
      <c r="E31" s="593"/>
      <c r="F31" s="79"/>
      <c r="G31" s="56" t="str">
        <f>'ATT H-2A'!F183</f>
        <v>(Sum Lines 103 to 105)</v>
      </c>
      <c r="H31" s="76"/>
      <c r="I31" s="498">
        <f>+I27+I28+I30+I29</f>
        <v>2364923347</v>
      </c>
    </row>
    <row r="32" spans="1:9" s="20" customFormat="1" ht="15">
      <c r="A32" s="8"/>
      <c r="B32" s="37"/>
      <c r="C32" s="22"/>
      <c r="D32" s="22"/>
      <c r="E32" s="9"/>
      <c r="F32" s="486"/>
      <c r="G32" s="502"/>
      <c r="H32" s="9"/>
      <c r="I32" s="498"/>
    </row>
    <row r="33" spans="1:9" s="20" customFormat="1" ht="15.75">
      <c r="A33" s="8"/>
      <c r="B33" s="37"/>
      <c r="C33" s="22" t="str">
        <f>'ATT H-2A'!B185</f>
        <v>Capitalization</v>
      </c>
      <c r="D33" s="59"/>
      <c r="E33" s="9"/>
      <c r="F33" s="9"/>
      <c r="G33" s="502"/>
      <c r="H33" s="9"/>
      <c r="I33" s="498"/>
    </row>
    <row r="34" spans="1:9" s="20" customFormat="1" ht="15">
      <c r="A34" s="8">
        <f>'ATT H-2A'!A186</f>
        <v>107</v>
      </c>
      <c r="B34" s="37"/>
      <c r="C34" s="37"/>
      <c r="D34" s="22" t="str">
        <f>'ATT H-2A'!C186</f>
        <v>Long Term Debt</v>
      </c>
      <c r="E34" s="9"/>
      <c r="F34" s="486"/>
      <c r="G34" s="22" t="str">
        <f>'ATT H-2A'!F186</f>
        <v>p112.18d through 21d</v>
      </c>
      <c r="H34" s="9"/>
      <c r="I34" s="593">
        <f>+'ATT H-2A'!H186</f>
        <v>2248533099</v>
      </c>
    </row>
    <row r="35" spans="1:9" s="20" customFormat="1" ht="15">
      <c r="A35" s="42">
        <f>'ATT H-2A'!A187</f>
        <v>108</v>
      </c>
      <c r="B35" s="37"/>
      <c r="C35" s="37"/>
      <c r="D35" s="22" t="str">
        <f>'ATT H-2A'!C187</f>
        <v xml:space="preserve">      Less Loss on Reacquired Debt </v>
      </c>
      <c r="F35" s="9" t="str">
        <f>'ATT H-2A'!E187</f>
        <v>enter negative</v>
      </c>
      <c r="G35" s="502" t="str">
        <f>'ATT H-2A'!F187</f>
        <v>p111.81.c</v>
      </c>
      <c r="H35" s="9"/>
      <c r="I35" s="593">
        <f>+'ATT H-2A'!H187</f>
        <v>-9383207</v>
      </c>
    </row>
    <row r="36" spans="1:9" s="20" customFormat="1" ht="15">
      <c r="A36" s="42">
        <f>'ATT H-2A'!A188</f>
        <v>109</v>
      </c>
      <c r="B36" s="37"/>
      <c r="C36" s="37"/>
      <c r="D36" s="22" t="str">
        <f>'ATT H-2A'!C188</f>
        <v xml:space="preserve">      Plus Gain on Reacquired Debt</v>
      </c>
      <c r="F36" s="9" t="str">
        <f>'ATT H-2A'!E188</f>
        <v>enter positive</v>
      </c>
      <c r="G36" s="22" t="str">
        <f>'ATT H-2A'!F188</f>
        <v>p113.61c</v>
      </c>
      <c r="H36" s="9"/>
      <c r="I36" s="593">
        <f>+'ATT H-2A'!H188</f>
        <v>5413</v>
      </c>
    </row>
    <row r="37" spans="1:9" s="26" customFormat="1" ht="15">
      <c r="A37" s="42">
        <f>+A36+1</f>
        <v>110</v>
      </c>
      <c r="B37" s="42"/>
      <c r="D37" s="487" t="s">
        <v>685</v>
      </c>
      <c r="F37" s="915" t="str">
        <f>+F35</f>
        <v>enter negative</v>
      </c>
      <c r="G37" s="490" t="s">
        <v>646</v>
      </c>
      <c r="I37" s="498">
        <f>+'ATT H-2A'!H189</f>
        <v>3013182</v>
      </c>
    </row>
    <row r="38" spans="1:9" s="20" customFormat="1" ht="15">
      <c r="A38" s="8">
        <f>'ATT H-2A'!A190</f>
        <v>111</v>
      </c>
      <c r="B38" s="37"/>
      <c r="C38" s="37"/>
      <c r="D38" s="22" t="str">
        <f>'ATT H-2A'!C190</f>
        <v xml:space="preserve">      Less LTD on Securitization Bonds</v>
      </c>
      <c r="F38" s="20" t="str">
        <f>'ATT H-2A'!E190</f>
        <v>enter negative</v>
      </c>
      <c r="G38" s="502" t="str">
        <f>'ATT H-2A'!F190</f>
        <v>Attachment 8</v>
      </c>
      <c r="H38" s="9"/>
      <c r="I38" s="593">
        <f>+'ATT H-2A'!H190</f>
        <v>-240801124</v>
      </c>
    </row>
    <row r="39" spans="1:9" s="20" customFormat="1" ht="15">
      <c r="A39" s="8">
        <f>'ATT H-2A'!A191</f>
        <v>112</v>
      </c>
      <c r="B39" s="37"/>
      <c r="C39" s="37"/>
      <c r="D39" s="24" t="str">
        <f>'ATT H-2A'!C191</f>
        <v>Total Long Term Debt</v>
      </c>
      <c r="E39" s="31"/>
      <c r="F39" s="501"/>
      <c r="G39" s="917" t="str">
        <f>'ATT H-2A'!F191</f>
        <v>(Sum Lines 107 to 111)</v>
      </c>
      <c r="H39" s="28"/>
      <c r="I39" s="584">
        <f>SUM(I34:I38)</f>
        <v>2001367363</v>
      </c>
    </row>
    <row r="40" spans="1:9" s="20" customFormat="1" ht="15">
      <c r="A40" s="8">
        <f>'ATT H-2A'!A192</f>
        <v>113</v>
      </c>
      <c r="B40" s="37"/>
      <c r="C40" s="37"/>
      <c r="D40" s="22" t="str">
        <f>'ATT H-2A'!C192</f>
        <v>Preferred Stock</v>
      </c>
      <c r="E40" s="9"/>
      <c r="F40" s="486"/>
      <c r="G40" s="22" t="str">
        <f>'ATT H-2A'!F192</f>
        <v>p112.3c</v>
      </c>
      <c r="H40" s="9"/>
      <c r="I40" s="593">
        <f>+'ATT H-2A'!H192</f>
        <v>190000000</v>
      </c>
    </row>
    <row r="41" spans="1:9" s="20" customFormat="1" ht="15">
      <c r="A41" s="8">
        <f>'ATT H-2A'!A193</f>
        <v>114</v>
      </c>
      <c r="B41" s="37"/>
      <c r="C41" s="37"/>
      <c r="D41" s="22" t="str">
        <f>'ATT H-2A'!C193</f>
        <v>Common Stock</v>
      </c>
      <c r="E41" s="9"/>
      <c r="F41" s="486"/>
      <c r="G41" s="37" t="str">
        <f>'ATT H-2A'!F193</f>
        <v>(Line 106)</v>
      </c>
      <c r="H41" s="9"/>
      <c r="I41" s="593">
        <f>I31</f>
        <v>2364923347</v>
      </c>
    </row>
    <row r="42" spans="1:9" s="20" customFormat="1" ht="15.75">
      <c r="A42" s="8">
        <f>'ATT H-2A'!A194</f>
        <v>115</v>
      </c>
      <c r="B42" s="37"/>
      <c r="C42" s="37"/>
      <c r="D42" s="22" t="str">
        <f>'ATT H-2A'!C194</f>
        <v>Total  Capitalization</v>
      </c>
      <c r="E42" s="31"/>
      <c r="F42" s="51"/>
      <c r="G42" s="360" t="str">
        <f>'ATT H-2A'!F194</f>
        <v>(Sum Lines 112 to 114)</v>
      </c>
      <c r="H42" s="578"/>
      <c r="I42" s="584">
        <f>I41+I40+I39</f>
        <v>4556290710</v>
      </c>
    </row>
    <row r="43" spans="1:9" s="20" customFormat="1" ht="15">
      <c r="A43" s="8"/>
      <c r="B43" s="37"/>
      <c r="C43" s="37"/>
      <c r="D43" s="22"/>
      <c r="E43" s="9"/>
      <c r="F43" s="486"/>
      <c r="G43" s="37"/>
      <c r="H43" s="497"/>
      <c r="I43" s="582"/>
    </row>
    <row r="44" spans="1:9" s="20" customFormat="1" ht="15">
      <c r="A44" s="42">
        <f>'ATT H-2A'!A196</f>
        <v>116</v>
      </c>
      <c r="B44" s="37"/>
      <c r="C44" s="37"/>
      <c r="D44" s="22" t="str">
        <f>'ATT H-2A'!C196</f>
        <v>Debt %</v>
      </c>
      <c r="E44" s="490"/>
      <c r="F44" s="44" t="str">
        <f>'ATT H-2A'!D196</f>
        <v>Total Long Term Debt</v>
      </c>
      <c r="G44" s="37" t="str">
        <f>'ATT H-2A'!F196</f>
        <v>(Line 112 / 115)</v>
      </c>
      <c r="H44" s="497"/>
      <c r="I44" s="918">
        <f>IF(I42&gt;0,I39/I42,0)</f>
        <v>0.43925365837773772</v>
      </c>
    </row>
    <row r="45" spans="1:9" s="20" customFormat="1" ht="15">
      <c r="A45" s="42">
        <f>'ATT H-2A'!A197</f>
        <v>117</v>
      </c>
      <c r="B45" s="37"/>
      <c r="C45" s="37"/>
      <c r="D45" s="22" t="str">
        <f>'ATT H-2A'!C197</f>
        <v>Preferred %</v>
      </c>
      <c r="E45" s="486"/>
      <c r="F45" s="44" t="str">
        <f>'ATT H-2A'!D197</f>
        <v>Preferred Stock</v>
      </c>
      <c r="G45" s="37" t="str">
        <f>'ATT H-2A'!F197</f>
        <v>(Line 113 / 115)</v>
      </c>
      <c r="H45" s="497"/>
      <c r="I45" s="918">
        <f>IF(I42&gt;0,I40/I42,0)</f>
        <v>4.1700587625586337E-2</v>
      </c>
    </row>
    <row r="46" spans="1:9" s="20" customFormat="1" ht="15">
      <c r="A46" s="42">
        <f>'ATT H-2A'!A198</f>
        <v>118</v>
      </c>
      <c r="B46" s="37"/>
      <c r="C46" s="37"/>
      <c r="D46" s="22" t="str">
        <f>'ATT H-2A'!C198</f>
        <v>Common %</v>
      </c>
      <c r="E46" s="486"/>
      <c r="F46" s="44" t="str">
        <f>'ATT H-2A'!D198</f>
        <v>Common Stock</v>
      </c>
      <c r="G46" s="37" t="str">
        <f>'ATT H-2A'!F198</f>
        <v>(Line 114 / 115)</v>
      </c>
      <c r="H46" s="497"/>
      <c r="I46" s="918">
        <f>IF(I42&gt;0,I41/I42,0)</f>
        <v>0.51904575399667596</v>
      </c>
    </row>
    <row r="47" spans="1:9" s="20" customFormat="1" ht="15">
      <c r="A47" s="42"/>
      <c r="B47" s="37"/>
      <c r="C47" s="37"/>
      <c r="D47" s="22"/>
      <c r="E47" s="9"/>
      <c r="F47" s="502"/>
      <c r="G47" s="37"/>
      <c r="H47" s="497"/>
      <c r="I47" s="582"/>
    </row>
    <row r="48" spans="1:9" s="20" customFormat="1" ht="15">
      <c r="A48" s="42">
        <f>'ATT H-2A'!A200</f>
        <v>119</v>
      </c>
      <c r="B48" s="37"/>
      <c r="C48" s="37"/>
      <c r="D48" s="22" t="str">
        <f>'ATT H-2A'!C200</f>
        <v>Debt Cost</v>
      </c>
      <c r="E48" s="490"/>
      <c r="F48" s="502" t="str">
        <f>'ATT H-2A'!D200</f>
        <v>Total Long Term Debt</v>
      </c>
      <c r="G48" s="37" t="str">
        <f>'ATT H-2A'!F200</f>
        <v>(Line 101 / 112)</v>
      </c>
      <c r="H48" s="497"/>
      <c r="I48" s="919">
        <f>IF(I39&gt;0,I22/I39,0)</f>
        <v>5.4167799477601454E-2</v>
      </c>
    </row>
    <row r="49" spans="1:9" s="20" customFormat="1" ht="15">
      <c r="A49" s="42">
        <f>'ATT H-2A'!A201</f>
        <v>120</v>
      </c>
      <c r="B49" s="37"/>
      <c r="C49" s="37"/>
      <c r="D49" s="22" t="str">
        <f>'ATT H-2A'!C201</f>
        <v>Preferred Cost</v>
      </c>
      <c r="E49" s="486"/>
      <c r="F49" s="502" t="str">
        <f>'ATT H-2A'!D201</f>
        <v>Preferred Stock</v>
      </c>
      <c r="G49" s="37" t="str">
        <f>'ATT H-2A'!F201</f>
        <v>(Line 102 / 113)</v>
      </c>
      <c r="H49" s="497"/>
      <c r="I49" s="919">
        <f>IF(I40&gt;0,I24/I40,0)</f>
        <v>6.9521052631578942E-2</v>
      </c>
    </row>
    <row r="50" spans="1:9" s="20" customFormat="1" ht="15">
      <c r="A50" s="42">
        <f>'ATT H-2A'!A202</f>
        <v>121</v>
      </c>
      <c r="B50" s="37"/>
      <c r="C50" s="37"/>
      <c r="D50" s="22" t="str">
        <f>'ATT H-2A'!C202</f>
        <v>Common Cost</v>
      </c>
      <c r="E50" s="24" t="s">
        <v>731</v>
      </c>
      <c r="F50" s="502" t="str">
        <f>'ATT H-2A'!D202</f>
        <v>Common Stock</v>
      </c>
      <c r="G50" s="133" t="s">
        <v>616</v>
      </c>
      <c r="H50" s="497"/>
      <c r="I50" s="920">
        <f>+'ATT H-2A'!H202+I11</f>
        <v>0.123</v>
      </c>
    </row>
    <row r="51" spans="1:9" s="20" customFormat="1" ht="15">
      <c r="A51" s="42"/>
      <c r="B51" s="37"/>
      <c r="C51" s="37"/>
      <c r="D51" s="22"/>
      <c r="E51" s="9"/>
      <c r="F51" s="502"/>
      <c r="G51" s="37"/>
      <c r="H51" s="497"/>
      <c r="I51" s="25"/>
    </row>
    <row r="52" spans="1:9" s="20" customFormat="1" ht="15">
      <c r="A52" s="42">
        <f>'ATT H-2A'!A204</f>
        <v>122</v>
      </c>
      <c r="B52" s="37"/>
      <c r="C52" s="37"/>
      <c r="D52" s="22" t="str">
        <f>'ATT H-2A'!C204</f>
        <v>Weighted Cost of Debt</v>
      </c>
      <c r="E52" s="490"/>
      <c r="F52" s="44" t="str">
        <f>'ATT H-2A'!D204</f>
        <v>Total Long Term Debt (WCLTD)</v>
      </c>
      <c r="G52" s="37" t="str">
        <f>'ATT H-2A'!F204</f>
        <v>(Line 116 * 119)</v>
      </c>
      <c r="H52" s="624"/>
      <c r="I52" s="919">
        <f>I48*I44</f>
        <v>2.3793404086808148E-2</v>
      </c>
    </row>
    <row r="53" spans="1:9" s="20" customFormat="1" ht="15">
      <c r="A53" s="42">
        <f>'ATT H-2A'!A205</f>
        <v>123</v>
      </c>
      <c r="B53" s="37"/>
      <c r="C53" s="37"/>
      <c r="D53" s="22" t="str">
        <f>'ATT H-2A'!C205</f>
        <v>Weighted Cost of Preferred</v>
      </c>
      <c r="E53" s="486"/>
      <c r="F53" s="44" t="str">
        <f>'ATT H-2A'!D205</f>
        <v>Preferred Stock</v>
      </c>
      <c r="G53" s="37" t="str">
        <f>'ATT H-2A'!F205</f>
        <v>(Line 117 * 120)</v>
      </c>
      <c r="H53" s="40"/>
      <c r="I53" s="919">
        <f>I49*I45</f>
        <v>2.8990687470861571E-3</v>
      </c>
    </row>
    <row r="54" spans="1:9" s="20" customFormat="1" ht="15">
      <c r="A54" s="42">
        <f>'ATT H-2A'!A206</f>
        <v>124</v>
      </c>
      <c r="B54" s="37"/>
      <c r="C54" s="37"/>
      <c r="D54" s="55" t="str">
        <f>'ATT H-2A'!C206</f>
        <v>Weighted Cost of Common</v>
      </c>
      <c r="E54" s="488"/>
      <c r="F54" s="55" t="str">
        <f>'ATT H-2A'!D206</f>
        <v>Common Stock</v>
      </c>
      <c r="G54" s="361" t="str">
        <f>'ATT H-2A'!F206</f>
        <v>(Line 118 * 121)</v>
      </c>
      <c r="H54" s="625"/>
      <c r="I54" s="626">
        <f>I50*I46</f>
        <v>6.3842627741591149E-2</v>
      </c>
    </row>
    <row r="55" spans="1:9" s="20" customFormat="1" ht="15.75">
      <c r="A55" s="8">
        <f>'ATT H-2A'!A207</f>
        <v>125</v>
      </c>
      <c r="B55" s="37"/>
      <c r="C55" s="37" t="str">
        <f>'ATT H-2A'!B207</f>
        <v>Total Return ( R )</v>
      </c>
      <c r="D55" s="37"/>
      <c r="E55" s="77"/>
      <c r="F55" s="47"/>
      <c r="G55" s="362" t="str">
        <f>'ATT H-2A'!F207</f>
        <v>(Sum Lines 122 to 124)</v>
      </c>
      <c r="H55" s="49"/>
      <c r="I55" s="41">
        <f>SUM(I52:I54)</f>
        <v>9.0535100575485458E-2</v>
      </c>
    </row>
    <row r="56" spans="1:9" s="20" customFormat="1" ht="15.75">
      <c r="A56" s="3"/>
      <c r="B56" s="37"/>
      <c r="C56" s="37"/>
      <c r="D56" s="37"/>
      <c r="E56" s="77"/>
      <c r="F56" s="47"/>
      <c r="G56" s="362"/>
      <c r="H56" s="49"/>
      <c r="I56" s="41"/>
    </row>
    <row r="57" spans="1:9" s="20" customFormat="1" ht="16.5" thickBot="1">
      <c r="A57" s="8">
        <f>'ATT H-2A'!A209</f>
        <v>126</v>
      </c>
      <c r="B57" s="37"/>
      <c r="C57" s="37" t="str">
        <f>'ATT H-2A'!B209</f>
        <v>Investment Return = Rate Base * Rate of Return</v>
      </c>
      <c r="D57" s="37"/>
      <c r="E57" s="63"/>
      <c r="F57" s="65"/>
      <c r="G57" s="363" t="str">
        <f>'ATT H-2A'!F209</f>
        <v>(Line 59 * 125)</v>
      </c>
      <c r="H57" s="67"/>
      <c r="I57" s="15">
        <f>+I55*I16</f>
        <v>54331807.517267674</v>
      </c>
    </row>
    <row r="58" spans="1:9" s="20" customFormat="1" ht="15.75" thickTop="1">
      <c r="A58" s="8"/>
      <c r="B58" s="8"/>
      <c r="C58" s="8"/>
      <c r="D58" s="486"/>
      <c r="E58" s="9"/>
      <c r="F58" s="52"/>
      <c r="G58" s="497"/>
      <c r="H58" s="497"/>
      <c r="I58" s="622"/>
    </row>
    <row r="59" spans="1:9" s="435" customFormat="1" ht="15">
      <c r="A59" s="552" t="s">
        <v>521</v>
      </c>
      <c r="B59" s="552"/>
      <c r="C59" s="436"/>
      <c r="D59" s="494"/>
      <c r="E59" s="436"/>
      <c r="F59" s="608"/>
      <c r="I59" s="437"/>
    </row>
    <row r="60" spans="1:9" s="20" customFormat="1" ht="15.75">
      <c r="A60" s="24"/>
      <c r="B60" s="24"/>
      <c r="C60" s="8"/>
      <c r="D60" s="7"/>
      <c r="E60" s="25"/>
      <c r="F60" s="419"/>
      <c r="G60" s="9"/>
      <c r="H60" s="9"/>
      <c r="I60" s="12"/>
    </row>
    <row r="61" spans="1:9" s="20" customFormat="1" ht="15.75">
      <c r="A61" s="8" t="s">
        <v>45</v>
      </c>
      <c r="B61" s="8"/>
      <c r="C61" s="81" t="s">
        <v>178</v>
      </c>
      <c r="D61" s="9"/>
      <c r="E61" s="9"/>
      <c r="F61" s="419"/>
      <c r="G61" s="497"/>
      <c r="H61" s="627"/>
      <c r="I61" s="25"/>
    </row>
    <row r="62" spans="1:9" s="20" customFormat="1" ht="15">
      <c r="A62" s="8">
        <f>+A57+1</f>
        <v>127</v>
      </c>
      <c r="B62" s="52"/>
      <c r="C62" s="8"/>
      <c r="D62" s="9" t="s">
        <v>176</v>
      </c>
      <c r="E62" s="9"/>
      <c r="F62" s="52"/>
      <c r="G62" s="432">
        <f>+'ATT H-2A'!F214</f>
        <v>0</v>
      </c>
      <c r="H62" s="503"/>
      <c r="I62" s="630">
        <f>+'ATT H-2A'!H214</f>
        <v>0.35</v>
      </c>
    </row>
    <row r="63" spans="1:9" s="20" customFormat="1" ht="15">
      <c r="A63" s="8">
        <f>+A62+1</f>
        <v>128</v>
      </c>
      <c r="B63" s="52"/>
      <c r="C63" s="8"/>
      <c r="D63" s="503" t="s">
        <v>175</v>
      </c>
      <c r="E63" s="629"/>
      <c r="F63" s="52"/>
      <c r="G63" s="432">
        <f>+'ATT H-2A'!F215</f>
        <v>0</v>
      </c>
      <c r="H63" s="503"/>
      <c r="I63" s="630">
        <f>+'ATT H-2A'!H215</f>
        <v>8.2500000000000004E-2</v>
      </c>
    </row>
    <row r="64" spans="1:9" s="20" customFormat="1" ht="15">
      <c r="A64" s="8">
        <f>+A63+1</f>
        <v>129</v>
      </c>
      <c r="B64" s="52"/>
      <c r="C64" s="8"/>
      <c r="D64" s="503" t="s">
        <v>402</v>
      </c>
      <c r="E64" s="503"/>
      <c r="F64" s="52"/>
      <c r="G64" s="432" t="str">
        <f>+'ATT H-2A'!F216</f>
        <v>Per State Tax Code</v>
      </c>
      <c r="H64" s="503"/>
      <c r="I64" s="630">
        <f>+'ATT H-2A'!H216</f>
        <v>0</v>
      </c>
    </row>
    <row r="65" spans="1:9" s="20" customFormat="1" ht="15">
      <c r="A65" s="8">
        <f>+A64+1</f>
        <v>130</v>
      </c>
      <c r="B65" s="52"/>
      <c r="C65" s="8"/>
      <c r="D65" s="503" t="s">
        <v>254</v>
      </c>
      <c r="E65" s="504" t="s">
        <v>272</v>
      </c>
      <c r="F65" s="52"/>
      <c r="H65" s="503"/>
      <c r="I65" s="32">
        <f>IF(I62&gt;0,1-(((1-I63)*(1-I62))/(1-I63*I62*I64)),0)</f>
        <v>0.40362500000000001</v>
      </c>
    </row>
    <row r="66" spans="1:9" s="20" customFormat="1" ht="15">
      <c r="A66" s="8">
        <f>+A65+1</f>
        <v>131</v>
      </c>
      <c r="B66" s="52"/>
      <c r="C66" s="8"/>
      <c r="D66" s="503" t="s">
        <v>241</v>
      </c>
      <c r="E66" s="629"/>
      <c r="F66" s="52"/>
      <c r="G66" s="9"/>
      <c r="H66" s="503"/>
      <c r="I66" s="630">
        <f>+I65/(1-I65)</f>
        <v>0.67679731712429259</v>
      </c>
    </row>
    <row r="67" spans="1:9" s="20" customFormat="1" ht="15">
      <c r="A67" s="8"/>
      <c r="B67" s="8"/>
      <c r="C67" s="8"/>
      <c r="D67" s="9"/>
      <c r="E67" s="9"/>
      <c r="F67" s="590"/>
      <c r="G67" s="504"/>
      <c r="H67" s="627"/>
      <c r="I67" s="32"/>
    </row>
    <row r="68" spans="1:9" s="20" customFormat="1" ht="15.75">
      <c r="A68" s="8"/>
      <c r="B68" s="8"/>
      <c r="C68" s="81" t="s">
        <v>173</v>
      </c>
      <c r="D68" s="486"/>
      <c r="E68" s="9"/>
      <c r="F68" s="419"/>
      <c r="G68" s="497"/>
      <c r="H68" s="627"/>
      <c r="I68" s="632"/>
    </row>
    <row r="69" spans="1:9" s="20" customFormat="1" ht="15">
      <c r="A69" s="8">
        <f>+A66+1</f>
        <v>132</v>
      </c>
      <c r="B69" s="52"/>
      <c r="C69" s="8"/>
      <c r="D69" s="486" t="s">
        <v>230</v>
      </c>
      <c r="E69" s="9"/>
      <c r="F69" s="582" t="s">
        <v>251</v>
      </c>
      <c r="G69" s="432" t="str">
        <f>+'ATT H-2A'!F221</f>
        <v xml:space="preserve">p266.17f </v>
      </c>
      <c r="H69" s="627"/>
      <c r="I69" s="498">
        <f>+'ATT H-2A'!H221</f>
        <v>-589712</v>
      </c>
    </row>
    <row r="70" spans="1:9" s="20" customFormat="1" ht="15">
      <c r="A70" s="8">
        <f>+A69+1</f>
        <v>133</v>
      </c>
      <c r="B70" s="52"/>
      <c r="C70" s="8"/>
      <c r="D70" s="486" t="s">
        <v>240</v>
      </c>
      <c r="E70" s="9"/>
      <c r="F70" s="8"/>
      <c r="G70" s="432" t="str">
        <f>+'ATT H-2A'!F222</f>
        <v>(Line 131)</v>
      </c>
      <c r="H70" s="627"/>
      <c r="I70" s="632">
        <f>+I66</f>
        <v>0.67679731712429259</v>
      </c>
    </row>
    <row r="71" spans="1:9" s="20" customFormat="1" ht="15">
      <c r="A71" s="8">
        <f>+A70+1</f>
        <v>134</v>
      </c>
      <c r="B71" s="52"/>
      <c r="C71" s="43"/>
      <c r="D71" s="100" t="s">
        <v>162</v>
      </c>
      <c r="E71" s="54"/>
      <c r="F71" s="106"/>
      <c r="G71" s="433" t="str">
        <f>+'ATT H-2A'!F223</f>
        <v>(Line 18)</v>
      </c>
      <c r="H71" s="633"/>
      <c r="I71" s="78">
        <f>+'ATT H-2A'!H35</f>
        <v>0.17865538468265896</v>
      </c>
    </row>
    <row r="72" spans="1:9" s="20" customFormat="1" ht="15.75">
      <c r="A72" s="8">
        <f>+A71+1</f>
        <v>135</v>
      </c>
      <c r="B72" s="52"/>
      <c r="C72" s="8"/>
      <c r="D72" s="85" t="s">
        <v>174</v>
      </c>
      <c r="E72" s="28"/>
      <c r="F72" s="131" t="s">
        <v>271</v>
      </c>
      <c r="G72" s="446" t="str">
        <f>+'ATT H-2A'!F224</f>
        <v>[Line 129 * (1 + Line 130) * Line 131]</v>
      </c>
      <c r="H72" s="598"/>
      <c r="I72" s="921">
        <f>+I69*(1+I70)*I71</f>
        <v>-176659.35730367669</v>
      </c>
    </row>
    <row r="73" spans="1:9" s="20" customFormat="1" ht="15.75">
      <c r="A73" s="8"/>
      <c r="B73" s="8"/>
      <c r="C73" s="8"/>
      <c r="D73" s="104"/>
      <c r="E73" s="45"/>
      <c r="F73" s="143"/>
      <c r="G73" s="142"/>
      <c r="H73" s="633"/>
      <c r="I73" s="635"/>
    </row>
    <row r="74" spans="1:9" s="20" customFormat="1" ht="15.75">
      <c r="A74" s="8"/>
      <c r="B74" s="8"/>
      <c r="C74" s="8"/>
      <c r="D74" s="104"/>
      <c r="E74" s="45"/>
      <c r="F74" s="143"/>
      <c r="G74" s="142"/>
      <c r="H74" s="633"/>
      <c r="I74" s="636"/>
    </row>
    <row r="75" spans="1:9" s="20" customFormat="1" ht="15.75">
      <c r="A75" s="8"/>
      <c r="B75" s="8"/>
      <c r="C75" s="8"/>
      <c r="D75" s="9"/>
      <c r="E75" s="9"/>
      <c r="F75" s="590"/>
      <c r="G75" s="504"/>
      <c r="H75" s="627"/>
      <c r="I75" s="141"/>
    </row>
    <row r="76" spans="1:9" s="20" customFormat="1" ht="15.75">
      <c r="A76" s="8">
        <f>+A72+1</f>
        <v>136</v>
      </c>
      <c r="B76" s="52"/>
      <c r="C76" s="1" t="s">
        <v>208</v>
      </c>
      <c r="E76" s="9" t="s">
        <v>214</v>
      </c>
      <c r="F76" s="419"/>
      <c r="G76" s="587"/>
      <c r="H76" s="9"/>
      <c r="I76" s="922">
        <f>+I66*(1-I52/I55)*I57</f>
        <v>27107722.751736842</v>
      </c>
    </row>
    <row r="77" spans="1:9" s="20" customFormat="1" ht="15">
      <c r="A77" s="8"/>
      <c r="B77" s="8"/>
      <c r="C77" s="8"/>
      <c r="D77" s="44"/>
      <c r="E77" s="45"/>
      <c r="F77" s="119"/>
      <c r="G77" s="587"/>
      <c r="H77" s="633"/>
      <c r="I77" s="594"/>
    </row>
    <row r="78" spans="1:9" s="20" customFormat="1" ht="16.5" thickBot="1">
      <c r="A78" s="8">
        <f>+A76+1</f>
        <v>137</v>
      </c>
      <c r="B78" s="52"/>
      <c r="C78" s="66" t="s">
        <v>12</v>
      </c>
      <c r="D78" s="66"/>
      <c r="E78" s="63"/>
      <c r="F78" s="112"/>
      <c r="G78" s="15"/>
      <c r="H78" s="80"/>
      <c r="I78" s="105">
        <f>+I76+I72</f>
        <v>26931063.394433167</v>
      </c>
    </row>
    <row r="79" spans="1:9" s="20" customFormat="1" ht="15.75" thickTop="1">
      <c r="A79" s="8"/>
      <c r="B79" s="8"/>
      <c r="C79" s="8"/>
      <c r="D79" s="504"/>
      <c r="E79" s="9"/>
      <c r="F79" s="52"/>
      <c r="G79" s="597"/>
      <c r="H79" s="637"/>
      <c r="I79" s="638"/>
    </row>
    <row r="80" spans="1:9" s="20" customFormat="1" ht="15"/>
    <row r="309" spans="1:6">
      <c r="A309" s="527"/>
      <c r="B309" s="527"/>
      <c r="C309" s="527"/>
      <c r="D309" s="527"/>
      <c r="E309" s="527"/>
      <c r="F309" s="527"/>
    </row>
    <row r="310" spans="1:6">
      <c r="A310" s="527"/>
      <c r="B310" s="527"/>
      <c r="C310" s="527"/>
      <c r="D310" s="527"/>
      <c r="E310" s="527"/>
      <c r="F310" s="527"/>
    </row>
    <row r="311" spans="1:6">
      <c r="A311" s="527"/>
      <c r="B311" s="527"/>
      <c r="C311" s="527"/>
      <c r="D311" s="527"/>
      <c r="E311" s="527"/>
      <c r="F311" s="527"/>
    </row>
    <row r="312" spans="1:6">
      <c r="A312" s="527"/>
      <c r="B312" s="527"/>
      <c r="C312" s="527"/>
      <c r="D312" s="527"/>
      <c r="E312" s="527"/>
      <c r="F312" s="527"/>
    </row>
    <row r="313" spans="1:6">
      <c r="A313" s="527"/>
      <c r="B313" s="527"/>
      <c r="C313" s="527"/>
      <c r="D313" s="527"/>
      <c r="E313" s="527"/>
      <c r="F313" s="527"/>
    </row>
    <row r="314" spans="1:6">
      <c r="A314" s="527"/>
      <c r="B314" s="527"/>
      <c r="C314" s="527"/>
      <c r="D314" s="527"/>
      <c r="E314" s="527"/>
      <c r="F314" s="527"/>
    </row>
    <row r="315" spans="1:6">
      <c r="A315" s="527"/>
      <c r="B315" s="527"/>
      <c r="C315" s="527"/>
      <c r="D315" s="527"/>
      <c r="E315" s="527"/>
      <c r="F315" s="527"/>
    </row>
    <row r="316" spans="1:6">
      <c r="A316" s="527"/>
      <c r="B316" s="527"/>
      <c r="C316" s="527"/>
      <c r="D316" s="527"/>
      <c r="E316" s="527"/>
      <c r="F316" s="527"/>
    </row>
    <row r="317" spans="1:6">
      <c r="A317" s="527"/>
      <c r="B317" s="527"/>
      <c r="C317" s="527"/>
      <c r="D317" s="527"/>
      <c r="E317" s="527"/>
      <c r="F317" s="527"/>
    </row>
    <row r="318" spans="1:6">
      <c r="C318" s="527"/>
    </row>
    <row r="319" spans="1:6">
      <c r="C319" s="527"/>
    </row>
    <row r="320" spans="1:6">
      <c r="C320" s="527"/>
    </row>
    <row r="321" spans="3:3">
      <c r="C321" s="527"/>
    </row>
    <row r="322" spans="3:3">
      <c r="C322" s="527"/>
    </row>
    <row r="323" spans="3:3">
      <c r="C323" s="527"/>
    </row>
    <row r="324" spans="3:3">
      <c r="C324" s="527"/>
    </row>
    <row r="325" spans="3:3">
      <c r="C325" s="527"/>
    </row>
    <row r="326" spans="3:3">
      <c r="C326" s="527"/>
    </row>
  </sheetData>
  <mergeCells count="2">
    <mergeCell ref="A3:G3"/>
    <mergeCell ref="A1:G1"/>
  </mergeCells>
  <phoneticPr fontId="0" type="noConversion"/>
  <printOptions horizontalCentered="1"/>
  <pageMargins left="0.75" right="0.75" top="1" bottom="0.75" header="0.5" footer="0.5"/>
  <pageSetup scale="53" orientation="portrait" r:id="rId1"/>
  <headerFooter alignWithMargins="0">
    <oddHeader>&amp;R&amp;"Arial,Bold"&amp;16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14"/>
  <sheetViews>
    <sheetView view="pageBreakPreview" topLeftCell="A20" zoomScaleNormal="100" workbookViewId="0">
      <selection activeCell="G36" sqref="G36"/>
    </sheetView>
  </sheetViews>
  <sheetFormatPr defaultRowHeight="12.75"/>
  <cols>
    <col min="1" max="1" width="15.140625" customWidth="1"/>
    <col min="2" max="2" width="13" style="145" customWidth="1"/>
    <col min="3" max="3" width="13.42578125" customWidth="1"/>
    <col min="4" max="4" width="10.5703125" bestFit="1" customWidth="1"/>
    <col min="5" max="5" width="9.85546875" bestFit="1" customWidth="1"/>
    <col min="6" max="6" width="9" style="169" bestFit="1" customWidth="1"/>
    <col min="7" max="7" width="10.42578125" bestFit="1" customWidth="1"/>
    <col min="8" max="8" width="10.5703125" bestFit="1" customWidth="1"/>
    <col min="9" max="9" width="9.85546875" bestFit="1" customWidth="1"/>
    <col min="10" max="10" width="9" style="169" bestFit="1" customWidth="1"/>
    <col min="11" max="11" width="10.42578125" bestFit="1" customWidth="1"/>
    <col min="12" max="12" width="10.5703125" bestFit="1" customWidth="1"/>
    <col min="13" max="13" width="9.85546875" bestFit="1" customWidth="1"/>
    <col min="14" max="14" width="9" bestFit="1" customWidth="1"/>
    <col min="15" max="15" width="12" hidden="1" customWidth="1"/>
    <col min="16" max="16" width="12.5703125" hidden="1" customWidth="1"/>
    <col min="17" max="17" width="11.28515625" hidden="1" customWidth="1"/>
    <col min="18" max="18" width="10.28515625" hidden="1" customWidth="1"/>
    <col min="19" max="19" width="12" hidden="1" customWidth="1"/>
    <col min="20" max="20" width="12.5703125" hidden="1" customWidth="1"/>
    <col min="21" max="21" width="11.28515625" hidden="1" customWidth="1"/>
    <col min="22" max="22" width="10.28515625" hidden="1" customWidth="1"/>
    <col min="23" max="23" width="12" hidden="1" customWidth="1"/>
    <col min="24" max="24" width="12.5703125" hidden="1" customWidth="1"/>
    <col min="25" max="25" width="11.28515625" hidden="1" customWidth="1"/>
    <col min="26" max="26" width="10.28515625" hidden="1" customWidth="1"/>
    <col min="27" max="27" width="12" hidden="1" customWidth="1"/>
    <col min="28" max="28" width="12.5703125" hidden="1" customWidth="1"/>
    <col min="29" max="29" width="11.28515625" hidden="1" customWidth="1"/>
    <col min="30" max="30" width="10.28515625" hidden="1" customWidth="1"/>
    <col min="31" max="31" width="12" hidden="1" customWidth="1"/>
    <col min="32" max="32" width="12.5703125" hidden="1" customWidth="1"/>
    <col min="33" max="33" width="11.28515625" hidden="1" customWidth="1"/>
    <col min="34" max="34" width="10.28515625" hidden="1" customWidth="1"/>
    <col min="35" max="35" width="12" hidden="1" customWidth="1"/>
    <col min="36" max="36" width="12.5703125" hidden="1" customWidth="1"/>
    <col min="37" max="37" width="11.28515625" hidden="1" customWidth="1"/>
    <col min="38" max="38" width="10.28515625" hidden="1" customWidth="1"/>
    <col min="39" max="39" width="13.7109375" bestFit="1" customWidth="1"/>
    <col min="40" max="40" width="15" bestFit="1" customWidth="1"/>
    <col min="41" max="41" width="12.5703125" bestFit="1" customWidth="1"/>
  </cols>
  <sheetData>
    <row r="1" spans="1:41">
      <c r="A1" s="1058" t="s">
        <v>505</v>
      </c>
      <c r="B1" s="1058"/>
      <c r="C1" s="1058"/>
      <c r="D1" s="1058"/>
      <c r="E1" s="1058"/>
      <c r="F1" s="1058"/>
      <c r="G1" s="1058"/>
      <c r="H1" s="1058"/>
      <c r="I1" s="1058"/>
      <c r="J1" s="1058"/>
      <c r="K1" s="1058"/>
      <c r="L1" s="1058"/>
      <c r="M1" s="1058"/>
      <c r="N1" s="1058"/>
      <c r="O1" s="1058"/>
      <c r="P1" s="1058"/>
      <c r="Q1" s="1058"/>
      <c r="R1" s="1058"/>
      <c r="S1" s="1058"/>
      <c r="T1" s="1058"/>
      <c r="U1" s="1058"/>
      <c r="V1" s="1058"/>
      <c r="W1" s="1058"/>
      <c r="X1" s="1058"/>
      <c r="Y1" s="1058"/>
      <c r="Z1" s="1058"/>
      <c r="AA1" s="1058"/>
      <c r="AB1" s="1058"/>
      <c r="AC1" s="1058"/>
      <c r="AD1" s="1058"/>
      <c r="AE1" s="1058"/>
      <c r="AF1" s="1058"/>
      <c r="AG1" s="1058"/>
      <c r="AH1" s="1058"/>
      <c r="AI1" s="1058"/>
      <c r="AJ1" s="1058"/>
      <c r="AK1" s="1058"/>
      <c r="AL1" s="1058"/>
      <c r="AM1" s="1058"/>
      <c r="AN1" s="1058"/>
      <c r="AO1" s="1058"/>
    </row>
    <row r="3" spans="1:41">
      <c r="A3" s="155" t="s">
        <v>504</v>
      </c>
    </row>
    <row r="6" spans="1:41">
      <c r="A6" t="s">
        <v>388</v>
      </c>
    </row>
    <row r="8" spans="1:41">
      <c r="A8" s="179" t="s">
        <v>352</v>
      </c>
    </row>
    <row r="9" spans="1:41">
      <c r="A9" s="179"/>
      <c r="B9" s="145" t="s">
        <v>386</v>
      </c>
    </row>
    <row r="10" spans="1:41">
      <c r="A10" s="145" t="s">
        <v>47</v>
      </c>
      <c r="B10" s="145">
        <f>+'ATT H-2A'!A265</f>
        <v>159</v>
      </c>
      <c r="C10" s="2" t="str">
        <f>+'ATT H-2A'!C265</f>
        <v>Net Plant Carrying Charge without Depreciation</v>
      </c>
      <c r="D10" s="2"/>
      <c r="F10" s="177"/>
      <c r="L10" s="178" t="e">
        <f>+'ATT H-2A'!#REF!</f>
        <v>#REF!</v>
      </c>
    </row>
    <row r="11" spans="1:41">
      <c r="A11" s="145" t="s">
        <v>223</v>
      </c>
      <c r="B11" s="145">
        <f>+'ATT H-2A'!A275</f>
        <v>166</v>
      </c>
      <c r="C11" s="2" t="str">
        <f>+'ATT H-2A'!C275</f>
        <v>Net Plant Carrying Charge per 100 basis point increase in ROE without Depreciation</v>
      </c>
      <c r="D11" s="2"/>
      <c r="F11" s="177"/>
      <c r="L11" s="178" t="e">
        <f>+'ATT H-2A'!#REF!</f>
        <v>#REF!</v>
      </c>
    </row>
    <row r="12" spans="1:41">
      <c r="A12" s="145" t="s">
        <v>19</v>
      </c>
      <c r="C12" t="s">
        <v>354</v>
      </c>
      <c r="F12" s="177"/>
      <c r="L12" s="178" t="e">
        <f>+L11-L10</f>
        <v>#REF!</v>
      </c>
    </row>
    <row r="13" spans="1:41">
      <c r="F13" s="177"/>
      <c r="L13" s="178"/>
    </row>
    <row r="14" spans="1:41">
      <c r="A14" s="179" t="s">
        <v>351</v>
      </c>
      <c r="F14" s="177"/>
      <c r="L14" s="178"/>
    </row>
    <row r="15" spans="1:41">
      <c r="A15" s="179"/>
      <c r="F15" s="177"/>
      <c r="L15" s="178"/>
    </row>
    <row r="16" spans="1:41">
      <c r="A16" s="145" t="s">
        <v>48</v>
      </c>
      <c r="B16" s="145">
        <f>+'ATT H-2A'!A266</f>
        <v>160</v>
      </c>
      <c r="C16" s="2" t="str">
        <f>+'ATT H-2A'!C266</f>
        <v>Net Plant Carrying Charge without Depreciation, Return, nor Income Taxes</v>
      </c>
      <c r="D16" s="2"/>
      <c r="F16" s="177"/>
      <c r="L16" s="178" t="e">
        <f>+'ATT H-2A'!#REF!</f>
        <v>#REF!</v>
      </c>
    </row>
    <row r="18" spans="1:41">
      <c r="A18" s="155" t="s">
        <v>524</v>
      </c>
    </row>
    <row r="19" spans="1:41">
      <c r="A19" s="155" t="s">
        <v>525</v>
      </c>
    </row>
    <row r="20" spans="1:41" ht="13.5" thickBot="1"/>
    <row r="21" spans="1:41">
      <c r="A21" s="367" t="s">
        <v>345</v>
      </c>
      <c r="B21" s="368"/>
      <c r="C21" s="369" t="s">
        <v>342</v>
      </c>
      <c r="D21" s="370" t="str">
        <f>+C21</f>
        <v>Project A</v>
      </c>
      <c r="E21" s="370" t="str">
        <f>+D21</f>
        <v>Project A</v>
      </c>
      <c r="F21" s="371" t="str">
        <f>+E21</f>
        <v>Project A</v>
      </c>
      <c r="G21" s="369" t="s">
        <v>374</v>
      </c>
      <c r="H21" s="370" t="s">
        <v>374</v>
      </c>
      <c r="I21" s="370" t="s">
        <v>374</v>
      </c>
      <c r="J21" s="371" t="s">
        <v>374</v>
      </c>
      <c r="K21" s="369" t="s">
        <v>375</v>
      </c>
      <c r="L21" s="370" t="str">
        <f>+K21</f>
        <v>Project C</v>
      </c>
      <c r="M21" s="370" t="str">
        <f>+L21</f>
        <v>Project C</v>
      </c>
      <c r="N21" s="372" t="str">
        <f>+M21</f>
        <v>Project C</v>
      </c>
      <c r="O21" s="369" t="s">
        <v>376</v>
      </c>
      <c r="P21" s="370" t="str">
        <f>+O21</f>
        <v>Project D</v>
      </c>
      <c r="Q21" s="370" t="str">
        <f>+P21</f>
        <v>Project D</v>
      </c>
      <c r="R21" s="372" t="str">
        <f>+Q21</f>
        <v>Project D</v>
      </c>
      <c r="S21" s="369" t="s">
        <v>377</v>
      </c>
      <c r="T21" s="370" t="str">
        <f>+S21</f>
        <v>Project E</v>
      </c>
      <c r="U21" s="370" t="str">
        <f>+T21</f>
        <v>Project E</v>
      </c>
      <c r="V21" s="372" t="str">
        <f>+U21</f>
        <v>Project E</v>
      </c>
      <c r="W21" s="369" t="s">
        <v>378</v>
      </c>
      <c r="X21" s="370" t="str">
        <f>+W21</f>
        <v>Project F</v>
      </c>
      <c r="Y21" s="370" t="str">
        <f>+X21</f>
        <v>Project F</v>
      </c>
      <c r="Z21" s="372" t="str">
        <f>+Y21</f>
        <v>Project F</v>
      </c>
      <c r="AA21" s="369" t="s">
        <v>379</v>
      </c>
      <c r="AB21" s="370" t="str">
        <f>+AA21</f>
        <v>Project G</v>
      </c>
      <c r="AC21" s="370" t="str">
        <f>+AB21</f>
        <v>Project G</v>
      </c>
      <c r="AD21" s="372" t="str">
        <f>+AC21</f>
        <v>Project G</v>
      </c>
      <c r="AE21" s="369" t="s">
        <v>380</v>
      </c>
      <c r="AF21" s="370" t="str">
        <f>+AE21</f>
        <v>Project H</v>
      </c>
      <c r="AG21" s="370" t="str">
        <f>+AF21</f>
        <v>Project H</v>
      </c>
      <c r="AH21" s="372" t="str">
        <f>+AG21</f>
        <v>Project H</v>
      </c>
      <c r="AI21" s="369" t="s">
        <v>381</v>
      </c>
      <c r="AJ21" s="370" t="str">
        <f>+AI21</f>
        <v>Project I</v>
      </c>
      <c r="AK21" s="370" t="str">
        <f>+AJ21</f>
        <v>Project I</v>
      </c>
      <c r="AL21" s="372" t="str">
        <f>+AK21</f>
        <v>Project I</v>
      </c>
      <c r="AM21" s="415"/>
      <c r="AN21" s="150"/>
      <c r="AO21" s="150"/>
    </row>
    <row r="22" spans="1:41">
      <c r="A22" s="339" t="s">
        <v>343</v>
      </c>
      <c r="B22" s="373"/>
      <c r="C22" s="374">
        <v>30</v>
      </c>
      <c r="D22" s="373"/>
      <c r="E22" s="373"/>
      <c r="F22" s="375"/>
      <c r="G22" s="374">
        <v>35</v>
      </c>
      <c r="H22" s="373"/>
      <c r="I22" s="373"/>
      <c r="J22" s="375"/>
      <c r="K22" s="374">
        <v>40</v>
      </c>
      <c r="L22" s="373"/>
      <c r="M22" s="373"/>
      <c r="N22" s="376"/>
      <c r="O22" s="374">
        <v>40</v>
      </c>
      <c r="P22" s="373"/>
      <c r="Q22" s="373"/>
      <c r="R22" s="376"/>
      <c r="S22" s="374">
        <v>40</v>
      </c>
      <c r="T22" s="373"/>
      <c r="U22" s="373"/>
      <c r="V22" s="376"/>
      <c r="W22" s="374">
        <v>40</v>
      </c>
      <c r="X22" s="373"/>
      <c r="Y22" s="373"/>
      <c r="Z22" s="376"/>
      <c r="AA22" s="374">
        <v>35</v>
      </c>
      <c r="AB22" s="373"/>
      <c r="AC22" s="373"/>
      <c r="AD22" s="376"/>
      <c r="AE22" s="374">
        <v>25</v>
      </c>
      <c r="AF22" s="373"/>
      <c r="AG22" s="373"/>
      <c r="AH22" s="376"/>
      <c r="AI22" s="374">
        <v>30</v>
      </c>
      <c r="AJ22" s="373"/>
      <c r="AK22" s="373"/>
      <c r="AL22" s="376"/>
      <c r="AM22" s="337"/>
      <c r="AN22" s="150"/>
      <c r="AO22" s="150"/>
    </row>
    <row r="23" spans="1:41">
      <c r="A23" s="339" t="s">
        <v>344</v>
      </c>
      <c r="B23" s="373"/>
      <c r="C23" s="374" t="s">
        <v>348</v>
      </c>
      <c r="D23" s="373"/>
      <c r="E23" s="373"/>
      <c r="F23" s="375"/>
      <c r="G23" s="374" t="s">
        <v>348</v>
      </c>
      <c r="H23" s="373"/>
      <c r="I23" s="373"/>
      <c r="J23" s="375"/>
      <c r="K23" s="374" t="s">
        <v>349</v>
      </c>
      <c r="L23" s="373"/>
      <c r="M23" s="373"/>
      <c r="N23" s="376"/>
      <c r="O23" s="374" t="s">
        <v>348</v>
      </c>
      <c r="P23" s="373"/>
      <c r="Q23" s="373"/>
      <c r="R23" s="376"/>
      <c r="S23" s="374" t="s">
        <v>348</v>
      </c>
      <c r="T23" s="373"/>
      <c r="U23" s="373"/>
      <c r="V23" s="376"/>
      <c r="W23" s="374" t="s">
        <v>348</v>
      </c>
      <c r="X23" s="373"/>
      <c r="Y23" s="373"/>
      <c r="Z23" s="376"/>
      <c r="AA23" s="374" t="s">
        <v>349</v>
      </c>
      <c r="AB23" s="373"/>
      <c r="AC23" s="373"/>
      <c r="AD23" s="376"/>
      <c r="AE23" s="374" t="s">
        <v>349</v>
      </c>
      <c r="AF23" s="373"/>
      <c r="AG23" s="373"/>
      <c r="AH23" s="376"/>
      <c r="AI23" s="374" t="s">
        <v>348</v>
      </c>
      <c r="AJ23" s="373"/>
      <c r="AK23" s="373"/>
      <c r="AL23" s="376"/>
      <c r="AM23" s="337"/>
      <c r="AN23" s="150"/>
      <c r="AO23" s="150"/>
    </row>
    <row r="24" spans="1:41">
      <c r="A24" s="339" t="s">
        <v>347</v>
      </c>
      <c r="B24" s="373"/>
      <c r="C24" s="374">
        <v>50</v>
      </c>
      <c r="D24" s="373"/>
      <c r="E24" s="373"/>
      <c r="F24" s="375"/>
      <c r="G24" s="374">
        <v>0</v>
      </c>
      <c r="H24" s="373"/>
      <c r="I24" s="373"/>
      <c r="J24" s="375"/>
      <c r="K24" s="374">
        <v>100</v>
      </c>
      <c r="L24" s="373"/>
      <c r="M24" s="373"/>
      <c r="N24" s="376"/>
      <c r="O24" s="374">
        <v>150</v>
      </c>
      <c r="P24" s="373"/>
      <c r="Q24" s="373"/>
      <c r="R24" s="376"/>
      <c r="S24" s="374">
        <v>100</v>
      </c>
      <c r="T24" s="373"/>
      <c r="U24" s="373"/>
      <c r="V24" s="376"/>
      <c r="W24" s="374">
        <v>50</v>
      </c>
      <c r="X24" s="373"/>
      <c r="Y24" s="373"/>
      <c r="Z24" s="376"/>
      <c r="AA24" s="374">
        <v>100</v>
      </c>
      <c r="AB24" s="373"/>
      <c r="AC24" s="373"/>
      <c r="AD24" s="376"/>
      <c r="AE24" s="374">
        <v>150</v>
      </c>
      <c r="AF24" s="373"/>
      <c r="AG24" s="373"/>
      <c r="AH24" s="376"/>
      <c r="AI24" s="374">
        <v>50</v>
      </c>
      <c r="AJ24" s="373"/>
      <c r="AK24" s="373"/>
      <c r="AL24" s="376"/>
      <c r="AM24" s="337"/>
      <c r="AN24" s="150"/>
      <c r="AO24" s="150"/>
    </row>
    <row r="25" spans="1:41">
      <c r="A25" s="339" t="s">
        <v>369</v>
      </c>
      <c r="B25" s="373"/>
      <c r="C25" s="339" t="e">
        <f>+$L10</f>
        <v>#REF!</v>
      </c>
      <c r="D25" s="152"/>
      <c r="E25" s="152"/>
      <c r="F25" s="377"/>
      <c r="G25" s="339" t="e">
        <f>+$L10</f>
        <v>#REF!</v>
      </c>
      <c r="H25" s="152"/>
      <c r="I25" s="152"/>
      <c r="J25" s="377"/>
      <c r="K25" s="374" t="e">
        <f>$L16</f>
        <v>#REF!</v>
      </c>
      <c r="L25" s="373"/>
      <c r="M25" s="373"/>
      <c r="N25" s="376"/>
      <c r="O25" s="339" t="e">
        <f>+$L10</f>
        <v>#REF!</v>
      </c>
      <c r="P25" s="152"/>
      <c r="Q25" s="152"/>
      <c r="R25" s="337"/>
      <c r="S25" s="339" t="e">
        <f>+$L10</f>
        <v>#REF!</v>
      </c>
      <c r="T25" s="152"/>
      <c r="U25" s="152"/>
      <c r="V25" s="337"/>
      <c r="W25" s="339" t="e">
        <f>+$L10</f>
        <v>#REF!</v>
      </c>
      <c r="X25" s="152"/>
      <c r="Y25" s="152"/>
      <c r="Z25" s="337"/>
      <c r="AA25" s="374" t="e">
        <f>$L16</f>
        <v>#REF!</v>
      </c>
      <c r="AB25" s="373"/>
      <c r="AC25" s="373"/>
      <c r="AD25" s="376"/>
      <c r="AE25" s="374" t="e">
        <f>$L16</f>
        <v>#REF!</v>
      </c>
      <c r="AF25" s="373"/>
      <c r="AG25" s="373"/>
      <c r="AH25" s="376"/>
      <c r="AI25" s="339" t="e">
        <f>+$L10</f>
        <v>#REF!</v>
      </c>
      <c r="AJ25" s="152"/>
      <c r="AK25" s="152"/>
      <c r="AL25" s="337"/>
      <c r="AM25" s="337"/>
      <c r="AN25" s="150"/>
      <c r="AO25" s="150"/>
    </row>
    <row r="26" spans="1:41">
      <c r="A26" s="339" t="s">
        <v>353</v>
      </c>
      <c r="B26" s="373"/>
      <c r="C26" s="339" t="e">
        <f>($L10+$L12/100*C24)</f>
        <v>#REF!</v>
      </c>
      <c r="D26" s="152"/>
      <c r="E26" s="152"/>
      <c r="F26" s="377"/>
      <c r="G26" s="339" t="e">
        <f>($L10+$L12/100*G24)</f>
        <v>#REF!</v>
      </c>
      <c r="H26" s="152"/>
      <c r="I26" s="152"/>
      <c r="J26" s="377"/>
      <c r="K26" s="339" t="e">
        <f>+L16</f>
        <v>#REF!</v>
      </c>
      <c r="L26" s="152"/>
      <c r="M26" s="152"/>
      <c r="N26" s="337"/>
      <c r="O26" s="339" t="e">
        <f>($L10+$L12/100*O24)</f>
        <v>#REF!</v>
      </c>
      <c r="P26" s="152"/>
      <c r="Q26" s="152"/>
      <c r="R26" s="337"/>
      <c r="S26" s="339" t="e">
        <f>($L10+$L12/100*S24)</f>
        <v>#REF!</v>
      </c>
      <c r="T26" s="152"/>
      <c r="U26" s="152"/>
      <c r="V26" s="337"/>
      <c r="W26" s="339" t="e">
        <f>($L10+$L12/100*W24)</f>
        <v>#REF!</v>
      </c>
      <c r="X26" s="152"/>
      <c r="Y26" s="152"/>
      <c r="Z26" s="337"/>
      <c r="AA26" s="339" t="e">
        <f>+L16</f>
        <v>#REF!</v>
      </c>
      <c r="AB26" s="152"/>
      <c r="AC26" s="152"/>
      <c r="AD26" s="337"/>
      <c r="AE26" s="339" t="e">
        <f>+L16</f>
        <v>#REF!</v>
      </c>
      <c r="AF26" s="152"/>
      <c r="AG26" s="152"/>
      <c r="AH26" s="337"/>
      <c r="AI26" s="339" t="e">
        <f>($L10+$L12/100*AI24)</f>
        <v>#REF!</v>
      </c>
      <c r="AJ26" s="152"/>
      <c r="AK26" s="152"/>
      <c r="AL26" s="337"/>
      <c r="AM26" s="337"/>
      <c r="AN26" s="150"/>
      <c r="AO26" s="150"/>
    </row>
    <row r="27" spans="1:41">
      <c r="A27" s="339" t="s">
        <v>355</v>
      </c>
      <c r="B27" s="373"/>
      <c r="C27" s="378">
        <v>20000000</v>
      </c>
      <c r="D27" s="379"/>
      <c r="E27" s="379"/>
      <c r="F27" s="377"/>
      <c r="G27" s="378">
        <v>30000000</v>
      </c>
      <c r="H27" s="379"/>
      <c r="I27" s="379"/>
      <c r="J27" s="377"/>
      <c r="K27" s="378">
        <v>20000000</v>
      </c>
      <c r="L27" s="379"/>
      <c r="M27" s="379"/>
      <c r="N27" s="377"/>
      <c r="O27" s="378">
        <v>30000000</v>
      </c>
      <c r="P27" s="379"/>
      <c r="Q27" s="379"/>
      <c r="R27" s="377"/>
      <c r="S27" s="378">
        <v>20000000</v>
      </c>
      <c r="T27" s="379"/>
      <c r="U27" s="379"/>
      <c r="V27" s="377"/>
      <c r="W27" s="378">
        <v>30000000</v>
      </c>
      <c r="X27" s="379"/>
      <c r="Y27" s="379"/>
      <c r="Z27" s="377"/>
      <c r="AA27" s="378">
        <v>20000000</v>
      </c>
      <c r="AB27" s="379"/>
      <c r="AC27" s="379"/>
      <c r="AD27" s="377"/>
      <c r="AE27" s="378">
        <v>30000000</v>
      </c>
      <c r="AF27" s="379"/>
      <c r="AG27" s="379"/>
      <c r="AH27" s="377"/>
      <c r="AI27" s="378">
        <v>20000000</v>
      </c>
      <c r="AJ27" s="379"/>
      <c r="AK27" s="379"/>
      <c r="AL27" s="377"/>
      <c r="AM27" s="337"/>
      <c r="AN27" s="150"/>
      <c r="AO27" s="150"/>
    </row>
    <row r="28" spans="1:41">
      <c r="A28" s="339" t="s">
        <v>356</v>
      </c>
      <c r="B28" s="373"/>
      <c r="C28" s="378">
        <f>+C27/C22</f>
        <v>666666.66666666663</v>
      </c>
      <c r="D28" s="379"/>
      <c r="E28" s="379"/>
      <c r="F28" s="377"/>
      <c r="G28" s="378">
        <f>+G27/G22</f>
        <v>857142.85714285716</v>
      </c>
      <c r="H28" s="379"/>
      <c r="I28" s="379"/>
      <c r="J28" s="377"/>
      <c r="K28" s="378">
        <f>+K27/K22</f>
        <v>500000</v>
      </c>
      <c r="L28" s="379"/>
      <c r="M28" s="379"/>
      <c r="N28" s="377"/>
      <c r="O28" s="378">
        <f>+O27/O22</f>
        <v>750000</v>
      </c>
      <c r="P28" s="379"/>
      <c r="Q28" s="379"/>
      <c r="R28" s="377"/>
      <c r="S28" s="378">
        <f>+S27/S22</f>
        <v>500000</v>
      </c>
      <c r="T28" s="379"/>
      <c r="U28" s="379"/>
      <c r="V28" s="377"/>
      <c r="W28" s="378">
        <f>+W27/W22</f>
        <v>750000</v>
      </c>
      <c r="X28" s="379"/>
      <c r="Y28" s="379"/>
      <c r="Z28" s="377"/>
      <c r="AA28" s="378">
        <f>+AA27/AA22</f>
        <v>571428.57142857148</v>
      </c>
      <c r="AB28" s="379"/>
      <c r="AC28" s="379"/>
      <c r="AD28" s="377"/>
      <c r="AE28" s="378">
        <f>+AE27/AE22</f>
        <v>1200000</v>
      </c>
      <c r="AF28" s="379"/>
      <c r="AG28" s="379"/>
      <c r="AH28" s="377"/>
      <c r="AI28" s="378">
        <f>+AI27/AI22</f>
        <v>666666.66666666663</v>
      </c>
      <c r="AJ28" s="379"/>
      <c r="AK28" s="379"/>
      <c r="AL28" s="377"/>
      <c r="AM28" s="337"/>
      <c r="AN28" s="150"/>
      <c r="AO28" s="150"/>
    </row>
    <row r="29" spans="1:41" s="2" customFormat="1">
      <c r="A29" s="407" t="s">
        <v>464</v>
      </c>
      <c r="B29" s="355"/>
      <c r="C29" s="408">
        <v>6</v>
      </c>
      <c r="D29" s="409"/>
      <c r="E29" s="409"/>
      <c r="F29" s="410"/>
      <c r="G29" s="408">
        <v>3</v>
      </c>
      <c r="H29" s="409"/>
      <c r="I29" s="409"/>
      <c r="J29" s="410"/>
      <c r="K29" s="408">
        <v>9</v>
      </c>
      <c r="L29" s="409"/>
      <c r="M29" s="409"/>
      <c r="N29" s="410"/>
      <c r="O29" s="408">
        <v>10</v>
      </c>
      <c r="P29" s="409"/>
      <c r="Q29" s="409"/>
      <c r="R29" s="410"/>
      <c r="S29" s="408">
        <v>2</v>
      </c>
      <c r="T29" s="409"/>
      <c r="U29" s="409"/>
      <c r="V29" s="410"/>
      <c r="W29" s="408">
        <v>4</v>
      </c>
      <c r="X29" s="409"/>
      <c r="Y29" s="409"/>
      <c r="Z29" s="410"/>
      <c r="AA29" s="408">
        <v>11</v>
      </c>
      <c r="AB29" s="409"/>
      <c r="AC29" s="409"/>
      <c r="AD29" s="410"/>
      <c r="AE29" s="408">
        <v>8</v>
      </c>
      <c r="AF29" s="409"/>
      <c r="AG29" s="409"/>
      <c r="AH29" s="410"/>
      <c r="AI29" s="408">
        <v>9</v>
      </c>
      <c r="AJ29" s="409"/>
      <c r="AK29" s="409"/>
      <c r="AL29" s="410"/>
      <c r="AM29" s="416"/>
      <c r="AN29" s="151"/>
      <c r="AO29" s="151"/>
    </row>
    <row r="30" spans="1:41" ht="13.5" thickBot="1">
      <c r="A30" s="344"/>
      <c r="B30" s="380"/>
      <c r="C30" s="381"/>
      <c r="D30" s="382"/>
      <c r="E30" s="382"/>
      <c r="F30" s="383"/>
      <c r="G30" s="381"/>
      <c r="H30" s="382"/>
      <c r="I30" s="382"/>
      <c r="J30" s="383"/>
      <c r="K30" s="381"/>
      <c r="L30" s="382"/>
      <c r="M30" s="382"/>
      <c r="N30" s="383"/>
      <c r="O30" s="381"/>
      <c r="P30" s="382"/>
      <c r="Q30" s="382"/>
      <c r="R30" s="383"/>
      <c r="S30" s="381"/>
      <c r="T30" s="382"/>
      <c r="U30" s="382"/>
      <c r="V30" s="383"/>
      <c r="W30" s="381"/>
      <c r="X30" s="382"/>
      <c r="Y30" s="382"/>
      <c r="Z30" s="383"/>
      <c r="AA30" s="381"/>
      <c r="AB30" s="382"/>
      <c r="AC30" s="382"/>
      <c r="AD30" s="383"/>
      <c r="AE30" s="381"/>
      <c r="AF30" s="382"/>
      <c r="AG30" s="382"/>
      <c r="AH30" s="383"/>
      <c r="AI30" s="381"/>
      <c r="AJ30" s="382"/>
      <c r="AK30" s="382"/>
      <c r="AL30" s="383"/>
      <c r="AM30" s="345"/>
      <c r="AN30" s="150"/>
      <c r="AO30" s="150"/>
    </row>
    <row r="31" spans="1:41">
      <c r="A31" s="367"/>
      <c r="B31" s="384" t="s">
        <v>346</v>
      </c>
      <c r="C31" s="370" t="s">
        <v>371</v>
      </c>
      <c r="D31" s="370" t="s">
        <v>372</v>
      </c>
      <c r="E31" s="370" t="s">
        <v>373</v>
      </c>
      <c r="F31" s="371" t="s">
        <v>370</v>
      </c>
      <c r="G31" s="370" t="s">
        <v>371</v>
      </c>
      <c r="H31" s="370" t="s">
        <v>372</v>
      </c>
      <c r="I31" s="370" t="s">
        <v>373</v>
      </c>
      <c r="J31" s="372" t="s">
        <v>370</v>
      </c>
      <c r="K31" s="369" t="s">
        <v>371</v>
      </c>
      <c r="L31" s="370" t="s">
        <v>372</v>
      </c>
      <c r="M31" s="370" t="s">
        <v>373</v>
      </c>
      <c r="N31" s="372" t="s">
        <v>370</v>
      </c>
      <c r="O31" s="369" t="s">
        <v>371</v>
      </c>
      <c r="P31" s="370" t="s">
        <v>372</v>
      </c>
      <c r="Q31" s="370" t="s">
        <v>373</v>
      </c>
      <c r="R31" s="372" t="s">
        <v>370</v>
      </c>
      <c r="S31" s="369" t="s">
        <v>371</v>
      </c>
      <c r="T31" s="370" t="s">
        <v>372</v>
      </c>
      <c r="U31" s="370" t="s">
        <v>373</v>
      </c>
      <c r="V31" s="372" t="s">
        <v>370</v>
      </c>
      <c r="W31" s="369" t="s">
        <v>371</v>
      </c>
      <c r="X31" s="370" t="s">
        <v>372</v>
      </c>
      <c r="Y31" s="370" t="s">
        <v>373</v>
      </c>
      <c r="Z31" s="372" t="s">
        <v>370</v>
      </c>
      <c r="AA31" s="369" t="s">
        <v>371</v>
      </c>
      <c r="AB31" s="370" t="s">
        <v>372</v>
      </c>
      <c r="AC31" s="370" t="s">
        <v>373</v>
      </c>
      <c r="AD31" s="372" t="s">
        <v>370</v>
      </c>
      <c r="AE31" s="369" t="s">
        <v>371</v>
      </c>
      <c r="AF31" s="370" t="s">
        <v>372</v>
      </c>
      <c r="AG31" s="370" t="s">
        <v>373</v>
      </c>
      <c r="AH31" s="372" t="s">
        <v>370</v>
      </c>
      <c r="AI31" s="369" t="s">
        <v>371</v>
      </c>
      <c r="AJ31" s="370" t="s">
        <v>372</v>
      </c>
      <c r="AK31" s="370" t="s">
        <v>373</v>
      </c>
      <c r="AL31" s="372" t="s">
        <v>370</v>
      </c>
      <c r="AM31" s="404" t="s">
        <v>222</v>
      </c>
      <c r="AN31" s="385" t="s">
        <v>384</v>
      </c>
      <c r="AO31" s="386" t="s">
        <v>385</v>
      </c>
    </row>
    <row r="32" spans="1:41">
      <c r="A32" s="339" t="s">
        <v>389</v>
      </c>
      <c r="B32" s="387">
        <v>2005</v>
      </c>
      <c r="C32" s="388">
        <f>+C27</f>
        <v>20000000</v>
      </c>
      <c r="D32" s="379">
        <f>+C$28/12*(12-C$29)</f>
        <v>333333.33333333331</v>
      </c>
      <c r="E32" s="388">
        <f t="shared" ref="E32:E63" si="0">+C32-D32</f>
        <v>19666666.666666668</v>
      </c>
      <c r="F32" s="377" t="e">
        <f>+C$25*E32+D32</f>
        <v>#REF!</v>
      </c>
      <c r="G32" s="152"/>
      <c r="H32" s="152"/>
      <c r="I32" s="152"/>
      <c r="J32" s="377"/>
      <c r="K32" s="339"/>
      <c r="L32" s="152"/>
      <c r="M32" s="152"/>
      <c r="N32" s="377"/>
      <c r="O32" s="339"/>
      <c r="P32" s="152"/>
      <c r="Q32" s="152"/>
      <c r="R32" s="377"/>
      <c r="S32" s="339"/>
      <c r="T32" s="152"/>
      <c r="U32" s="152"/>
      <c r="V32" s="377"/>
      <c r="W32" s="339"/>
      <c r="X32" s="152"/>
      <c r="Y32" s="152"/>
      <c r="Z32" s="377"/>
      <c r="AA32" s="339"/>
      <c r="AB32" s="152"/>
      <c r="AC32" s="152"/>
      <c r="AD32" s="377"/>
      <c r="AE32" s="339"/>
      <c r="AF32" s="152"/>
      <c r="AG32" s="152"/>
      <c r="AH32" s="377"/>
      <c r="AI32" s="339"/>
      <c r="AJ32" s="152"/>
      <c r="AK32" s="152"/>
      <c r="AL32" s="377"/>
      <c r="AM32" s="405" t="e">
        <f>+N32+J32+F32</f>
        <v>#REF!</v>
      </c>
      <c r="AN32" s="152"/>
      <c r="AO32" s="389" t="e">
        <f>+AM32</f>
        <v>#REF!</v>
      </c>
    </row>
    <row r="33" spans="1:41">
      <c r="A33" s="339" t="s">
        <v>350</v>
      </c>
      <c r="B33" s="387">
        <v>2005</v>
      </c>
      <c r="C33" s="388">
        <f>+C32</f>
        <v>20000000</v>
      </c>
      <c r="D33" s="379">
        <f>+D32</f>
        <v>333333.33333333331</v>
      </c>
      <c r="E33" s="388">
        <f t="shared" si="0"/>
        <v>19666666.666666668</v>
      </c>
      <c r="F33" s="377" t="e">
        <f>+C$26*E33+D33</f>
        <v>#REF!</v>
      </c>
      <c r="G33" s="152"/>
      <c r="H33" s="152"/>
      <c r="I33" s="152"/>
      <c r="J33" s="377"/>
      <c r="K33" s="339"/>
      <c r="L33" s="152"/>
      <c r="M33" s="152"/>
      <c r="N33" s="377"/>
      <c r="O33" s="339"/>
      <c r="P33" s="152"/>
      <c r="Q33" s="152"/>
      <c r="R33" s="377"/>
      <c r="S33" s="339"/>
      <c r="T33" s="152"/>
      <c r="U33" s="152"/>
      <c r="V33" s="377"/>
      <c r="W33" s="339"/>
      <c r="X33" s="152"/>
      <c r="Y33" s="152"/>
      <c r="Z33" s="377"/>
      <c r="AA33" s="339"/>
      <c r="AB33" s="152"/>
      <c r="AC33" s="152"/>
      <c r="AD33" s="377"/>
      <c r="AE33" s="339"/>
      <c r="AF33" s="152"/>
      <c r="AG33" s="152"/>
      <c r="AH33" s="377"/>
      <c r="AI33" s="339"/>
      <c r="AJ33" s="152"/>
      <c r="AK33" s="152"/>
      <c r="AL33" s="377"/>
      <c r="AM33" s="405" t="e">
        <f t="shared" ref="AM33:AM71" si="1">+N33+J33+F33</f>
        <v>#REF!</v>
      </c>
      <c r="AN33" s="390" t="e">
        <f>+AM33</f>
        <v>#REF!</v>
      </c>
      <c r="AO33" s="337"/>
    </row>
    <row r="34" spans="1:41">
      <c r="A34" s="339" t="s">
        <v>389</v>
      </c>
      <c r="B34" s="387">
        <f>+B32+1</f>
        <v>2006</v>
      </c>
      <c r="C34" s="388">
        <f>+E33</f>
        <v>19666666.666666668</v>
      </c>
      <c r="D34" s="388">
        <f>+C$28</f>
        <v>666666.66666666663</v>
      </c>
      <c r="E34" s="388">
        <f t="shared" si="0"/>
        <v>19000000</v>
      </c>
      <c r="F34" s="377" t="e">
        <f>+C$25*E34+D34</f>
        <v>#REF!</v>
      </c>
      <c r="G34" s="388">
        <f>+G$27</f>
        <v>30000000</v>
      </c>
      <c r="H34" s="379">
        <f>+G$28/12*(12-G$29)</f>
        <v>642857.14285714296</v>
      </c>
      <c r="I34" s="388">
        <f t="shared" ref="I34:I65" si="2">+G34-H34</f>
        <v>29357142.857142858</v>
      </c>
      <c r="J34" s="377" t="e">
        <f>+G$25*I34+H34</f>
        <v>#REF!</v>
      </c>
      <c r="K34" s="391">
        <f>+K$27</f>
        <v>20000000</v>
      </c>
      <c r="L34" s="379">
        <f>+K$28/12*(12-K$29)</f>
        <v>125000</v>
      </c>
      <c r="M34" s="388">
        <f t="shared" ref="M34:M65" si="3">+K34-L34</f>
        <v>19875000</v>
      </c>
      <c r="N34" s="377" t="e">
        <f>+K$25*M34+L34</f>
        <v>#REF!</v>
      </c>
      <c r="O34" s="391"/>
      <c r="P34" s="379"/>
      <c r="Q34" s="388"/>
      <c r="R34" s="377"/>
      <c r="S34" s="391"/>
      <c r="T34" s="379"/>
      <c r="U34" s="388"/>
      <c r="V34" s="377"/>
      <c r="W34" s="391"/>
      <c r="X34" s="379"/>
      <c r="Y34" s="388"/>
      <c r="Z34" s="377"/>
      <c r="AA34" s="391"/>
      <c r="AB34" s="379"/>
      <c r="AC34" s="388"/>
      <c r="AD34" s="377"/>
      <c r="AE34" s="391"/>
      <c r="AF34" s="379"/>
      <c r="AG34" s="388"/>
      <c r="AH34" s="377"/>
      <c r="AI34" s="391"/>
      <c r="AJ34" s="379"/>
      <c r="AK34" s="388"/>
      <c r="AL34" s="377"/>
      <c r="AM34" s="405" t="e">
        <f t="shared" si="1"/>
        <v>#REF!</v>
      </c>
      <c r="AN34" s="152"/>
      <c r="AO34" s="389" t="e">
        <f>+AM34</f>
        <v>#REF!</v>
      </c>
    </row>
    <row r="35" spans="1:41">
      <c r="A35" s="339" t="s">
        <v>350</v>
      </c>
      <c r="B35" s="387">
        <f t="shared" ref="B35:B71" si="4">+B33+1</f>
        <v>2006</v>
      </c>
      <c r="C35" s="388">
        <f>+C34</f>
        <v>19666666.666666668</v>
      </c>
      <c r="D35" s="388">
        <f>+D34</f>
        <v>666666.66666666663</v>
      </c>
      <c r="E35" s="388">
        <f t="shared" si="0"/>
        <v>19000000</v>
      </c>
      <c r="F35" s="377" t="e">
        <f>+C$26*E35+D35</f>
        <v>#REF!</v>
      </c>
      <c r="G35" s="388">
        <f>+G34</f>
        <v>30000000</v>
      </c>
      <c r="H35" s="379">
        <f>+H34</f>
        <v>642857.14285714296</v>
      </c>
      <c r="I35" s="388">
        <f t="shared" si="2"/>
        <v>29357142.857142858</v>
      </c>
      <c r="J35" s="377" t="e">
        <f>+G$26*I35+H35</f>
        <v>#REF!</v>
      </c>
      <c r="K35" s="391">
        <f>+K34</f>
        <v>20000000</v>
      </c>
      <c r="L35" s="379">
        <f>+L34</f>
        <v>125000</v>
      </c>
      <c r="M35" s="388">
        <f t="shared" si="3"/>
        <v>19875000</v>
      </c>
      <c r="N35" s="377" t="e">
        <f>+K$26*M35+L35</f>
        <v>#REF!</v>
      </c>
      <c r="O35" s="391"/>
      <c r="P35" s="379"/>
      <c r="Q35" s="388"/>
      <c r="R35" s="377"/>
      <c r="S35" s="391"/>
      <c r="T35" s="379"/>
      <c r="U35" s="388"/>
      <c r="V35" s="377"/>
      <c r="W35" s="391"/>
      <c r="X35" s="379"/>
      <c r="Y35" s="388"/>
      <c r="Z35" s="377"/>
      <c r="AA35" s="391"/>
      <c r="AB35" s="379"/>
      <c r="AC35" s="388"/>
      <c r="AD35" s="377"/>
      <c r="AE35" s="391"/>
      <c r="AF35" s="379"/>
      <c r="AG35" s="388"/>
      <c r="AH35" s="377"/>
      <c r="AI35" s="391"/>
      <c r="AJ35" s="379"/>
      <c r="AK35" s="388"/>
      <c r="AL35" s="377"/>
      <c r="AM35" s="405" t="e">
        <f t="shared" si="1"/>
        <v>#REF!</v>
      </c>
      <c r="AN35" s="390" t="e">
        <f>+AM35</f>
        <v>#REF!</v>
      </c>
      <c r="AO35" s="337"/>
    </row>
    <row r="36" spans="1:41">
      <c r="A36" s="339" t="s">
        <v>389</v>
      </c>
      <c r="B36" s="387">
        <f t="shared" si="4"/>
        <v>2007</v>
      </c>
      <c r="C36" s="388">
        <f>+E35</f>
        <v>19000000</v>
      </c>
      <c r="D36" s="388">
        <f>+C$28</f>
        <v>666666.66666666663</v>
      </c>
      <c r="E36" s="388">
        <f t="shared" si="0"/>
        <v>18333333.333333332</v>
      </c>
      <c r="F36" s="377" t="e">
        <f>+C$25*E36+D36</f>
        <v>#REF!</v>
      </c>
      <c r="G36" s="388">
        <f>+I35</f>
        <v>29357142.857142858</v>
      </c>
      <c r="H36" s="388">
        <f>+G$28</f>
        <v>857142.85714285716</v>
      </c>
      <c r="I36" s="388">
        <f t="shared" si="2"/>
        <v>28500000</v>
      </c>
      <c r="J36" s="377" t="e">
        <f>+G$25*I36+H36</f>
        <v>#REF!</v>
      </c>
      <c r="K36" s="391">
        <f>+M35</f>
        <v>19875000</v>
      </c>
      <c r="L36" s="388">
        <f>+K$28</f>
        <v>500000</v>
      </c>
      <c r="M36" s="388">
        <f t="shared" si="3"/>
        <v>19375000</v>
      </c>
      <c r="N36" s="377" t="e">
        <f>+K$25*M36+L36</f>
        <v>#REF!</v>
      </c>
      <c r="O36" s="391">
        <f>+O$27</f>
        <v>30000000</v>
      </c>
      <c r="P36" s="379">
        <f>+O$28/12*(12-O$29)</f>
        <v>125000</v>
      </c>
      <c r="Q36" s="388">
        <f t="shared" ref="Q36:Q67" si="5">+O36-P36</f>
        <v>29875000</v>
      </c>
      <c r="R36" s="377" t="e">
        <f>+O$25*Q36+P36</f>
        <v>#REF!</v>
      </c>
      <c r="S36" s="391">
        <f>+S$27</f>
        <v>20000000</v>
      </c>
      <c r="T36" s="379">
        <f>+S$28/12*(12-S$29)</f>
        <v>416666.66666666663</v>
      </c>
      <c r="U36" s="388">
        <f t="shared" ref="U36:U67" si="6">+S36-T36</f>
        <v>19583333.333333332</v>
      </c>
      <c r="V36" s="377" t="e">
        <f>+S$25*U36+T36</f>
        <v>#REF!</v>
      </c>
      <c r="W36" s="391"/>
      <c r="X36" s="388"/>
      <c r="Y36" s="388"/>
      <c r="Z36" s="377"/>
      <c r="AA36" s="391"/>
      <c r="AB36" s="388"/>
      <c r="AC36" s="388"/>
      <c r="AD36" s="377"/>
      <c r="AE36" s="391"/>
      <c r="AF36" s="388"/>
      <c r="AG36" s="388"/>
      <c r="AH36" s="377"/>
      <c r="AI36" s="391"/>
      <c r="AJ36" s="388"/>
      <c r="AK36" s="388"/>
      <c r="AL36" s="377"/>
      <c r="AM36" s="405" t="e">
        <f t="shared" si="1"/>
        <v>#REF!</v>
      </c>
      <c r="AN36" s="152"/>
      <c r="AO36" s="389" t="e">
        <f>+AM36</f>
        <v>#REF!</v>
      </c>
    </row>
    <row r="37" spans="1:41">
      <c r="A37" s="339" t="s">
        <v>350</v>
      </c>
      <c r="B37" s="387">
        <f t="shared" si="4"/>
        <v>2007</v>
      </c>
      <c r="C37" s="388">
        <f>+C36</f>
        <v>19000000</v>
      </c>
      <c r="D37" s="388">
        <f>+D36</f>
        <v>666666.66666666663</v>
      </c>
      <c r="E37" s="388">
        <f t="shared" si="0"/>
        <v>18333333.333333332</v>
      </c>
      <c r="F37" s="377" t="e">
        <f>+C$26*E37+D37</f>
        <v>#REF!</v>
      </c>
      <c r="G37" s="388">
        <f>+G36</f>
        <v>29357142.857142858</v>
      </c>
      <c r="H37" s="388">
        <f>+H36</f>
        <v>857142.85714285716</v>
      </c>
      <c r="I37" s="388">
        <f t="shared" si="2"/>
        <v>28500000</v>
      </c>
      <c r="J37" s="377" t="e">
        <f>+G$26*I37+H37</f>
        <v>#REF!</v>
      </c>
      <c r="K37" s="391">
        <f>+K36</f>
        <v>19875000</v>
      </c>
      <c r="L37" s="388">
        <f>+L36</f>
        <v>500000</v>
      </c>
      <c r="M37" s="388">
        <f t="shared" si="3"/>
        <v>19375000</v>
      </c>
      <c r="N37" s="377" t="e">
        <f>+K$26*M37+L37</f>
        <v>#REF!</v>
      </c>
      <c r="O37" s="391">
        <f>+O36</f>
        <v>30000000</v>
      </c>
      <c r="P37" s="379">
        <f>+P36</f>
        <v>125000</v>
      </c>
      <c r="Q37" s="388">
        <f t="shared" si="5"/>
        <v>29875000</v>
      </c>
      <c r="R37" s="377" t="e">
        <f>+O$26*Q37+P37</f>
        <v>#REF!</v>
      </c>
      <c r="S37" s="391">
        <f>+S36</f>
        <v>20000000</v>
      </c>
      <c r="T37" s="379">
        <f>+T36</f>
        <v>416666.66666666663</v>
      </c>
      <c r="U37" s="388">
        <f t="shared" si="6"/>
        <v>19583333.333333332</v>
      </c>
      <c r="V37" s="377" t="e">
        <f>+S$26*U37+T37</f>
        <v>#REF!</v>
      </c>
      <c r="W37" s="391"/>
      <c r="X37" s="388"/>
      <c r="Y37" s="388"/>
      <c r="Z37" s="377"/>
      <c r="AA37" s="391"/>
      <c r="AB37" s="388"/>
      <c r="AC37" s="388"/>
      <c r="AD37" s="377"/>
      <c r="AE37" s="391"/>
      <c r="AF37" s="388"/>
      <c r="AG37" s="388"/>
      <c r="AH37" s="377"/>
      <c r="AI37" s="391"/>
      <c r="AJ37" s="388"/>
      <c r="AK37" s="388"/>
      <c r="AL37" s="377"/>
      <c r="AM37" s="405" t="e">
        <f t="shared" si="1"/>
        <v>#REF!</v>
      </c>
      <c r="AN37" s="390" t="e">
        <f>+AM37</f>
        <v>#REF!</v>
      </c>
      <c r="AO37" s="337"/>
    </row>
    <row r="38" spans="1:41">
      <c r="A38" s="339" t="s">
        <v>389</v>
      </c>
      <c r="B38" s="387">
        <f t="shared" si="4"/>
        <v>2008</v>
      </c>
      <c r="C38" s="388">
        <f>+E37</f>
        <v>18333333.333333332</v>
      </c>
      <c r="D38" s="388">
        <f>+C$28</f>
        <v>666666.66666666663</v>
      </c>
      <c r="E38" s="388">
        <f t="shared" si="0"/>
        <v>17666666.666666664</v>
      </c>
      <c r="F38" s="377" t="e">
        <f>+C$25*E38+D38</f>
        <v>#REF!</v>
      </c>
      <c r="G38" s="388">
        <f>+I37</f>
        <v>28500000</v>
      </c>
      <c r="H38" s="388">
        <f>+G$28</f>
        <v>857142.85714285716</v>
      </c>
      <c r="I38" s="388">
        <f t="shared" si="2"/>
        <v>27642857.142857142</v>
      </c>
      <c r="J38" s="377" t="e">
        <f>+G$25*I38+H38</f>
        <v>#REF!</v>
      </c>
      <c r="K38" s="391">
        <f>+M37</f>
        <v>19375000</v>
      </c>
      <c r="L38" s="388">
        <f>+K$28</f>
        <v>500000</v>
      </c>
      <c r="M38" s="388">
        <f t="shared" si="3"/>
        <v>18875000</v>
      </c>
      <c r="N38" s="377" t="e">
        <f>+K$25*M38+L38</f>
        <v>#REF!</v>
      </c>
      <c r="O38" s="391">
        <f>+Q37</f>
        <v>29875000</v>
      </c>
      <c r="P38" s="388">
        <f>+O$28</f>
        <v>750000</v>
      </c>
      <c r="Q38" s="388">
        <f t="shared" si="5"/>
        <v>29125000</v>
      </c>
      <c r="R38" s="377" t="e">
        <f>+O$25*Q38+P38</f>
        <v>#REF!</v>
      </c>
      <c r="S38" s="391">
        <f>+U37</f>
        <v>19583333.333333332</v>
      </c>
      <c r="T38" s="388">
        <f>+S$28</f>
        <v>500000</v>
      </c>
      <c r="U38" s="388">
        <f t="shared" si="6"/>
        <v>19083333.333333332</v>
      </c>
      <c r="V38" s="377" t="e">
        <f>+S$25*U38+T38</f>
        <v>#REF!</v>
      </c>
      <c r="W38" s="391">
        <f>+W$27</f>
        <v>30000000</v>
      </c>
      <c r="X38" s="379">
        <f>+W$28/12*(12-W$29)</f>
        <v>500000</v>
      </c>
      <c r="Y38" s="388">
        <f t="shared" ref="Y38:Y69" si="7">+W38-X38</f>
        <v>29500000</v>
      </c>
      <c r="Z38" s="377" t="e">
        <f>+W$25*Y38+X38</f>
        <v>#REF!</v>
      </c>
      <c r="AA38" s="391">
        <f>+AA$27</f>
        <v>20000000</v>
      </c>
      <c r="AB38" s="379">
        <f>+AA$28/12*(12-AA$29)</f>
        <v>47619.047619047626</v>
      </c>
      <c r="AC38" s="388">
        <f t="shared" ref="AC38:AC69" si="8">+AA38-AB38</f>
        <v>19952380.952380951</v>
      </c>
      <c r="AD38" s="377" t="e">
        <f>+AA$25*AC38+AB38</f>
        <v>#REF!</v>
      </c>
      <c r="AE38" s="391"/>
      <c r="AF38" s="388"/>
      <c r="AG38" s="388"/>
      <c r="AH38" s="377"/>
      <c r="AI38" s="391"/>
      <c r="AJ38" s="388"/>
      <c r="AK38" s="388"/>
      <c r="AL38" s="377"/>
      <c r="AM38" s="405" t="e">
        <f t="shared" si="1"/>
        <v>#REF!</v>
      </c>
      <c r="AN38" s="152"/>
      <c r="AO38" s="389" t="e">
        <f>+AM38</f>
        <v>#REF!</v>
      </c>
    </row>
    <row r="39" spans="1:41">
      <c r="A39" s="339" t="s">
        <v>350</v>
      </c>
      <c r="B39" s="387">
        <f t="shared" si="4"/>
        <v>2008</v>
      </c>
      <c r="C39" s="388">
        <f>+C38</f>
        <v>18333333.333333332</v>
      </c>
      <c r="D39" s="388">
        <f>+D38</f>
        <v>666666.66666666663</v>
      </c>
      <c r="E39" s="388">
        <f t="shared" si="0"/>
        <v>17666666.666666664</v>
      </c>
      <c r="F39" s="377" t="e">
        <f>+C$26*E39+D39</f>
        <v>#REF!</v>
      </c>
      <c r="G39" s="388">
        <f>+G38</f>
        <v>28500000</v>
      </c>
      <c r="H39" s="388">
        <f>+H38</f>
        <v>857142.85714285716</v>
      </c>
      <c r="I39" s="388">
        <f t="shared" si="2"/>
        <v>27642857.142857142</v>
      </c>
      <c r="J39" s="377" t="e">
        <f>+G$26*I39+H39</f>
        <v>#REF!</v>
      </c>
      <c r="K39" s="391">
        <f>+K38</f>
        <v>19375000</v>
      </c>
      <c r="L39" s="388">
        <f>+L38</f>
        <v>500000</v>
      </c>
      <c r="M39" s="388">
        <f t="shared" si="3"/>
        <v>18875000</v>
      </c>
      <c r="N39" s="377" t="e">
        <f>+K$26*M39+L39</f>
        <v>#REF!</v>
      </c>
      <c r="O39" s="391">
        <f>+O38</f>
        <v>29875000</v>
      </c>
      <c r="P39" s="388">
        <f>+P38</f>
        <v>750000</v>
      </c>
      <c r="Q39" s="388">
        <f t="shared" si="5"/>
        <v>29125000</v>
      </c>
      <c r="R39" s="377" t="e">
        <f>+O$26*Q39+P39</f>
        <v>#REF!</v>
      </c>
      <c r="S39" s="391">
        <f>+S38</f>
        <v>19583333.333333332</v>
      </c>
      <c r="T39" s="388">
        <f>+T38</f>
        <v>500000</v>
      </c>
      <c r="U39" s="388">
        <f t="shared" si="6"/>
        <v>19083333.333333332</v>
      </c>
      <c r="V39" s="377" t="e">
        <f>+S$26*U39+T39</f>
        <v>#REF!</v>
      </c>
      <c r="W39" s="391">
        <f>+W38</f>
        <v>30000000</v>
      </c>
      <c r="X39" s="379">
        <f>+X38</f>
        <v>500000</v>
      </c>
      <c r="Y39" s="388">
        <f t="shared" si="7"/>
        <v>29500000</v>
      </c>
      <c r="Z39" s="377" t="e">
        <f>+W$26*Y39+X39</f>
        <v>#REF!</v>
      </c>
      <c r="AA39" s="391">
        <f>+AA38</f>
        <v>20000000</v>
      </c>
      <c r="AB39" s="379">
        <f>+AB38</f>
        <v>47619.047619047626</v>
      </c>
      <c r="AC39" s="388">
        <f t="shared" si="8"/>
        <v>19952380.952380951</v>
      </c>
      <c r="AD39" s="377" t="e">
        <f>+AA$26*AC39+AB39</f>
        <v>#REF!</v>
      </c>
      <c r="AE39" s="391"/>
      <c r="AF39" s="388"/>
      <c r="AG39" s="388"/>
      <c r="AH39" s="377"/>
      <c r="AI39" s="391"/>
      <c r="AJ39" s="388"/>
      <c r="AK39" s="388"/>
      <c r="AL39" s="377"/>
      <c r="AM39" s="405" t="e">
        <f t="shared" si="1"/>
        <v>#REF!</v>
      </c>
      <c r="AN39" s="390" t="e">
        <f>+AM39</f>
        <v>#REF!</v>
      </c>
      <c r="AO39" s="337"/>
    </row>
    <row r="40" spans="1:41">
      <c r="A40" s="339" t="s">
        <v>389</v>
      </c>
      <c r="B40" s="387">
        <f t="shared" si="4"/>
        <v>2009</v>
      </c>
      <c r="C40" s="388">
        <f>+E39</f>
        <v>17666666.666666664</v>
      </c>
      <c r="D40" s="388">
        <f>+C$28</f>
        <v>666666.66666666663</v>
      </c>
      <c r="E40" s="388">
        <f t="shared" si="0"/>
        <v>16999999.999999996</v>
      </c>
      <c r="F40" s="377" t="e">
        <f>+C$25*E40+D40</f>
        <v>#REF!</v>
      </c>
      <c r="G40" s="388">
        <f>+I39</f>
        <v>27642857.142857142</v>
      </c>
      <c r="H40" s="388">
        <f>+G$28</f>
        <v>857142.85714285716</v>
      </c>
      <c r="I40" s="388">
        <f t="shared" si="2"/>
        <v>26785714.285714284</v>
      </c>
      <c r="J40" s="377" t="e">
        <f>+G$25*I40+H40</f>
        <v>#REF!</v>
      </c>
      <c r="K40" s="391">
        <f>+M39</f>
        <v>18875000</v>
      </c>
      <c r="L40" s="388">
        <f>+K$28</f>
        <v>500000</v>
      </c>
      <c r="M40" s="388">
        <f t="shared" si="3"/>
        <v>18375000</v>
      </c>
      <c r="N40" s="377" t="e">
        <f>+K$25*M40+L40</f>
        <v>#REF!</v>
      </c>
      <c r="O40" s="391">
        <f>+Q39</f>
        <v>29125000</v>
      </c>
      <c r="P40" s="388">
        <f>+O$28</f>
        <v>750000</v>
      </c>
      <c r="Q40" s="388">
        <f t="shared" si="5"/>
        <v>28375000</v>
      </c>
      <c r="R40" s="377" t="e">
        <f>+O$25*Q40+P40</f>
        <v>#REF!</v>
      </c>
      <c r="S40" s="391">
        <f>+U39</f>
        <v>19083333.333333332</v>
      </c>
      <c r="T40" s="388">
        <f>+S$28</f>
        <v>500000</v>
      </c>
      <c r="U40" s="388">
        <f t="shared" si="6"/>
        <v>18583333.333333332</v>
      </c>
      <c r="V40" s="377" t="e">
        <f>+S$25*U40+T40</f>
        <v>#REF!</v>
      </c>
      <c r="W40" s="391">
        <f>+Y39</f>
        <v>29500000</v>
      </c>
      <c r="X40" s="388">
        <f>+W$28</f>
        <v>750000</v>
      </c>
      <c r="Y40" s="388">
        <f t="shared" si="7"/>
        <v>28750000</v>
      </c>
      <c r="Z40" s="377" t="e">
        <f>+W$25*Y40+X40</f>
        <v>#REF!</v>
      </c>
      <c r="AA40" s="391">
        <f>+AC39</f>
        <v>19952380.952380951</v>
      </c>
      <c r="AB40" s="388">
        <f>+AA$28</f>
        <v>571428.57142857148</v>
      </c>
      <c r="AC40" s="388">
        <f t="shared" si="8"/>
        <v>19380952.380952381</v>
      </c>
      <c r="AD40" s="377" t="e">
        <f>+AA$25*AC40+AB40</f>
        <v>#REF!</v>
      </c>
      <c r="AE40" s="391">
        <f>+AE$27</f>
        <v>30000000</v>
      </c>
      <c r="AF40" s="379">
        <f>+AE$28/12*(12-AE$29)</f>
        <v>400000</v>
      </c>
      <c r="AG40" s="388">
        <f t="shared" ref="AG40:AG71" si="9">+AE40-AF40</f>
        <v>29600000</v>
      </c>
      <c r="AH40" s="377" t="e">
        <f>+AE$25*AG40+AF40</f>
        <v>#REF!</v>
      </c>
      <c r="AI40" s="391">
        <f>+AI$27</f>
        <v>20000000</v>
      </c>
      <c r="AJ40" s="379">
        <f>+AI$28/12*(12-AI$29)</f>
        <v>166666.66666666666</v>
      </c>
      <c r="AK40" s="388">
        <f t="shared" ref="AK40:AK71" si="10">+AI40-AJ40</f>
        <v>19833333.333333332</v>
      </c>
      <c r="AL40" s="377" t="e">
        <f>+AI$25*AK40+AJ40</f>
        <v>#REF!</v>
      </c>
      <c r="AM40" s="405" t="e">
        <f t="shared" si="1"/>
        <v>#REF!</v>
      </c>
      <c r="AN40" s="152"/>
      <c r="AO40" s="389" t="e">
        <f>+AM40</f>
        <v>#REF!</v>
      </c>
    </row>
    <row r="41" spans="1:41">
      <c r="A41" s="339" t="s">
        <v>350</v>
      </c>
      <c r="B41" s="387">
        <f t="shared" si="4"/>
        <v>2009</v>
      </c>
      <c r="C41" s="388">
        <f>+C40</f>
        <v>17666666.666666664</v>
      </c>
      <c r="D41" s="388">
        <f>+D40</f>
        <v>666666.66666666663</v>
      </c>
      <c r="E41" s="388">
        <f t="shared" si="0"/>
        <v>16999999.999999996</v>
      </c>
      <c r="F41" s="377" t="e">
        <f>+C$26*E41+D41</f>
        <v>#REF!</v>
      </c>
      <c r="G41" s="388">
        <f>+G40</f>
        <v>27642857.142857142</v>
      </c>
      <c r="H41" s="388">
        <f>+H40</f>
        <v>857142.85714285716</v>
      </c>
      <c r="I41" s="388">
        <f t="shared" si="2"/>
        <v>26785714.285714284</v>
      </c>
      <c r="J41" s="377" t="e">
        <f>+G$26*I41+H41</f>
        <v>#REF!</v>
      </c>
      <c r="K41" s="391">
        <f>+K40</f>
        <v>18875000</v>
      </c>
      <c r="L41" s="388">
        <f>+L40</f>
        <v>500000</v>
      </c>
      <c r="M41" s="388">
        <f t="shared" si="3"/>
        <v>18375000</v>
      </c>
      <c r="N41" s="377" t="e">
        <f>+K$26*M41+L41</f>
        <v>#REF!</v>
      </c>
      <c r="O41" s="391">
        <f>+O40</f>
        <v>29125000</v>
      </c>
      <c r="P41" s="388">
        <f>+P40</f>
        <v>750000</v>
      </c>
      <c r="Q41" s="388">
        <f t="shared" si="5"/>
        <v>28375000</v>
      </c>
      <c r="R41" s="377" t="e">
        <f>+O$26*Q41+P41</f>
        <v>#REF!</v>
      </c>
      <c r="S41" s="391">
        <f>+S40</f>
        <v>19083333.333333332</v>
      </c>
      <c r="T41" s="388">
        <f>+T40</f>
        <v>500000</v>
      </c>
      <c r="U41" s="388">
        <f t="shared" si="6"/>
        <v>18583333.333333332</v>
      </c>
      <c r="V41" s="377" t="e">
        <f>+S$26*U41+T41</f>
        <v>#REF!</v>
      </c>
      <c r="W41" s="391">
        <f>+W40</f>
        <v>29500000</v>
      </c>
      <c r="X41" s="388">
        <f>+X40</f>
        <v>750000</v>
      </c>
      <c r="Y41" s="388">
        <f t="shared" si="7"/>
        <v>28750000</v>
      </c>
      <c r="Z41" s="377" t="e">
        <f>+W$26*Y41+X41</f>
        <v>#REF!</v>
      </c>
      <c r="AA41" s="391">
        <f>+AA40</f>
        <v>19952380.952380951</v>
      </c>
      <c r="AB41" s="388">
        <f>+AB40</f>
        <v>571428.57142857148</v>
      </c>
      <c r="AC41" s="388">
        <f t="shared" si="8"/>
        <v>19380952.380952381</v>
      </c>
      <c r="AD41" s="377" t="e">
        <f>+AA$26*AC41+AB41</f>
        <v>#REF!</v>
      </c>
      <c r="AE41" s="391">
        <f>+AE40</f>
        <v>30000000</v>
      </c>
      <c r="AF41" s="379">
        <f>+AF40</f>
        <v>400000</v>
      </c>
      <c r="AG41" s="388">
        <f t="shared" si="9"/>
        <v>29600000</v>
      </c>
      <c r="AH41" s="377" t="e">
        <f>+AE$26*AG41+AF41</f>
        <v>#REF!</v>
      </c>
      <c r="AI41" s="391">
        <f>+AI40</f>
        <v>20000000</v>
      </c>
      <c r="AJ41" s="379">
        <f>+AJ40</f>
        <v>166666.66666666666</v>
      </c>
      <c r="AK41" s="388">
        <f t="shared" si="10"/>
        <v>19833333.333333332</v>
      </c>
      <c r="AL41" s="377" t="e">
        <f>+AI$26*AK41+AJ41</f>
        <v>#REF!</v>
      </c>
      <c r="AM41" s="405" t="e">
        <f t="shared" si="1"/>
        <v>#REF!</v>
      </c>
      <c r="AN41" s="390" t="e">
        <f>+AM41</f>
        <v>#REF!</v>
      </c>
      <c r="AO41" s="337"/>
    </row>
    <row r="42" spans="1:41">
      <c r="A42" s="339" t="s">
        <v>389</v>
      </c>
      <c r="B42" s="387">
        <f t="shared" si="4"/>
        <v>2010</v>
      </c>
      <c r="C42" s="388">
        <f>+E41</f>
        <v>16999999.999999996</v>
      </c>
      <c r="D42" s="388">
        <f>+C$28</f>
        <v>666666.66666666663</v>
      </c>
      <c r="E42" s="388">
        <f t="shared" si="0"/>
        <v>16333333.33333333</v>
      </c>
      <c r="F42" s="377" t="e">
        <f>+C$25*E42+D42</f>
        <v>#REF!</v>
      </c>
      <c r="G42" s="388">
        <f>+I41</f>
        <v>26785714.285714284</v>
      </c>
      <c r="H42" s="388">
        <f>+G$28</f>
        <v>857142.85714285716</v>
      </c>
      <c r="I42" s="388">
        <f t="shared" si="2"/>
        <v>25928571.428571425</v>
      </c>
      <c r="J42" s="377" t="e">
        <f>+G$25*I42+H42</f>
        <v>#REF!</v>
      </c>
      <c r="K42" s="391">
        <f>+M41</f>
        <v>18375000</v>
      </c>
      <c r="L42" s="388">
        <f>+K$28</f>
        <v>500000</v>
      </c>
      <c r="M42" s="388">
        <f t="shared" si="3"/>
        <v>17875000</v>
      </c>
      <c r="N42" s="377" t="e">
        <f>+K$25*M42+L42</f>
        <v>#REF!</v>
      </c>
      <c r="O42" s="391">
        <f>+Q41</f>
        <v>28375000</v>
      </c>
      <c r="P42" s="388">
        <f>+O$28</f>
        <v>750000</v>
      </c>
      <c r="Q42" s="388">
        <f t="shared" si="5"/>
        <v>27625000</v>
      </c>
      <c r="R42" s="377" t="e">
        <f>+O$25*Q42+P42</f>
        <v>#REF!</v>
      </c>
      <c r="S42" s="391">
        <f>+U41</f>
        <v>18583333.333333332</v>
      </c>
      <c r="T42" s="388">
        <f>+S$28</f>
        <v>500000</v>
      </c>
      <c r="U42" s="388">
        <f t="shared" si="6"/>
        <v>18083333.333333332</v>
      </c>
      <c r="V42" s="377" t="e">
        <f>+S$25*U42+T42</f>
        <v>#REF!</v>
      </c>
      <c r="W42" s="391">
        <f>+Y41</f>
        <v>28750000</v>
      </c>
      <c r="X42" s="388">
        <f>+W$28</f>
        <v>750000</v>
      </c>
      <c r="Y42" s="388">
        <f t="shared" si="7"/>
        <v>28000000</v>
      </c>
      <c r="Z42" s="377" t="e">
        <f>+W$25*Y42+X42</f>
        <v>#REF!</v>
      </c>
      <c r="AA42" s="391">
        <f>+AC41</f>
        <v>19380952.380952381</v>
      </c>
      <c r="AB42" s="388">
        <f>+AA$28</f>
        <v>571428.57142857148</v>
      </c>
      <c r="AC42" s="388">
        <f t="shared" si="8"/>
        <v>18809523.80952381</v>
      </c>
      <c r="AD42" s="377" t="e">
        <f>+AA$25*AC42+AB42</f>
        <v>#REF!</v>
      </c>
      <c r="AE42" s="391">
        <f>+AG41</f>
        <v>29600000</v>
      </c>
      <c r="AF42" s="388">
        <f>+AE$28</f>
        <v>1200000</v>
      </c>
      <c r="AG42" s="388">
        <f t="shared" si="9"/>
        <v>28400000</v>
      </c>
      <c r="AH42" s="377" t="e">
        <f>+AE$25*AG42+AF42</f>
        <v>#REF!</v>
      </c>
      <c r="AI42" s="391">
        <f>+AK41</f>
        <v>19833333.333333332</v>
      </c>
      <c r="AJ42" s="388">
        <f>+AI$28</f>
        <v>666666.66666666663</v>
      </c>
      <c r="AK42" s="388">
        <f t="shared" si="10"/>
        <v>19166666.666666664</v>
      </c>
      <c r="AL42" s="377" t="e">
        <f>+AI$25*AK42+AJ42</f>
        <v>#REF!</v>
      </c>
      <c r="AM42" s="405" t="e">
        <f t="shared" si="1"/>
        <v>#REF!</v>
      </c>
      <c r="AN42" s="152"/>
      <c r="AO42" s="389" t="e">
        <f>+AM42</f>
        <v>#REF!</v>
      </c>
    </row>
    <row r="43" spans="1:41">
      <c r="A43" s="339" t="s">
        <v>350</v>
      </c>
      <c r="B43" s="387">
        <f t="shared" si="4"/>
        <v>2010</v>
      </c>
      <c r="C43" s="388">
        <f>+C42</f>
        <v>16999999.999999996</v>
      </c>
      <c r="D43" s="388">
        <f>+D42</f>
        <v>666666.66666666663</v>
      </c>
      <c r="E43" s="388">
        <f t="shared" si="0"/>
        <v>16333333.33333333</v>
      </c>
      <c r="F43" s="377" t="e">
        <f>+C$26*E43+D43</f>
        <v>#REF!</v>
      </c>
      <c r="G43" s="388">
        <f>+G42</f>
        <v>26785714.285714284</v>
      </c>
      <c r="H43" s="388">
        <f>+H42</f>
        <v>857142.85714285716</v>
      </c>
      <c r="I43" s="388">
        <f t="shared" si="2"/>
        <v>25928571.428571425</v>
      </c>
      <c r="J43" s="377" t="e">
        <f>+G$26*I43+H43</f>
        <v>#REF!</v>
      </c>
      <c r="K43" s="391">
        <f>+K42</f>
        <v>18375000</v>
      </c>
      <c r="L43" s="388">
        <f>+L42</f>
        <v>500000</v>
      </c>
      <c r="M43" s="388">
        <f t="shared" si="3"/>
        <v>17875000</v>
      </c>
      <c r="N43" s="377" t="e">
        <f>+K$26*M43+L43</f>
        <v>#REF!</v>
      </c>
      <c r="O43" s="391">
        <f>+O42</f>
        <v>28375000</v>
      </c>
      <c r="P43" s="388">
        <f>+P42</f>
        <v>750000</v>
      </c>
      <c r="Q43" s="388">
        <f t="shared" si="5"/>
        <v>27625000</v>
      </c>
      <c r="R43" s="377" t="e">
        <f>+O$26*Q43+P43</f>
        <v>#REF!</v>
      </c>
      <c r="S43" s="391">
        <f>+S42</f>
        <v>18583333.333333332</v>
      </c>
      <c r="T43" s="388">
        <f>+T42</f>
        <v>500000</v>
      </c>
      <c r="U43" s="388">
        <f t="shared" si="6"/>
        <v>18083333.333333332</v>
      </c>
      <c r="V43" s="377" t="e">
        <f>+S$26*U43+T43</f>
        <v>#REF!</v>
      </c>
      <c r="W43" s="391">
        <f>+W42</f>
        <v>28750000</v>
      </c>
      <c r="X43" s="388">
        <f>+X42</f>
        <v>750000</v>
      </c>
      <c r="Y43" s="388">
        <f t="shared" si="7"/>
        <v>28000000</v>
      </c>
      <c r="Z43" s="377" t="e">
        <f>+W$26*Y43+X43</f>
        <v>#REF!</v>
      </c>
      <c r="AA43" s="391">
        <f>+AA42</f>
        <v>19380952.380952381</v>
      </c>
      <c r="AB43" s="388">
        <f>+AB42</f>
        <v>571428.57142857148</v>
      </c>
      <c r="AC43" s="388">
        <f t="shared" si="8"/>
        <v>18809523.80952381</v>
      </c>
      <c r="AD43" s="377" t="e">
        <f>+AA$26*AC43+AB43</f>
        <v>#REF!</v>
      </c>
      <c r="AE43" s="391">
        <f>+AE42</f>
        <v>29600000</v>
      </c>
      <c r="AF43" s="388">
        <f>+AF42</f>
        <v>1200000</v>
      </c>
      <c r="AG43" s="388">
        <f t="shared" si="9"/>
        <v>28400000</v>
      </c>
      <c r="AH43" s="377" t="e">
        <f>+AE$26*AG43+AF43</f>
        <v>#REF!</v>
      </c>
      <c r="AI43" s="391">
        <f>+AI42</f>
        <v>19833333.333333332</v>
      </c>
      <c r="AJ43" s="388">
        <f>+AJ42</f>
        <v>666666.66666666663</v>
      </c>
      <c r="AK43" s="388">
        <f t="shared" si="10"/>
        <v>19166666.666666664</v>
      </c>
      <c r="AL43" s="377" t="e">
        <f>+AI$26*AK43+AJ43</f>
        <v>#REF!</v>
      </c>
      <c r="AM43" s="405" t="e">
        <f t="shared" si="1"/>
        <v>#REF!</v>
      </c>
      <c r="AN43" s="390" t="e">
        <f>+AM43</f>
        <v>#REF!</v>
      </c>
      <c r="AO43" s="337"/>
    </row>
    <row r="44" spans="1:41">
      <c r="A44" s="339" t="s">
        <v>389</v>
      </c>
      <c r="B44" s="387">
        <f t="shared" si="4"/>
        <v>2011</v>
      </c>
      <c r="C44" s="388">
        <f>+E43</f>
        <v>16333333.33333333</v>
      </c>
      <c r="D44" s="388">
        <f>+C$28</f>
        <v>666666.66666666663</v>
      </c>
      <c r="E44" s="388">
        <f t="shared" si="0"/>
        <v>15666666.666666664</v>
      </c>
      <c r="F44" s="377" t="e">
        <f>+C$25*E44+D44</f>
        <v>#REF!</v>
      </c>
      <c r="G44" s="388">
        <f>+I43</f>
        <v>25928571.428571425</v>
      </c>
      <c r="H44" s="388">
        <f>+G$28</f>
        <v>857142.85714285716</v>
      </c>
      <c r="I44" s="388">
        <f t="shared" si="2"/>
        <v>25071428.571428567</v>
      </c>
      <c r="J44" s="377" t="e">
        <f>+G$25*I44+H44</f>
        <v>#REF!</v>
      </c>
      <c r="K44" s="391">
        <f>+M43</f>
        <v>17875000</v>
      </c>
      <c r="L44" s="388">
        <f>+K$28</f>
        <v>500000</v>
      </c>
      <c r="M44" s="388">
        <f t="shared" si="3"/>
        <v>17375000</v>
      </c>
      <c r="N44" s="377" t="e">
        <f>+K$25*M44+L44</f>
        <v>#REF!</v>
      </c>
      <c r="O44" s="391">
        <f>+Q43</f>
        <v>27625000</v>
      </c>
      <c r="P44" s="388">
        <f>+O$28</f>
        <v>750000</v>
      </c>
      <c r="Q44" s="388">
        <f t="shared" si="5"/>
        <v>26875000</v>
      </c>
      <c r="R44" s="377" t="e">
        <f>+O$25*Q44+P44</f>
        <v>#REF!</v>
      </c>
      <c r="S44" s="391">
        <f>+U43</f>
        <v>18083333.333333332</v>
      </c>
      <c r="T44" s="388">
        <f>+S$28</f>
        <v>500000</v>
      </c>
      <c r="U44" s="388">
        <f t="shared" si="6"/>
        <v>17583333.333333332</v>
      </c>
      <c r="V44" s="377" t="e">
        <f>+S$25*U44+T44</f>
        <v>#REF!</v>
      </c>
      <c r="W44" s="391">
        <f>+Y43</f>
        <v>28000000</v>
      </c>
      <c r="X44" s="388">
        <f>+W$28</f>
        <v>750000</v>
      </c>
      <c r="Y44" s="388">
        <f t="shared" si="7"/>
        <v>27250000</v>
      </c>
      <c r="Z44" s="377" t="e">
        <f>+W$25*Y44+X44</f>
        <v>#REF!</v>
      </c>
      <c r="AA44" s="391">
        <f>+AC43</f>
        <v>18809523.80952381</v>
      </c>
      <c r="AB44" s="388">
        <f>+AA$28</f>
        <v>571428.57142857148</v>
      </c>
      <c r="AC44" s="388">
        <f t="shared" si="8"/>
        <v>18238095.238095239</v>
      </c>
      <c r="AD44" s="377" t="e">
        <f>+AA$25*AC44+AB44</f>
        <v>#REF!</v>
      </c>
      <c r="AE44" s="391">
        <f>+AG43</f>
        <v>28400000</v>
      </c>
      <c r="AF44" s="388">
        <f>+AE$28</f>
        <v>1200000</v>
      </c>
      <c r="AG44" s="388">
        <f t="shared" si="9"/>
        <v>27200000</v>
      </c>
      <c r="AH44" s="377" t="e">
        <f>+AE$25*AG44+AF44</f>
        <v>#REF!</v>
      </c>
      <c r="AI44" s="391">
        <f>+AK43</f>
        <v>19166666.666666664</v>
      </c>
      <c r="AJ44" s="388">
        <f>+AI$28</f>
        <v>666666.66666666663</v>
      </c>
      <c r="AK44" s="388">
        <f t="shared" si="10"/>
        <v>18499999.999999996</v>
      </c>
      <c r="AL44" s="377" t="e">
        <f>+AI$25*AK44+AJ44</f>
        <v>#REF!</v>
      </c>
      <c r="AM44" s="405" t="e">
        <f t="shared" si="1"/>
        <v>#REF!</v>
      </c>
      <c r="AN44" s="152"/>
      <c r="AO44" s="389" t="e">
        <f>+AM44</f>
        <v>#REF!</v>
      </c>
    </row>
    <row r="45" spans="1:41">
      <c r="A45" s="339" t="s">
        <v>350</v>
      </c>
      <c r="B45" s="387">
        <f t="shared" si="4"/>
        <v>2011</v>
      </c>
      <c r="C45" s="388">
        <f>+C44</f>
        <v>16333333.33333333</v>
      </c>
      <c r="D45" s="388">
        <f>+D44</f>
        <v>666666.66666666663</v>
      </c>
      <c r="E45" s="388">
        <f t="shared" si="0"/>
        <v>15666666.666666664</v>
      </c>
      <c r="F45" s="377" t="e">
        <f>+C$26*E45+D45</f>
        <v>#REF!</v>
      </c>
      <c r="G45" s="388">
        <f>+G44</f>
        <v>25928571.428571425</v>
      </c>
      <c r="H45" s="388">
        <f>+H44</f>
        <v>857142.85714285716</v>
      </c>
      <c r="I45" s="388">
        <f t="shared" si="2"/>
        <v>25071428.571428567</v>
      </c>
      <c r="J45" s="377" t="e">
        <f>+G$26*I45+H45</f>
        <v>#REF!</v>
      </c>
      <c r="K45" s="391">
        <f>+K44</f>
        <v>17875000</v>
      </c>
      <c r="L45" s="388">
        <f>+L44</f>
        <v>500000</v>
      </c>
      <c r="M45" s="388">
        <f t="shared" si="3"/>
        <v>17375000</v>
      </c>
      <c r="N45" s="377" t="e">
        <f>+K$26*M45+L45</f>
        <v>#REF!</v>
      </c>
      <c r="O45" s="391">
        <f>+O44</f>
        <v>27625000</v>
      </c>
      <c r="P45" s="388">
        <f>+P44</f>
        <v>750000</v>
      </c>
      <c r="Q45" s="388">
        <f t="shared" si="5"/>
        <v>26875000</v>
      </c>
      <c r="R45" s="377" t="e">
        <f>+O$26*Q45+P45</f>
        <v>#REF!</v>
      </c>
      <c r="S45" s="391">
        <f>+S44</f>
        <v>18083333.333333332</v>
      </c>
      <c r="T45" s="388">
        <f>+T44</f>
        <v>500000</v>
      </c>
      <c r="U45" s="388">
        <f t="shared" si="6"/>
        <v>17583333.333333332</v>
      </c>
      <c r="V45" s="377" t="e">
        <f>+S$26*U45+T45</f>
        <v>#REF!</v>
      </c>
      <c r="W45" s="391">
        <f>+W44</f>
        <v>28000000</v>
      </c>
      <c r="X45" s="388">
        <f>+X44</f>
        <v>750000</v>
      </c>
      <c r="Y45" s="388">
        <f t="shared" si="7"/>
        <v>27250000</v>
      </c>
      <c r="Z45" s="377" t="e">
        <f>+W$26*Y45+X45</f>
        <v>#REF!</v>
      </c>
      <c r="AA45" s="391">
        <f>+AA44</f>
        <v>18809523.80952381</v>
      </c>
      <c r="AB45" s="388">
        <f>+AB44</f>
        <v>571428.57142857148</v>
      </c>
      <c r="AC45" s="388">
        <f t="shared" si="8"/>
        <v>18238095.238095239</v>
      </c>
      <c r="AD45" s="377" t="e">
        <f>+AA$26*AC45+AB45</f>
        <v>#REF!</v>
      </c>
      <c r="AE45" s="391">
        <f>+AE44</f>
        <v>28400000</v>
      </c>
      <c r="AF45" s="388">
        <f>+AF44</f>
        <v>1200000</v>
      </c>
      <c r="AG45" s="388">
        <f t="shared" si="9"/>
        <v>27200000</v>
      </c>
      <c r="AH45" s="377" t="e">
        <f>+AE$26*AG45+AF45</f>
        <v>#REF!</v>
      </c>
      <c r="AI45" s="391">
        <f>+AI44</f>
        <v>19166666.666666664</v>
      </c>
      <c r="AJ45" s="388">
        <f>+AJ44</f>
        <v>666666.66666666663</v>
      </c>
      <c r="AK45" s="388">
        <f t="shared" si="10"/>
        <v>18499999.999999996</v>
      </c>
      <c r="AL45" s="377" t="e">
        <f>+AI$26*AK45+AJ45</f>
        <v>#REF!</v>
      </c>
      <c r="AM45" s="405" t="e">
        <f t="shared" si="1"/>
        <v>#REF!</v>
      </c>
      <c r="AN45" s="390" t="e">
        <f>+AM45</f>
        <v>#REF!</v>
      </c>
      <c r="AO45" s="337"/>
    </row>
    <row r="46" spans="1:41">
      <c r="A46" s="339" t="s">
        <v>389</v>
      </c>
      <c r="B46" s="387">
        <f t="shared" si="4"/>
        <v>2012</v>
      </c>
      <c r="C46" s="388">
        <f>+E45</f>
        <v>15666666.666666664</v>
      </c>
      <c r="D46" s="388">
        <f>+C$28</f>
        <v>666666.66666666663</v>
      </c>
      <c r="E46" s="388">
        <f t="shared" si="0"/>
        <v>14999999.999999998</v>
      </c>
      <c r="F46" s="377" t="e">
        <f>+C$25*E46+D46</f>
        <v>#REF!</v>
      </c>
      <c r="G46" s="388">
        <f>+I45</f>
        <v>25071428.571428567</v>
      </c>
      <c r="H46" s="388">
        <f>+G$28</f>
        <v>857142.85714285716</v>
      </c>
      <c r="I46" s="388">
        <f t="shared" si="2"/>
        <v>24214285.714285709</v>
      </c>
      <c r="J46" s="377" t="e">
        <f>+G$25*I46+H46</f>
        <v>#REF!</v>
      </c>
      <c r="K46" s="391">
        <f>+M45</f>
        <v>17375000</v>
      </c>
      <c r="L46" s="388">
        <f>+K$28</f>
        <v>500000</v>
      </c>
      <c r="M46" s="388">
        <f t="shared" si="3"/>
        <v>16875000</v>
      </c>
      <c r="N46" s="377" t="e">
        <f>+K$25*M46+L46</f>
        <v>#REF!</v>
      </c>
      <c r="O46" s="391">
        <f>+Q45</f>
        <v>26875000</v>
      </c>
      <c r="P46" s="388">
        <f>+O$28</f>
        <v>750000</v>
      </c>
      <c r="Q46" s="388">
        <f t="shared" si="5"/>
        <v>26125000</v>
      </c>
      <c r="R46" s="377" t="e">
        <f>+O$25*Q46+P46</f>
        <v>#REF!</v>
      </c>
      <c r="S46" s="391">
        <f>+U45</f>
        <v>17583333.333333332</v>
      </c>
      <c r="T46" s="388">
        <f>+S$28</f>
        <v>500000</v>
      </c>
      <c r="U46" s="388">
        <f t="shared" si="6"/>
        <v>17083333.333333332</v>
      </c>
      <c r="V46" s="377" t="e">
        <f>+S$25*U46+T46</f>
        <v>#REF!</v>
      </c>
      <c r="W46" s="391">
        <f>+Y45</f>
        <v>27250000</v>
      </c>
      <c r="X46" s="388">
        <f>+W$28</f>
        <v>750000</v>
      </c>
      <c r="Y46" s="388">
        <f t="shared" si="7"/>
        <v>26500000</v>
      </c>
      <c r="Z46" s="377" t="e">
        <f>+W$25*Y46+X46</f>
        <v>#REF!</v>
      </c>
      <c r="AA46" s="391">
        <f>+AC45</f>
        <v>18238095.238095239</v>
      </c>
      <c r="AB46" s="388">
        <f>+AA$28</f>
        <v>571428.57142857148</v>
      </c>
      <c r="AC46" s="388">
        <f t="shared" si="8"/>
        <v>17666666.666666668</v>
      </c>
      <c r="AD46" s="377" t="e">
        <f>+AA$25*AC46+AB46</f>
        <v>#REF!</v>
      </c>
      <c r="AE46" s="391">
        <f>+AG45</f>
        <v>27200000</v>
      </c>
      <c r="AF46" s="388">
        <f>+AE$28</f>
        <v>1200000</v>
      </c>
      <c r="AG46" s="388">
        <f t="shared" si="9"/>
        <v>26000000</v>
      </c>
      <c r="AH46" s="377" t="e">
        <f>+AE$25*AG46+AF46</f>
        <v>#REF!</v>
      </c>
      <c r="AI46" s="391">
        <f>+AK45</f>
        <v>18499999.999999996</v>
      </c>
      <c r="AJ46" s="388">
        <f>+AI$28</f>
        <v>666666.66666666663</v>
      </c>
      <c r="AK46" s="388">
        <f t="shared" si="10"/>
        <v>17833333.333333328</v>
      </c>
      <c r="AL46" s="377" t="e">
        <f>+AI$25*AK46+AJ46</f>
        <v>#REF!</v>
      </c>
      <c r="AM46" s="405" t="e">
        <f t="shared" si="1"/>
        <v>#REF!</v>
      </c>
      <c r="AN46" s="152"/>
      <c r="AO46" s="389" t="e">
        <f>+AM46</f>
        <v>#REF!</v>
      </c>
    </row>
    <row r="47" spans="1:41">
      <c r="A47" s="339" t="s">
        <v>350</v>
      </c>
      <c r="B47" s="387">
        <f t="shared" si="4"/>
        <v>2012</v>
      </c>
      <c r="C47" s="388">
        <f>+C46</f>
        <v>15666666.666666664</v>
      </c>
      <c r="D47" s="388">
        <f>+D46</f>
        <v>666666.66666666663</v>
      </c>
      <c r="E47" s="388">
        <f t="shared" si="0"/>
        <v>14999999.999999998</v>
      </c>
      <c r="F47" s="377" t="e">
        <f>+C$26*E47+D47</f>
        <v>#REF!</v>
      </c>
      <c r="G47" s="388">
        <f>+G46</f>
        <v>25071428.571428567</v>
      </c>
      <c r="H47" s="388">
        <f>+H46</f>
        <v>857142.85714285716</v>
      </c>
      <c r="I47" s="388">
        <f t="shared" si="2"/>
        <v>24214285.714285709</v>
      </c>
      <c r="J47" s="377" t="e">
        <f>+G$26*I47+H47</f>
        <v>#REF!</v>
      </c>
      <c r="K47" s="391">
        <f>+K46</f>
        <v>17375000</v>
      </c>
      <c r="L47" s="388">
        <f>+L46</f>
        <v>500000</v>
      </c>
      <c r="M47" s="388">
        <f t="shared" si="3"/>
        <v>16875000</v>
      </c>
      <c r="N47" s="377" t="e">
        <f>+K$26*M47+L47</f>
        <v>#REF!</v>
      </c>
      <c r="O47" s="391">
        <f>+O46</f>
        <v>26875000</v>
      </c>
      <c r="P47" s="388">
        <f>+P46</f>
        <v>750000</v>
      </c>
      <c r="Q47" s="388">
        <f t="shared" si="5"/>
        <v>26125000</v>
      </c>
      <c r="R47" s="377" t="e">
        <f>+O$26*Q47+P47</f>
        <v>#REF!</v>
      </c>
      <c r="S47" s="391">
        <f>+S46</f>
        <v>17583333.333333332</v>
      </c>
      <c r="T47" s="388">
        <f>+T46</f>
        <v>500000</v>
      </c>
      <c r="U47" s="388">
        <f t="shared" si="6"/>
        <v>17083333.333333332</v>
      </c>
      <c r="V47" s="377" t="e">
        <f>+S$26*U47+T47</f>
        <v>#REF!</v>
      </c>
      <c r="W47" s="391">
        <f>+W46</f>
        <v>27250000</v>
      </c>
      <c r="X47" s="388">
        <f>+X46</f>
        <v>750000</v>
      </c>
      <c r="Y47" s="388">
        <f t="shared" si="7"/>
        <v>26500000</v>
      </c>
      <c r="Z47" s="377" t="e">
        <f>+W$26*Y47+X47</f>
        <v>#REF!</v>
      </c>
      <c r="AA47" s="391">
        <f>+AA46</f>
        <v>18238095.238095239</v>
      </c>
      <c r="AB47" s="388">
        <f>+AB46</f>
        <v>571428.57142857148</v>
      </c>
      <c r="AC47" s="388">
        <f t="shared" si="8"/>
        <v>17666666.666666668</v>
      </c>
      <c r="AD47" s="377" t="e">
        <f>+AA$26*AC47+AB47</f>
        <v>#REF!</v>
      </c>
      <c r="AE47" s="391">
        <f>+AE46</f>
        <v>27200000</v>
      </c>
      <c r="AF47" s="388">
        <f>+AF46</f>
        <v>1200000</v>
      </c>
      <c r="AG47" s="388">
        <f t="shared" si="9"/>
        <v>26000000</v>
      </c>
      <c r="AH47" s="377" t="e">
        <f>+AE$26*AG47+AF47</f>
        <v>#REF!</v>
      </c>
      <c r="AI47" s="391">
        <f>+AI46</f>
        <v>18499999.999999996</v>
      </c>
      <c r="AJ47" s="388">
        <f>+AJ46</f>
        <v>666666.66666666663</v>
      </c>
      <c r="AK47" s="388">
        <f t="shared" si="10"/>
        <v>17833333.333333328</v>
      </c>
      <c r="AL47" s="377" t="e">
        <f>+AI$26*AK47+AJ47</f>
        <v>#REF!</v>
      </c>
      <c r="AM47" s="405" t="e">
        <f t="shared" si="1"/>
        <v>#REF!</v>
      </c>
      <c r="AN47" s="390" t="e">
        <f>+AM47</f>
        <v>#REF!</v>
      </c>
      <c r="AO47" s="337"/>
    </row>
    <row r="48" spans="1:41">
      <c r="A48" s="339" t="s">
        <v>389</v>
      </c>
      <c r="B48" s="387">
        <f t="shared" si="4"/>
        <v>2013</v>
      </c>
      <c r="C48" s="388">
        <f>+E47</f>
        <v>14999999.999999998</v>
      </c>
      <c r="D48" s="388">
        <f>+C$28</f>
        <v>666666.66666666663</v>
      </c>
      <c r="E48" s="388">
        <f t="shared" si="0"/>
        <v>14333333.333333332</v>
      </c>
      <c r="F48" s="377" t="e">
        <f>+C$25*E48+D48</f>
        <v>#REF!</v>
      </c>
      <c r="G48" s="388">
        <f>+I47</f>
        <v>24214285.714285709</v>
      </c>
      <c r="H48" s="388">
        <f>+G$28</f>
        <v>857142.85714285716</v>
      </c>
      <c r="I48" s="388">
        <f t="shared" si="2"/>
        <v>23357142.857142851</v>
      </c>
      <c r="J48" s="377" t="e">
        <f>+G$25*I48+H48</f>
        <v>#REF!</v>
      </c>
      <c r="K48" s="391">
        <f>+M47</f>
        <v>16875000</v>
      </c>
      <c r="L48" s="388">
        <f>+K$28</f>
        <v>500000</v>
      </c>
      <c r="M48" s="388">
        <f t="shared" si="3"/>
        <v>16375000</v>
      </c>
      <c r="N48" s="377" t="e">
        <f>+K$25*M48+L48</f>
        <v>#REF!</v>
      </c>
      <c r="O48" s="391">
        <f>+Q47</f>
        <v>26125000</v>
      </c>
      <c r="P48" s="388">
        <f>+O$28</f>
        <v>750000</v>
      </c>
      <c r="Q48" s="388">
        <f t="shared" si="5"/>
        <v>25375000</v>
      </c>
      <c r="R48" s="377" t="e">
        <f>+O$25*Q48+P48</f>
        <v>#REF!</v>
      </c>
      <c r="S48" s="391">
        <f>+U47</f>
        <v>17083333.333333332</v>
      </c>
      <c r="T48" s="388">
        <f>+S$28</f>
        <v>500000</v>
      </c>
      <c r="U48" s="388">
        <f t="shared" si="6"/>
        <v>16583333.333333332</v>
      </c>
      <c r="V48" s="377" t="e">
        <f>+S$25*U48+T48</f>
        <v>#REF!</v>
      </c>
      <c r="W48" s="391">
        <f>+Y47</f>
        <v>26500000</v>
      </c>
      <c r="X48" s="388">
        <f>+W$28</f>
        <v>750000</v>
      </c>
      <c r="Y48" s="388">
        <f t="shared" si="7"/>
        <v>25750000</v>
      </c>
      <c r="Z48" s="377" t="e">
        <f>+W$25*Y48+X48</f>
        <v>#REF!</v>
      </c>
      <c r="AA48" s="391">
        <f>+AC47</f>
        <v>17666666.666666668</v>
      </c>
      <c r="AB48" s="388">
        <f>+AA$28</f>
        <v>571428.57142857148</v>
      </c>
      <c r="AC48" s="388">
        <f t="shared" si="8"/>
        <v>17095238.095238097</v>
      </c>
      <c r="AD48" s="377" t="e">
        <f>+AA$25*AC48+AB48</f>
        <v>#REF!</v>
      </c>
      <c r="AE48" s="391">
        <f>+AG47</f>
        <v>26000000</v>
      </c>
      <c r="AF48" s="388">
        <f>+AE$28</f>
        <v>1200000</v>
      </c>
      <c r="AG48" s="388">
        <f t="shared" si="9"/>
        <v>24800000</v>
      </c>
      <c r="AH48" s="377" t="e">
        <f>+AE$25*AG48+AF48</f>
        <v>#REF!</v>
      </c>
      <c r="AI48" s="391">
        <f>+AK47</f>
        <v>17833333.333333328</v>
      </c>
      <c r="AJ48" s="388">
        <f>+AI$28</f>
        <v>666666.66666666663</v>
      </c>
      <c r="AK48" s="388">
        <f t="shared" si="10"/>
        <v>17166666.66666666</v>
      </c>
      <c r="AL48" s="377" t="e">
        <f>+AI$25*AK48+AJ48</f>
        <v>#REF!</v>
      </c>
      <c r="AM48" s="405" t="e">
        <f t="shared" si="1"/>
        <v>#REF!</v>
      </c>
      <c r="AN48" s="152"/>
      <c r="AO48" s="389" t="e">
        <f>+AM48</f>
        <v>#REF!</v>
      </c>
    </row>
    <row r="49" spans="1:41">
      <c r="A49" s="339" t="s">
        <v>350</v>
      </c>
      <c r="B49" s="387">
        <f t="shared" si="4"/>
        <v>2013</v>
      </c>
      <c r="C49" s="388">
        <f>+C48</f>
        <v>14999999.999999998</v>
      </c>
      <c r="D49" s="388">
        <f>+D48</f>
        <v>666666.66666666663</v>
      </c>
      <c r="E49" s="388">
        <f t="shared" si="0"/>
        <v>14333333.333333332</v>
      </c>
      <c r="F49" s="377" t="e">
        <f>+C$26*E49+D49</f>
        <v>#REF!</v>
      </c>
      <c r="G49" s="388">
        <f>+G48</f>
        <v>24214285.714285709</v>
      </c>
      <c r="H49" s="388">
        <f>+H48</f>
        <v>857142.85714285716</v>
      </c>
      <c r="I49" s="388">
        <f t="shared" si="2"/>
        <v>23357142.857142851</v>
      </c>
      <c r="J49" s="377" t="e">
        <f>+G$26*I49+H49</f>
        <v>#REF!</v>
      </c>
      <c r="K49" s="391">
        <f>+K48</f>
        <v>16875000</v>
      </c>
      <c r="L49" s="388">
        <f>+L48</f>
        <v>500000</v>
      </c>
      <c r="M49" s="388">
        <f t="shared" si="3"/>
        <v>16375000</v>
      </c>
      <c r="N49" s="377" t="e">
        <f>+K$26*M49+L49</f>
        <v>#REF!</v>
      </c>
      <c r="O49" s="391">
        <f>+O48</f>
        <v>26125000</v>
      </c>
      <c r="P49" s="388">
        <f>+P48</f>
        <v>750000</v>
      </c>
      <c r="Q49" s="388">
        <f t="shared" si="5"/>
        <v>25375000</v>
      </c>
      <c r="R49" s="377" t="e">
        <f>+O$26*Q49+P49</f>
        <v>#REF!</v>
      </c>
      <c r="S49" s="391">
        <f>+S48</f>
        <v>17083333.333333332</v>
      </c>
      <c r="T49" s="388">
        <f>+T48</f>
        <v>500000</v>
      </c>
      <c r="U49" s="388">
        <f t="shared" si="6"/>
        <v>16583333.333333332</v>
      </c>
      <c r="V49" s="377" t="e">
        <f>+S$26*U49+T49</f>
        <v>#REF!</v>
      </c>
      <c r="W49" s="391">
        <f>+W48</f>
        <v>26500000</v>
      </c>
      <c r="X49" s="388">
        <f>+X48</f>
        <v>750000</v>
      </c>
      <c r="Y49" s="388">
        <f t="shared" si="7"/>
        <v>25750000</v>
      </c>
      <c r="Z49" s="377" t="e">
        <f>+W$26*Y49+X49</f>
        <v>#REF!</v>
      </c>
      <c r="AA49" s="391">
        <f>+AA48</f>
        <v>17666666.666666668</v>
      </c>
      <c r="AB49" s="388">
        <f>+AB48</f>
        <v>571428.57142857148</v>
      </c>
      <c r="AC49" s="388">
        <f t="shared" si="8"/>
        <v>17095238.095238097</v>
      </c>
      <c r="AD49" s="377" t="e">
        <f>+AA$26*AC49+AB49</f>
        <v>#REF!</v>
      </c>
      <c r="AE49" s="391">
        <f>+AE48</f>
        <v>26000000</v>
      </c>
      <c r="AF49" s="388">
        <f>+AF48</f>
        <v>1200000</v>
      </c>
      <c r="AG49" s="388">
        <f t="shared" si="9"/>
        <v>24800000</v>
      </c>
      <c r="AH49" s="377" t="e">
        <f>+AE$26*AG49+AF49</f>
        <v>#REF!</v>
      </c>
      <c r="AI49" s="391">
        <f>+AI48</f>
        <v>17833333.333333328</v>
      </c>
      <c r="AJ49" s="388">
        <f>+AJ48</f>
        <v>666666.66666666663</v>
      </c>
      <c r="AK49" s="388">
        <f t="shared" si="10"/>
        <v>17166666.66666666</v>
      </c>
      <c r="AL49" s="377" t="e">
        <f>+AI$26*AK49+AJ49</f>
        <v>#REF!</v>
      </c>
      <c r="AM49" s="405" t="e">
        <f t="shared" si="1"/>
        <v>#REF!</v>
      </c>
      <c r="AN49" s="390" t="e">
        <f>+AM49</f>
        <v>#REF!</v>
      </c>
      <c r="AO49" s="337"/>
    </row>
    <row r="50" spans="1:41">
      <c r="A50" s="339" t="s">
        <v>389</v>
      </c>
      <c r="B50" s="387">
        <f t="shared" si="4"/>
        <v>2014</v>
      </c>
      <c r="C50" s="388">
        <f>+E49</f>
        <v>14333333.333333332</v>
      </c>
      <c r="D50" s="388">
        <f>+C$28</f>
        <v>666666.66666666663</v>
      </c>
      <c r="E50" s="388">
        <f t="shared" si="0"/>
        <v>13666666.666666666</v>
      </c>
      <c r="F50" s="377" t="e">
        <f>+C$25*E50+D50</f>
        <v>#REF!</v>
      </c>
      <c r="G50" s="388">
        <f>+I49</f>
        <v>23357142.857142851</v>
      </c>
      <c r="H50" s="388">
        <f>+G$28</f>
        <v>857142.85714285716</v>
      </c>
      <c r="I50" s="388">
        <f t="shared" si="2"/>
        <v>22499999.999999993</v>
      </c>
      <c r="J50" s="377" t="e">
        <f>+G$25*I50+H50</f>
        <v>#REF!</v>
      </c>
      <c r="K50" s="391">
        <f>+M49</f>
        <v>16375000</v>
      </c>
      <c r="L50" s="388">
        <f>+K$28</f>
        <v>500000</v>
      </c>
      <c r="M50" s="388">
        <f t="shared" si="3"/>
        <v>15875000</v>
      </c>
      <c r="N50" s="377" t="e">
        <f>+K$25*M50+L50</f>
        <v>#REF!</v>
      </c>
      <c r="O50" s="391">
        <f>+Q49</f>
        <v>25375000</v>
      </c>
      <c r="P50" s="388">
        <f>+O$28</f>
        <v>750000</v>
      </c>
      <c r="Q50" s="388">
        <f t="shared" si="5"/>
        <v>24625000</v>
      </c>
      <c r="R50" s="377" t="e">
        <f>+O$25*Q50+P50</f>
        <v>#REF!</v>
      </c>
      <c r="S50" s="391">
        <f>+U49</f>
        <v>16583333.333333332</v>
      </c>
      <c r="T50" s="388">
        <f>+S$28</f>
        <v>500000</v>
      </c>
      <c r="U50" s="388">
        <f t="shared" si="6"/>
        <v>16083333.333333332</v>
      </c>
      <c r="V50" s="377" t="e">
        <f>+S$25*U50+T50</f>
        <v>#REF!</v>
      </c>
      <c r="W50" s="391">
        <f>+Y49</f>
        <v>25750000</v>
      </c>
      <c r="X50" s="388">
        <f>+W$28</f>
        <v>750000</v>
      </c>
      <c r="Y50" s="388">
        <f t="shared" si="7"/>
        <v>25000000</v>
      </c>
      <c r="Z50" s="377" t="e">
        <f>+W$25*Y50+X50</f>
        <v>#REF!</v>
      </c>
      <c r="AA50" s="391">
        <f>+AC49</f>
        <v>17095238.095238097</v>
      </c>
      <c r="AB50" s="388">
        <f>+AA$28</f>
        <v>571428.57142857148</v>
      </c>
      <c r="AC50" s="388">
        <f t="shared" si="8"/>
        <v>16523809.523809526</v>
      </c>
      <c r="AD50" s="377" t="e">
        <f>+AA$25*AC50+AB50</f>
        <v>#REF!</v>
      </c>
      <c r="AE50" s="391">
        <f>+AG49</f>
        <v>24800000</v>
      </c>
      <c r="AF50" s="388">
        <f>+AE$28</f>
        <v>1200000</v>
      </c>
      <c r="AG50" s="388">
        <f t="shared" si="9"/>
        <v>23600000</v>
      </c>
      <c r="AH50" s="377" t="e">
        <f>+AE$25*AG50+AF50</f>
        <v>#REF!</v>
      </c>
      <c r="AI50" s="391">
        <f>+AK49</f>
        <v>17166666.66666666</v>
      </c>
      <c r="AJ50" s="388">
        <f>+AI$28</f>
        <v>666666.66666666663</v>
      </c>
      <c r="AK50" s="388">
        <f t="shared" si="10"/>
        <v>16499999.999999994</v>
      </c>
      <c r="AL50" s="377" t="e">
        <f>+AI$25*AK50+AJ50</f>
        <v>#REF!</v>
      </c>
      <c r="AM50" s="405" t="e">
        <f t="shared" si="1"/>
        <v>#REF!</v>
      </c>
      <c r="AN50" s="152"/>
      <c r="AO50" s="389" t="e">
        <f>+AM50</f>
        <v>#REF!</v>
      </c>
    </row>
    <row r="51" spans="1:41">
      <c r="A51" s="339" t="s">
        <v>350</v>
      </c>
      <c r="B51" s="387">
        <f t="shared" si="4"/>
        <v>2014</v>
      </c>
      <c r="C51" s="388">
        <f>+C50</f>
        <v>14333333.333333332</v>
      </c>
      <c r="D51" s="388">
        <f>+D50</f>
        <v>666666.66666666663</v>
      </c>
      <c r="E51" s="388">
        <f t="shared" si="0"/>
        <v>13666666.666666666</v>
      </c>
      <c r="F51" s="377" t="e">
        <f>+C$26*E51+D51</f>
        <v>#REF!</v>
      </c>
      <c r="G51" s="388">
        <f>+G50</f>
        <v>23357142.857142851</v>
      </c>
      <c r="H51" s="388">
        <f>+H50</f>
        <v>857142.85714285716</v>
      </c>
      <c r="I51" s="388">
        <f t="shared" si="2"/>
        <v>22499999.999999993</v>
      </c>
      <c r="J51" s="377" t="e">
        <f>+G$26*I51+H51</f>
        <v>#REF!</v>
      </c>
      <c r="K51" s="391">
        <f>+K50</f>
        <v>16375000</v>
      </c>
      <c r="L51" s="388">
        <f>+L50</f>
        <v>500000</v>
      </c>
      <c r="M51" s="388">
        <f t="shared" si="3"/>
        <v>15875000</v>
      </c>
      <c r="N51" s="377" t="e">
        <f>+K$26*M51+L51</f>
        <v>#REF!</v>
      </c>
      <c r="O51" s="391">
        <f>+O50</f>
        <v>25375000</v>
      </c>
      <c r="P51" s="388">
        <f>+P50</f>
        <v>750000</v>
      </c>
      <c r="Q51" s="388">
        <f t="shared" si="5"/>
        <v>24625000</v>
      </c>
      <c r="R51" s="377" t="e">
        <f>+O$26*Q51+P51</f>
        <v>#REF!</v>
      </c>
      <c r="S51" s="391">
        <f>+S50</f>
        <v>16583333.333333332</v>
      </c>
      <c r="T51" s="388">
        <f>+T50</f>
        <v>500000</v>
      </c>
      <c r="U51" s="388">
        <f t="shared" si="6"/>
        <v>16083333.333333332</v>
      </c>
      <c r="V51" s="377" t="e">
        <f>+S$26*U51+T51</f>
        <v>#REF!</v>
      </c>
      <c r="W51" s="391">
        <f>+W50</f>
        <v>25750000</v>
      </c>
      <c r="X51" s="388">
        <f>+X50</f>
        <v>750000</v>
      </c>
      <c r="Y51" s="388">
        <f t="shared" si="7"/>
        <v>25000000</v>
      </c>
      <c r="Z51" s="377" t="e">
        <f>+W$26*Y51+X51</f>
        <v>#REF!</v>
      </c>
      <c r="AA51" s="391">
        <f>+AA50</f>
        <v>17095238.095238097</v>
      </c>
      <c r="AB51" s="388">
        <f>+AB50</f>
        <v>571428.57142857148</v>
      </c>
      <c r="AC51" s="388">
        <f t="shared" si="8"/>
        <v>16523809.523809526</v>
      </c>
      <c r="AD51" s="377" t="e">
        <f>+AA$26*AC51+AB51</f>
        <v>#REF!</v>
      </c>
      <c r="AE51" s="391">
        <f>+AE50</f>
        <v>24800000</v>
      </c>
      <c r="AF51" s="388">
        <f>+AF50</f>
        <v>1200000</v>
      </c>
      <c r="AG51" s="388">
        <f t="shared" si="9"/>
        <v>23600000</v>
      </c>
      <c r="AH51" s="377" t="e">
        <f>+AE$26*AG51+AF51</f>
        <v>#REF!</v>
      </c>
      <c r="AI51" s="391">
        <f>+AI50</f>
        <v>17166666.66666666</v>
      </c>
      <c r="AJ51" s="388">
        <f>+AJ50</f>
        <v>666666.66666666663</v>
      </c>
      <c r="AK51" s="388">
        <f t="shared" si="10"/>
        <v>16499999.999999994</v>
      </c>
      <c r="AL51" s="377" t="e">
        <f>+AI$26*AK51+AJ51</f>
        <v>#REF!</v>
      </c>
      <c r="AM51" s="405" t="e">
        <f t="shared" si="1"/>
        <v>#REF!</v>
      </c>
      <c r="AN51" s="390" t="e">
        <f>+AM51</f>
        <v>#REF!</v>
      </c>
      <c r="AO51" s="337"/>
    </row>
    <row r="52" spans="1:41">
      <c r="A52" s="339" t="s">
        <v>389</v>
      </c>
      <c r="B52" s="387">
        <f t="shared" si="4"/>
        <v>2015</v>
      </c>
      <c r="C52" s="388">
        <f>+E51</f>
        <v>13666666.666666666</v>
      </c>
      <c r="D52" s="388">
        <f>+C$28</f>
        <v>666666.66666666663</v>
      </c>
      <c r="E52" s="388">
        <f t="shared" si="0"/>
        <v>13000000</v>
      </c>
      <c r="F52" s="377" t="e">
        <f>+C$25*E52+D52</f>
        <v>#REF!</v>
      </c>
      <c r="G52" s="388">
        <f>+I51</f>
        <v>22499999.999999993</v>
      </c>
      <c r="H52" s="388">
        <f>+G$28</f>
        <v>857142.85714285716</v>
      </c>
      <c r="I52" s="388">
        <f t="shared" si="2"/>
        <v>21642857.142857134</v>
      </c>
      <c r="J52" s="377" t="e">
        <f>+G$25*I52+H52</f>
        <v>#REF!</v>
      </c>
      <c r="K52" s="391">
        <f>+M51</f>
        <v>15875000</v>
      </c>
      <c r="L52" s="388">
        <f>+K$28</f>
        <v>500000</v>
      </c>
      <c r="M52" s="388">
        <f t="shared" si="3"/>
        <v>15375000</v>
      </c>
      <c r="N52" s="377" t="e">
        <f>+K$25*M52+L52</f>
        <v>#REF!</v>
      </c>
      <c r="O52" s="391">
        <f>+Q51</f>
        <v>24625000</v>
      </c>
      <c r="P52" s="388">
        <f>+O$28</f>
        <v>750000</v>
      </c>
      <c r="Q52" s="388">
        <f t="shared" si="5"/>
        <v>23875000</v>
      </c>
      <c r="R52" s="377" t="e">
        <f>+O$25*Q52+P52</f>
        <v>#REF!</v>
      </c>
      <c r="S52" s="391">
        <f>+U51</f>
        <v>16083333.333333332</v>
      </c>
      <c r="T52" s="388">
        <f>+S$28</f>
        <v>500000</v>
      </c>
      <c r="U52" s="388">
        <f t="shared" si="6"/>
        <v>15583333.333333332</v>
      </c>
      <c r="V52" s="377" t="e">
        <f>+S$25*U52+T52</f>
        <v>#REF!</v>
      </c>
      <c r="W52" s="391">
        <f>+Y51</f>
        <v>25000000</v>
      </c>
      <c r="X52" s="388">
        <f>+W$28</f>
        <v>750000</v>
      </c>
      <c r="Y52" s="388">
        <f t="shared" si="7"/>
        <v>24250000</v>
      </c>
      <c r="Z52" s="377" t="e">
        <f>+W$25*Y52+X52</f>
        <v>#REF!</v>
      </c>
      <c r="AA52" s="391">
        <f>+AC51</f>
        <v>16523809.523809526</v>
      </c>
      <c r="AB52" s="388">
        <f>+AA$28</f>
        <v>571428.57142857148</v>
      </c>
      <c r="AC52" s="388">
        <f t="shared" si="8"/>
        <v>15952380.952380955</v>
      </c>
      <c r="AD52" s="377" t="e">
        <f>+AA$25*AC52+AB52</f>
        <v>#REF!</v>
      </c>
      <c r="AE52" s="391">
        <f>+AG51</f>
        <v>23600000</v>
      </c>
      <c r="AF52" s="388">
        <f>+AE$28</f>
        <v>1200000</v>
      </c>
      <c r="AG52" s="388">
        <f t="shared" si="9"/>
        <v>22400000</v>
      </c>
      <c r="AH52" s="377" t="e">
        <f>+AE$25*AG52+AF52</f>
        <v>#REF!</v>
      </c>
      <c r="AI52" s="391">
        <f>+AK51</f>
        <v>16499999.999999994</v>
      </c>
      <c r="AJ52" s="388">
        <f>+AI$28</f>
        <v>666666.66666666663</v>
      </c>
      <c r="AK52" s="388">
        <f t="shared" si="10"/>
        <v>15833333.333333328</v>
      </c>
      <c r="AL52" s="377" t="e">
        <f>+AI$25*AK52+AJ52</f>
        <v>#REF!</v>
      </c>
      <c r="AM52" s="405" t="e">
        <f t="shared" si="1"/>
        <v>#REF!</v>
      </c>
      <c r="AN52" s="152"/>
      <c r="AO52" s="389" t="e">
        <f>+AM52</f>
        <v>#REF!</v>
      </c>
    </row>
    <row r="53" spans="1:41">
      <c r="A53" s="339" t="s">
        <v>350</v>
      </c>
      <c r="B53" s="387">
        <f t="shared" si="4"/>
        <v>2015</v>
      </c>
      <c r="C53" s="388">
        <f>+C52</f>
        <v>13666666.666666666</v>
      </c>
      <c r="D53" s="388">
        <f>+D52</f>
        <v>666666.66666666663</v>
      </c>
      <c r="E53" s="388">
        <f t="shared" si="0"/>
        <v>13000000</v>
      </c>
      <c r="F53" s="377" t="e">
        <f>+C$26*E53+D53</f>
        <v>#REF!</v>
      </c>
      <c r="G53" s="388">
        <f>+G52</f>
        <v>22499999.999999993</v>
      </c>
      <c r="H53" s="388">
        <f>+H52</f>
        <v>857142.85714285716</v>
      </c>
      <c r="I53" s="388">
        <f t="shared" si="2"/>
        <v>21642857.142857134</v>
      </c>
      <c r="J53" s="377" t="e">
        <f>+G$26*I53+H53</f>
        <v>#REF!</v>
      </c>
      <c r="K53" s="391">
        <f>+K52</f>
        <v>15875000</v>
      </c>
      <c r="L53" s="388">
        <f>+L52</f>
        <v>500000</v>
      </c>
      <c r="M53" s="388">
        <f t="shared" si="3"/>
        <v>15375000</v>
      </c>
      <c r="N53" s="377" t="e">
        <f>+K$26*M53+L53</f>
        <v>#REF!</v>
      </c>
      <c r="O53" s="391">
        <f>+O52</f>
        <v>24625000</v>
      </c>
      <c r="P53" s="388">
        <f>+P52</f>
        <v>750000</v>
      </c>
      <c r="Q53" s="388">
        <f t="shared" si="5"/>
        <v>23875000</v>
      </c>
      <c r="R53" s="377" t="e">
        <f>+O$26*Q53+P53</f>
        <v>#REF!</v>
      </c>
      <c r="S53" s="391">
        <f>+S52</f>
        <v>16083333.333333332</v>
      </c>
      <c r="T53" s="388">
        <f>+T52</f>
        <v>500000</v>
      </c>
      <c r="U53" s="388">
        <f t="shared" si="6"/>
        <v>15583333.333333332</v>
      </c>
      <c r="V53" s="377" t="e">
        <f>+S$26*U53+T53</f>
        <v>#REF!</v>
      </c>
      <c r="W53" s="391">
        <f>+W52</f>
        <v>25000000</v>
      </c>
      <c r="X53" s="388">
        <f>+X52</f>
        <v>750000</v>
      </c>
      <c r="Y53" s="388">
        <f t="shared" si="7"/>
        <v>24250000</v>
      </c>
      <c r="Z53" s="377" t="e">
        <f>+W$26*Y53+X53</f>
        <v>#REF!</v>
      </c>
      <c r="AA53" s="391">
        <f>+AA52</f>
        <v>16523809.523809526</v>
      </c>
      <c r="AB53" s="388">
        <f>+AB52</f>
        <v>571428.57142857148</v>
      </c>
      <c r="AC53" s="388">
        <f t="shared" si="8"/>
        <v>15952380.952380955</v>
      </c>
      <c r="AD53" s="377" t="e">
        <f>+AA$26*AC53+AB53</f>
        <v>#REF!</v>
      </c>
      <c r="AE53" s="391">
        <f>+AE52</f>
        <v>23600000</v>
      </c>
      <c r="AF53" s="388">
        <f>+AF52</f>
        <v>1200000</v>
      </c>
      <c r="AG53" s="388">
        <f t="shared" si="9"/>
        <v>22400000</v>
      </c>
      <c r="AH53" s="377" t="e">
        <f>+AE$26*AG53+AF53</f>
        <v>#REF!</v>
      </c>
      <c r="AI53" s="391">
        <f>+AI52</f>
        <v>16499999.999999994</v>
      </c>
      <c r="AJ53" s="388">
        <f>+AJ52</f>
        <v>666666.66666666663</v>
      </c>
      <c r="AK53" s="388">
        <f t="shared" si="10"/>
        <v>15833333.333333328</v>
      </c>
      <c r="AL53" s="377" t="e">
        <f>+AI$26*AK53+AJ53</f>
        <v>#REF!</v>
      </c>
      <c r="AM53" s="405" t="e">
        <f t="shared" si="1"/>
        <v>#REF!</v>
      </c>
      <c r="AN53" s="390" t="e">
        <f>+AM53</f>
        <v>#REF!</v>
      </c>
      <c r="AO53" s="337"/>
    </row>
    <row r="54" spans="1:41">
      <c r="A54" s="339" t="s">
        <v>389</v>
      </c>
      <c r="B54" s="387">
        <f t="shared" si="4"/>
        <v>2016</v>
      </c>
      <c r="C54" s="388">
        <f>+E53</f>
        <v>13000000</v>
      </c>
      <c r="D54" s="388">
        <f>+C$28</f>
        <v>666666.66666666663</v>
      </c>
      <c r="E54" s="388">
        <f t="shared" si="0"/>
        <v>12333333.333333334</v>
      </c>
      <c r="F54" s="377" t="e">
        <f>+C$25*E54+D54</f>
        <v>#REF!</v>
      </c>
      <c r="G54" s="388">
        <f>+I53</f>
        <v>21642857.142857134</v>
      </c>
      <c r="H54" s="388">
        <f>+G$28</f>
        <v>857142.85714285716</v>
      </c>
      <c r="I54" s="388">
        <f t="shared" si="2"/>
        <v>20785714.285714276</v>
      </c>
      <c r="J54" s="377" t="e">
        <f>+G$25*I54+H54</f>
        <v>#REF!</v>
      </c>
      <c r="K54" s="391">
        <f>+M53</f>
        <v>15375000</v>
      </c>
      <c r="L54" s="388">
        <f>+K$28</f>
        <v>500000</v>
      </c>
      <c r="M54" s="388">
        <f t="shared" si="3"/>
        <v>14875000</v>
      </c>
      <c r="N54" s="377" t="e">
        <f>+K$25*M54+L54</f>
        <v>#REF!</v>
      </c>
      <c r="O54" s="391">
        <f>+Q53</f>
        <v>23875000</v>
      </c>
      <c r="P54" s="388">
        <f>+O$28</f>
        <v>750000</v>
      </c>
      <c r="Q54" s="388">
        <f t="shared" si="5"/>
        <v>23125000</v>
      </c>
      <c r="R54" s="377" t="e">
        <f>+O$25*Q54+P54</f>
        <v>#REF!</v>
      </c>
      <c r="S54" s="391">
        <f>+U53</f>
        <v>15583333.333333332</v>
      </c>
      <c r="T54" s="388">
        <f>+S$28</f>
        <v>500000</v>
      </c>
      <c r="U54" s="388">
        <f t="shared" si="6"/>
        <v>15083333.333333332</v>
      </c>
      <c r="V54" s="377" t="e">
        <f>+S$25*U54+T54</f>
        <v>#REF!</v>
      </c>
      <c r="W54" s="391">
        <f>+Y53</f>
        <v>24250000</v>
      </c>
      <c r="X54" s="388">
        <f>+W$28</f>
        <v>750000</v>
      </c>
      <c r="Y54" s="388">
        <f t="shared" si="7"/>
        <v>23500000</v>
      </c>
      <c r="Z54" s="377" t="e">
        <f>+W$25*Y54+X54</f>
        <v>#REF!</v>
      </c>
      <c r="AA54" s="391">
        <f>+AC53</f>
        <v>15952380.952380955</v>
      </c>
      <c r="AB54" s="388">
        <f>+AA$28</f>
        <v>571428.57142857148</v>
      </c>
      <c r="AC54" s="388">
        <f t="shared" si="8"/>
        <v>15380952.380952384</v>
      </c>
      <c r="AD54" s="377" t="e">
        <f>+AA$25*AC54+AB54</f>
        <v>#REF!</v>
      </c>
      <c r="AE54" s="391">
        <f>+AG53</f>
        <v>22400000</v>
      </c>
      <c r="AF54" s="388">
        <f>+AE$28</f>
        <v>1200000</v>
      </c>
      <c r="AG54" s="388">
        <f t="shared" si="9"/>
        <v>21200000</v>
      </c>
      <c r="AH54" s="377" t="e">
        <f>+AE$25*AG54+AF54</f>
        <v>#REF!</v>
      </c>
      <c r="AI54" s="391">
        <f>+AK53</f>
        <v>15833333.333333328</v>
      </c>
      <c r="AJ54" s="388">
        <f>+AI$28</f>
        <v>666666.66666666663</v>
      </c>
      <c r="AK54" s="388">
        <f t="shared" si="10"/>
        <v>15166666.666666662</v>
      </c>
      <c r="AL54" s="377" t="e">
        <f>+AI$25*AK54+AJ54</f>
        <v>#REF!</v>
      </c>
      <c r="AM54" s="405" t="e">
        <f t="shared" si="1"/>
        <v>#REF!</v>
      </c>
      <c r="AN54" s="152"/>
      <c r="AO54" s="389" t="e">
        <f>+AM54</f>
        <v>#REF!</v>
      </c>
    </row>
    <row r="55" spans="1:41">
      <c r="A55" s="339" t="s">
        <v>350</v>
      </c>
      <c r="B55" s="387">
        <f t="shared" si="4"/>
        <v>2016</v>
      </c>
      <c r="C55" s="388">
        <f>+C54</f>
        <v>13000000</v>
      </c>
      <c r="D55" s="388">
        <f>+D54</f>
        <v>666666.66666666663</v>
      </c>
      <c r="E55" s="388">
        <f t="shared" si="0"/>
        <v>12333333.333333334</v>
      </c>
      <c r="F55" s="377" t="e">
        <f>+C$26*E55+D55</f>
        <v>#REF!</v>
      </c>
      <c r="G55" s="388">
        <f>+G54</f>
        <v>21642857.142857134</v>
      </c>
      <c r="H55" s="388">
        <f>+H54</f>
        <v>857142.85714285716</v>
      </c>
      <c r="I55" s="388">
        <f t="shared" si="2"/>
        <v>20785714.285714276</v>
      </c>
      <c r="J55" s="377" t="e">
        <f>+G$26*I55+H55</f>
        <v>#REF!</v>
      </c>
      <c r="K55" s="391">
        <f>+K54</f>
        <v>15375000</v>
      </c>
      <c r="L55" s="388">
        <f>+L54</f>
        <v>500000</v>
      </c>
      <c r="M55" s="388">
        <f t="shared" si="3"/>
        <v>14875000</v>
      </c>
      <c r="N55" s="377" t="e">
        <f>+K$26*M55+L55</f>
        <v>#REF!</v>
      </c>
      <c r="O55" s="391">
        <f>+O54</f>
        <v>23875000</v>
      </c>
      <c r="P55" s="388">
        <f>+P54</f>
        <v>750000</v>
      </c>
      <c r="Q55" s="388">
        <f t="shared" si="5"/>
        <v>23125000</v>
      </c>
      <c r="R55" s="377" t="e">
        <f>+O$26*Q55+P55</f>
        <v>#REF!</v>
      </c>
      <c r="S55" s="391">
        <f>+S54</f>
        <v>15583333.333333332</v>
      </c>
      <c r="T55" s="388">
        <f>+T54</f>
        <v>500000</v>
      </c>
      <c r="U55" s="388">
        <f t="shared" si="6"/>
        <v>15083333.333333332</v>
      </c>
      <c r="V55" s="377" t="e">
        <f>+S$26*U55+T55</f>
        <v>#REF!</v>
      </c>
      <c r="W55" s="391">
        <f>+W54</f>
        <v>24250000</v>
      </c>
      <c r="X55" s="388">
        <f>+X54</f>
        <v>750000</v>
      </c>
      <c r="Y55" s="388">
        <f t="shared" si="7"/>
        <v>23500000</v>
      </c>
      <c r="Z55" s="377" t="e">
        <f>+W$26*Y55+X55</f>
        <v>#REF!</v>
      </c>
      <c r="AA55" s="391">
        <f>+AA54</f>
        <v>15952380.952380955</v>
      </c>
      <c r="AB55" s="388">
        <f>+AB54</f>
        <v>571428.57142857148</v>
      </c>
      <c r="AC55" s="388">
        <f t="shared" si="8"/>
        <v>15380952.380952384</v>
      </c>
      <c r="AD55" s="377" t="e">
        <f>+AA$26*AC55+AB55</f>
        <v>#REF!</v>
      </c>
      <c r="AE55" s="391">
        <f>+AE54</f>
        <v>22400000</v>
      </c>
      <c r="AF55" s="388">
        <f>+AF54</f>
        <v>1200000</v>
      </c>
      <c r="AG55" s="388">
        <f t="shared" si="9"/>
        <v>21200000</v>
      </c>
      <c r="AH55" s="377" t="e">
        <f>+AE$26*AG55+AF55</f>
        <v>#REF!</v>
      </c>
      <c r="AI55" s="391">
        <f>+AI54</f>
        <v>15833333.333333328</v>
      </c>
      <c r="AJ55" s="388">
        <f>+AJ54</f>
        <v>666666.66666666663</v>
      </c>
      <c r="AK55" s="388">
        <f t="shared" si="10"/>
        <v>15166666.666666662</v>
      </c>
      <c r="AL55" s="377" t="e">
        <f>+AI$26*AK55+AJ55</f>
        <v>#REF!</v>
      </c>
      <c r="AM55" s="405" t="e">
        <f t="shared" si="1"/>
        <v>#REF!</v>
      </c>
      <c r="AN55" s="390" t="e">
        <f>+AM55</f>
        <v>#REF!</v>
      </c>
      <c r="AO55" s="337"/>
    </row>
    <row r="56" spans="1:41">
      <c r="A56" s="339" t="s">
        <v>389</v>
      </c>
      <c r="B56" s="387">
        <f t="shared" si="4"/>
        <v>2017</v>
      </c>
      <c r="C56" s="388">
        <f>+E55</f>
        <v>12333333.333333334</v>
      </c>
      <c r="D56" s="388">
        <f>+C$28</f>
        <v>666666.66666666663</v>
      </c>
      <c r="E56" s="388">
        <f t="shared" si="0"/>
        <v>11666666.666666668</v>
      </c>
      <c r="F56" s="377" t="e">
        <f>+C$25*E56+D56</f>
        <v>#REF!</v>
      </c>
      <c r="G56" s="388">
        <f>+I55</f>
        <v>20785714.285714276</v>
      </c>
      <c r="H56" s="388">
        <f>+G$28</f>
        <v>857142.85714285716</v>
      </c>
      <c r="I56" s="388">
        <f t="shared" si="2"/>
        <v>19928571.428571418</v>
      </c>
      <c r="J56" s="377" t="e">
        <f>+G$25*I56+H56</f>
        <v>#REF!</v>
      </c>
      <c r="K56" s="391">
        <f>+M55</f>
        <v>14875000</v>
      </c>
      <c r="L56" s="388">
        <f>+K$28</f>
        <v>500000</v>
      </c>
      <c r="M56" s="388">
        <f t="shared" si="3"/>
        <v>14375000</v>
      </c>
      <c r="N56" s="377" t="e">
        <f>+K$25*M56+L56</f>
        <v>#REF!</v>
      </c>
      <c r="O56" s="391">
        <f>+Q55</f>
        <v>23125000</v>
      </c>
      <c r="P56" s="388">
        <f>+O$28</f>
        <v>750000</v>
      </c>
      <c r="Q56" s="388">
        <f t="shared" si="5"/>
        <v>22375000</v>
      </c>
      <c r="R56" s="377" t="e">
        <f>+O$25*Q56+P56</f>
        <v>#REF!</v>
      </c>
      <c r="S56" s="391">
        <f>+U55</f>
        <v>15083333.333333332</v>
      </c>
      <c r="T56" s="388">
        <f>+S$28</f>
        <v>500000</v>
      </c>
      <c r="U56" s="388">
        <f t="shared" si="6"/>
        <v>14583333.333333332</v>
      </c>
      <c r="V56" s="377" t="e">
        <f>+S$25*U56+T56</f>
        <v>#REF!</v>
      </c>
      <c r="W56" s="391">
        <f>+Y55</f>
        <v>23500000</v>
      </c>
      <c r="X56" s="388">
        <f>+W$28</f>
        <v>750000</v>
      </c>
      <c r="Y56" s="388">
        <f t="shared" si="7"/>
        <v>22750000</v>
      </c>
      <c r="Z56" s="377" t="e">
        <f>+W$25*Y56+X56</f>
        <v>#REF!</v>
      </c>
      <c r="AA56" s="391">
        <f>+AC55</f>
        <v>15380952.380952384</v>
      </c>
      <c r="AB56" s="388">
        <f>+AA$28</f>
        <v>571428.57142857148</v>
      </c>
      <c r="AC56" s="388">
        <f t="shared" si="8"/>
        <v>14809523.809523813</v>
      </c>
      <c r="AD56" s="377" t="e">
        <f>+AA$25*AC56+AB56</f>
        <v>#REF!</v>
      </c>
      <c r="AE56" s="391">
        <f>+AG55</f>
        <v>21200000</v>
      </c>
      <c r="AF56" s="388">
        <f>+AE$28</f>
        <v>1200000</v>
      </c>
      <c r="AG56" s="388">
        <f t="shared" si="9"/>
        <v>20000000</v>
      </c>
      <c r="AH56" s="377" t="e">
        <f>+AE$25*AG56+AF56</f>
        <v>#REF!</v>
      </c>
      <c r="AI56" s="391">
        <f>+AK55</f>
        <v>15166666.666666662</v>
      </c>
      <c r="AJ56" s="388">
        <f>+AI$28</f>
        <v>666666.66666666663</v>
      </c>
      <c r="AK56" s="388">
        <f t="shared" si="10"/>
        <v>14499999.999999996</v>
      </c>
      <c r="AL56" s="377" t="e">
        <f>+AI$25*AK56+AJ56</f>
        <v>#REF!</v>
      </c>
      <c r="AM56" s="405" t="e">
        <f t="shared" si="1"/>
        <v>#REF!</v>
      </c>
      <c r="AN56" s="152"/>
      <c r="AO56" s="389" t="e">
        <f>+AM56</f>
        <v>#REF!</v>
      </c>
    </row>
    <row r="57" spans="1:41">
      <c r="A57" s="339" t="s">
        <v>350</v>
      </c>
      <c r="B57" s="387">
        <f t="shared" si="4"/>
        <v>2017</v>
      </c>
      <c r="C57" s="388">
        <f>+C56</f>
        <v>12333333.333333334</v>
      </c>
      <c r="D57" s="388">
        <f>+D56</f>
        <v>666666.66666666663</v>
      </c>
      <c r="E57" s="388">
        <f t="shared" si="0"/>
        <v>11666666.666666668</v>
      </c>
      <c r="F57" s="377" t="e">
        <f>+C$26*E57+D57</f>
        <v>#REF!</v>
      </c>
      <c r="G57" s="388">
        <f>+G56</f>
        <v>20785714.285714276</v>
      </c>
      <c r="H57" s="388">
        <f>+H56</f>
        <v>857142.85714285716</v>
      </c>
      <c r="I57" s="388">
        <f t="shared" si="2"/>
        <v>19928571.428571418</v>
      </c>
      <c r="J57" s="377" t="e">
        <f>+G$26*I57+H57</f>
        <v>#REF!</v>
      </c>
      <c r="K57" s="391">
        <f>+K56</f>
        <v>14875000</v>
      </c>
      <c r="L57" s="388">
        <f>+L56</f>
        <v>500000</v>
      </c>
      <c r="M57" s="388">
        <f t="shared" si="3"/>
        <v>14375000</v>
      </c>
      <c r="N57" s="377" t="e">
        <f>+K$26*M57+L57</f>
        <v>#REF!</v>
      </c>
      <c r="O57" s="391">
        <f>+O56</f>
        <v>23125000</v>
      </c>
      <c r="P57" s="388">
        <f>+P56</f>
        <v>750000</v>
      </c>
      <c r="Q57" s="388">
        <f t="shared" si="5"/>
        <v>22375000</v>
      </c>
      <c r="R57" s="377" t="e">
        <f>+O$26*Q57+P57</f>
        <v>#REF!</v>
      </c>
      <c r="S57" s="391">
        <f>+S56</f>
        <v>15083333.333333332</v>
      </c>
      <c r="T57" s="388">
        <f>+T56</f>
        <v>500000</v>
      </c>
      <c r="U57" s="388">
        <f t="shared" si="6"/>
        <v>14583333.333333332</v>
      </c>
      <c r="V57" s="377" t="e">
        <f>+S$26*U57+T57</f>
        <v>#REF!</v>
      </c>
      <c r="W57" s="391">
        <f>+W56</f>
        <v>23500000</v>
      </c>
      <c r="X57" s="388">
        <f>+X56</f>
        <v>750000</v>
      </c>
      <c r="Y57" s="388">
        <f t="shared" si="7"/>
        <v>22750000</v>
      </c>
      <c r="Z57" s="377" t="e">
        <f>+W$26*Y57+X57</f>
        <v>#REF!</v>
      </c>
      <c r="AA57" s="391">
        <f>+AA56</f>
        <v>15380952.380952384</v>
      </c>
      <c r="AB57" s="388">
        <f>+AB56</f>
        <v>571428.57142857148</v>
      </c>
      <c r="AC57" s="388">
        <f t="shared" si="8"/>
        <v>14809523.809523813</v>
      </c>
      <c r="AD57" s="377" t="e">
        <f>+AA$26*AC57+AB57</f>
        <v>#REF!</v>
      </c>
      <c r="AE57" s="391">
        <f>+AE56</f>
        <v>21200000</v>
      </c>
      <c r="AF57" s="388">
        <f>+AF56</f>
        <v>1200000</v>
      </c>
      <c r="AG57" s="388">
        <f t="shared" si="9"/>
        <v>20000000</v>
      </c>
      <c r="AH57" s="377" t="e">
        <f>+AE$26*AG57+AF57</f>
        <v>#REF!</v>
      </c>
      <c r="AI57" s="391">
        <f>+AI56</f>
        <v>15166666.666666662</v>
      </c>
      <c r="AJ57" s="388">
        <f>+AJ56</f>
        <v>666666.66666666663</v>
      </c>
      <c r="AK57" s="388">
        <f t="shared" si="10"/>
        <v>14499999.999999996</v>
      </c>
      <c r="AL57" s="377" t="e">
        <f>+AI$26*AK57+AJ57</f>
        <v>#REF!</v>
      </c>
      <c r="AM57" s="405" t="e">
        <f t="shared" si="1"/>
        <v>#REF!</v>
      </c>
      <c r="AN57" s="390" t="e">
        <f>+AM57</f>
        <v>#REF!</v>
      </c>
      <c r="AO57" s="337"/>
    </row>
    <row r="58" spans="1:41">
      <c r="A58" s="339" t="s">
        <v>389</v>
      </c>
      <c r="B58" s="387">
        <f t="shared" si="4"/>
        <v>2018</v>
      </c>
      <c r="C58" s="388">
        <f>+E57</f>
        <v>11666666.666666668</v>
      </c>
      <c r="D58" s="388">
        <f>+C$28</f>
        <v>666666.66666666663</v>
      </c>
      <c r="E58" s="388">
        <f t="shared" si="0"/>
        <v>11000000.000000002</v>
      </c>
      <c r="F58" s="377" t="e">
        <f>+C$25*E58+D58</f>
        <v>#REF!</v>
      </c>
      <c r="G58" s="388">
        <f>+I57</f>
        <v>19928571.428571418</v>
      </c>
      <c r="H58" s="388">
        <f>+G$28</f>
        <v>857142.85714285716</v>
      </c>
      <c r="I58" s="388">
        <f t="shared" si="2"/>
        <v>19071428.57142856</v>
      </c>
      <c r="J58" s="377" t="e">
        <f>+G$25*I58+H58</f>
        <v>#REF!</v>
      </c>
      <c r="K58" s="391">
        <f>+M57</f>
        <v>14375000</v>
      </c>
      <c r="L58" s="388">
        <f>+K$28</f>
        <v>500000</v>
      </c>
      <c r="M58" s="388">
        <f t="shared" si="3"/>
        <v>13875000</v>
      </c>
      <c r="N58" s="377" t="e">
        <f>+K$25*M58+L58</f>
        <v>#REF!</v>
      </c>
      <c r="O58" s="391">
        <f>+Q57</f>
        <v>22375000</v>
      </c>
      <c r="P58" s="388">
        <f>+O$28</f>
        <v>750000</v>
      </c>
      <c r="Q58" s="388">
        <f t="shared" si="5"/>
        <v>21625000</v>
      </c>
      <c r="R58" s="377" t="e">
        <f>+O$25*Q58+P58</f>
        <v>#REF!</v>
      </c>
      <c r="S58" s="391">
        <f>+U57</f>
        <v>14583333.333333332</v>
      </c>
      <c r="T58" s="388">
        <f>+S$28</f>
        <v>500000</v>
      </c>
      <c r="U58" s="388">
        <f t="shared" si="6"/>
        <v>14083333.333333332</v>
      </c>
      <c r="V58" s="377" t="e">
        <f>+S$25*U58+T58</f>
        <v>#REF!</v>
      </c>
      <c r="W58" s="391">
        <f>+Y57</f>
        <v>22750000</v>
      </c>
      <c r="X58" s="388">
        <f>+W$28</f>
        <v>750000</v>
      </c>
      <c r="Y58" s="388">
        <f t="shared" si="7"/>
        <v>22000000</v>
      </c>
      <c r="Z58" s="377" t="e">
        <f>+W$25*Y58+X58</f>
        <v>#REF!</v>
      </c>
      <c r="AA58" s="391">
        <f>+AC57</f>
        <v>14809523.809523813</v>
      </c>
      <c r="AB58" s="388">
        <f>+AA$28</f>
        <v>571428.57142857148</v>
      </c>
      <c r="AC58" s="388">
        <f t="shared" si="8"/>
        <v>14238095.238095243</v>
      </c>
      <c r="AD58" s="377" t="e">
        <f>+AA$25*AC58+AB58</f>
        <v>#REF!</v>
      </c>
      <c r="AE58" s="391">
        <f>+AG57</f>
        <v>20000000</v>
      </c>
      <c r="AF58" s="388">
        <f>+AE$28</f>
        <v>1200000</v>
      </c>
      <c r="AG58" s="388">
        <f t="shared" si="9"/>
        <v>18800000</v>
      </c>
      <c r="AH58" s="377" t="e">
        <f>+AE$25*AG58+AF58</f>
        <v>#REF!</v>
      </c>
      <c r="AI58" s="391">
        <f>+AK57</f>
        <v>14499999.999999996</v>
      </c>
      <c r="AJ58" s="388">
        <f>+AI$28</f>
        <v>666666.66666666663</v>
      </c>
      <c r="AK58" s="388">
        <f t="shared" si="10"/>
        <v>13833333.33333333</v>
      </c>
      <c r="AL58" s="377" t="e">
        <f>+AI$25*AK58+AJ58</f>
        <v>#REF!</v>
      </c>
      <c r="AM58" s="405" t="e">
        <f t="shared" si="1"/>
        <v>#REF!</v>
      </c>
      <c r="AN58" s="152"/>
      <c r="AO58" s="389" t="e">
        <f>+AM58</f>
        <v>#REF!</v>
      </c>
    </row>
    <row r="59" spans="1:41">
      <c r="A59" s="339" t="s">
        <v>350</v>
      </c>
      <c r="B59" s="387">
        <f t="shared" si="4"/>
        <v>2018</v>
      </c>
      <c r="C59" s="388">
        <f>+C58</f>
        <v>11666666.666666668</v>
      </c>
      <c r="D59" s="388">
        <f>+D58</f>
        <v>666666.66666666663</v>
      </c>
      <c r="E59" s="388">
        <f t="shared" si="0"/>
        <v>11000000.000000002</v>
      </c>
      <c r="F59" s="377" t="e">
        <f>+C$26*E59+D59</f>
        <v>#REF!</v>
      </c>
      <c r="G59" s="388">
        <f>+G58</f>
        <v>19928571.428571418</v>
      </c>
      <c r="H59" s="388">
        <f>+H58</f>
        <v>857142.85714285716</v>
      </c>
      <c r="I59" s="388">
        <f t="shared" si="2"/>
        <v>19071428.57142856</v>
      </c>
      <c r="J59" s="377" t="e">
        <f>+G$26*I59+H59</f>
        <v>#REF!</v>
      </c>
      <c r="K59" s="391">
        <f>+K58</f>
        <v>14375000</v>
      </c>
      <c r="L59" s="388">
        <f>+L58</f>
        <v>500000</v>
      </c>
      <c r="M59" s="388">
        <f t="shared" si="3"/>
        <v>13875000</v>
      </c>
      <c r="N59" s="377" t="e">
        <f>+K$26*M59+L59</f>
        <v>#REF!</v>
      </c>
      <c r="O59" s="391">
        <f>+O58</f>
        <v>22375000</v>
      </c>
      <c r="P59" s="388">
        <f>+P58</f>
        <v>750000</v>
      </c>
      <c r="Q59" s="388">
        <f t="shared" si="5"/>
        <v>21625000</v>
      </c>
      <c r="R59" s="377" t="e">
        <f>+O$26*Q59+P59</f>
        <v>#REF!</v>
      </c>
      <c r="S59" s="391">
        <f>+S58</f>
        <v>14583333.333333332</v>
      </c>
      <c r="T59" s="388">
        <f>+T58</f>
        <v>500000</v>
      </c>
      <c r="U59" s="388">
        <f t="shared" si="6"/>
        <v>14083333.333333332</v>
      </c>
      <c r="V59" s="377" t="e">
        <f>+S$26*U59+T59</f>
        <v>#REF!</v>
      </c>
      <c r="W59" s="391">
        <f>+W58</f>
        <v>22750000</v>
      </c>
      <c r="X59" s="388">
        <f>+X58</f>
        <v>750000</v>
      </c>
      <c r="Y59" s="388">
        <f t="shared" si="7"/>
        <v>22000000</v>
      </c>
      <c r="Z59" s="377" t="e">
        <f>+W$26*Y59+X59</f>
        <v>#REF!</v>
      </c>
      <c r="AA59" s="391">
        <f>+AA58</f>
        <v>14809523.809523813</v>
      </c>
      <c r="AB59" s="388">
        <f>+AB58</f>
        <v>571428.57142857148</v>
      </c>
      <c r="AC59" s="388">
        <f t="shared" si="8"/>
        <v>14238095.238095243</v>
      </c>
      <c r="AD59" s="377" t="e">
        <f>+AA$26*AC59+AB59</f>
        <v>#REF!</v>
      </c>
      <c r="AE59" s="391">
        <f>+AE58</f>
        <v>20000000</v>
      </c>
      <c r="AF59" s="388">
        <f>+AF58</f>
        <v>1200000</v>
      </c>
      <c r="AG59" s="388">
        <f t="shared" si="9"/>
        <v>18800000</v>
      </c>
      <c r="AH59" s="377" t="e">
        <f>+AE$26*AG59+AF59</f>
        <v>#REF!</v>
      </c>
      <c r="AI59" s="391">
        <f>+AI58</f>
        <v>14499999.999999996</v>
      </c>
      <c r="AJ59" s="388">
        <f>+AJ58</f>
        <v>666666.66666666663</v>
      </c>
      <c r="AK59" s="388">
        <f t="shared" si="10"/>
        <v>13833333.33333333</v>
      </c>
      <c r="AL59" s="377" t="e">
        <f>+AI$26*AK59+AJ59</f>
        <v>#REF!</v>
      </c>
      <c r="AM59" s="405" t="e">
        <f t="shared" si="1"/>
        <v>#REF!</v>
      </c>
      <c r="AN59" s="390" t="e">
        <f>+AM59</f>
        <v>#REF!</v>
      </c>
      <c r="AO59" s="337"/>
    </row>
    <row r="60" spans="1:41">
      <c r="A60" s="339" t="s">
        <v>389</v>
      </c>
      <c r="B60" s="387">
        <f t="shared" si="4"/>
        <v>2019</v>
      </c>
      <c r="C60" s="388">
        <f>+E59</f>
        <v>11000000.000000002</v>
      </c>
      <c r="D60" s="388">
        <f>+C$28</f>
        <v>666666.66666666663</v>
      </c>
      <c r="E60" s="388">
        <f t="shared" si="0"/>
        <v>10333333.333333336</v>
      </c>
      <c r="F60" s="377" t="e">
        <f>+C$25*E60+D60</f>
        <v>#REF!</v>
      </c>
      <c r="G60" s="388">
        <f>+I59</f>
        <v>19071428.57142856</v>
      </c>
      <c r="H60" s="388">
        <f>+G$28</f>
        <v>857142.85714285716</v>
      </c>
      <c r="I60" s="388">
        <f t="shared" si="2"/>
        <v>18214285.714285702</v>
      </c>
      <c r="J60" s="377" t="e">
        <f>+G$25*I60+H60</f>
        <v>#REF!</v>
      </c>
      <c r="K60" s="391">
        <f>+M59</f>
        <v>13875000</v>
      </c>
      <c r="L60" s="388">
        <f>+K$28</f>
        <v>500000</v>
      </c>
      <c r="M60" s="388">
        <f t="shared" si="3"/>
        <v>13375000</v>
      </c>
      <c r="N60" s="377" t="e">
        <f>+K$25*M60+L60</f>
        <v>#REF!</v>
      </c>
      <c r="O60" s="391">
        <f>+Q59</f>
        <v>21625000</v>
      </c>
      <c r="P60" s="388">
        <f>+O$28</f>
        <v>750000</v>
      </c>
      <c r="Q60" s="388">
        <f t="shared" si="5"/>
        <v>20875000</v>
      </c>
      <c r="R60" s="377" t="e">
        <f>+O$25*Q60+P60</f>
        <v>#REF!</v>
      </c>
      <c r="S60" s="391">
        <f>+U59</f>
        <v>14083333.333333332</v>
      </c>
      <c r="T60" s="388">
        <f>+S$28</f>
        <v>500000</v>
      </c>
      <c r="U60" s="388">
        <f t="shared" si="6"/>
        <v>13583333.333333332</v>
      </c>
      <c r="V60" s="377" t="e">
        <f>+S$25*U60+T60</f>
        <v>#REF!</v>
      </c>
      <c r="W60" s="391">
        <f>+Y59</f>
        <v>22000000</v>
      </c>
      <c r="X60" s="388">
        <f>+W$28</f>
        <v>750000</v>
      </c>
      <c r="Y60" s="388">
        <f t="shared" si="7"/>
        <v>21250000</v>
      </c>
      <c r="Z60" s="377" t="e">
        <f>+W$25*Y60+X60</f>
        <v>#REF!</v>
      </c>
      <c r="AA60" s="391">
        <f>+AC59</f>
        <v>14238095.238095243</v>
      </c>
      <c r="AB60" s="388">
        <f>+AA$28</f>
        <v>571428.57142857148</v>
      </c>
      <c r="AC60" s="388">
        <f t="shared" si="8"/>
        <v>13666666.666666672</v>
      </c>
      <c r="AD60" s="377" t="e">
        <f>+AA$25*AC60+AB60</f>
        <v>#REF!</v>
      </c>
      <c r="AE60" s="391">
        <f>+AG59</f>
        <v>18800000</v>
      </c>
      <c r="AF60" s="388">
        <f>+AE$28</f>
        <v>1200000</v>
      </c>
      <c r="AG60" s="388">
        <f t="shared" si="9"/>
        <v>17600000</v>
      </c>
      <c r="AH60" s="377" t="e">
        <f>+AE$25*AG60+AF60</f>
        <v>#REF!</v>
      </c>
      <c r="AI60" s="391">
        <f>+AK59</f>
        <v>13833333.33333333</v>
      </c>
      <c r="AJ60" s="388">
        <f>+AI$28</f>
        <v>666666.66666666663</v>
      </c>
      <c r="AK60" s="388">
        <f t="shared" si="10"/>
        <v>13166666.666666664</v>
      </c>
      <c r="AL60" s="377" t="e">
        <f>+AI$25*AK60+AJ60</f>
        <v>#REF!</v>
      </c>
      <c r="AM60" s="405" t="e">
        <f t="shared" si="1"/>
        <v>#REF!</v>
      </c>
      <c r="AN60" s="152"/>
      <c r="AO60" s="389" t="e">
        <f>+AM60</f>
        <v>#REF!</v>
      </c>
    </row>
    <row r="61" spans="1:41">
      <c r="A61" s="339" t="s">
        <v>350</v>
      </c>
      <c r="B61" s="387">
        <f t="shared" si="4"/>
        <v>2019</v>
      </c>
      <c r="C61" s="388">
        <f>+C60</f>
        <v>11000000.000000002</v>
      </c>
      <c r="D61" s="388">
        <f>+D60</f>
        <v>666666.66666666663</v>
      </c>
      <c r="E61" s="388">
        <f t="shared" si="0"/>
        <v>10333333.333333336</v>
      </c>
      <c r="F61" s="377" t="e">
        <f>+C$26*E61+D61</f>
        <v>#REF!</v>
      </c>
      <c r="G61" s="388">
        <f>+G60</f>
        <v>19071428.57142856</v>
      </c>
      <c r="H61" s="388">
        <f>+H60</f>
        <v>857142.85714285716</v>
      </c>
      <c r="I61" s="388">
        <f t="shared" si="2"/>
        <v>18214285.714285702</v>
      </c>
      <c r="J61" s="377" t="e">
        <f>+G$26*I61+H61</f>
        <v>#REF!</v>
      </c>
      <c r="K61" s="391">
        <f>+K60</f>
        <v>13875000</v>
      </c>
      <c r="L61" s="388">
        <f>+L60</f>
        <v>500000</v>
      </c>
      <c r="M61" s="388">
        <f t="shared" si="3"/>
        <v>13375000</v>
      </c>
      <c r="N61" s="377" t="e">
        <f>+K$26*M61+L61</f>
        <v>#REF!</v>
      </c>
      <c r="O61" s="391">
        <f>+O60</f>
        <v>21625000</v>
      </c>
      <c r="P61" s="388">
        <f>+P60</f>
        <v>750000</v>
      </c>
      <c r="Q61" s="388">
        <f t="shared" si="5"/>
        <v>20875000</v>
      </c>
      <c r="R61" s="377" t="e">
        <f>+O$26*Q61+P61</f>
        <v>#REF!</v>
      </c>
      <c r="S61" s="391">
        <f>+S60</f>
        <v>14083333.333333332</v>
      </c>
      <c r="T61" s="388">
        <f>+T60</f>
        <v>500000</v>
      </c>
      <c r="U61" s="388">
        <f t="shared" si="6"/>
        <v>13583333.333333332</v>
      </c>
      <c r="V61" s="377" t="e">
        <f>+S$26*U61+T61</f>
        <v>#REF!</v>
      </c>
      <c r="W61" s="391">
        <f>+W60</f>
        <v>22000000</v>
      </c>
      <c r="X61" s="388">
        <f>+X60</f>
        <v>750000</v>
      </c>
      <c r="Y61" s="388">
        <f t="shared" si="7"/>
        <v>21250000</v>
      </c>
      <c r="Z61" s="377" t="e">
        <f>+W$26*Y61+X61</f>
        <v>#REF!</v>
      </c>
      <c r="AA61" s="391">
        <f>+AA60</f>
        <v>14238095.238095243</v>
      </c>
      <c r="AB61" s="388">
        <f>+AB60</f>
        <v>571428.57142857148</v>
      </c>
      <c r="AC61" s="388">
        <f t="shared" si="8"/>
        <v>13666666.666666672</v>
      </c>
      <c r="AD61" s="377" t="e">
        <f>+AA$26*AC61+AB61</f>
        <v>#REF!</v>
      </c>
      <c r="AE61" s="391">
        <f>+AE60</f>
        <v>18800000</v>
      </c>
      <c r="AF61" s="388">
        <f>+AF60</f>
        <v>1200000</v>
      </c>
      <c r="AG61" s="388">
        <f t="shared" si="9"/>
        <v>17600000</v>
      </c>
      <c r="AH61" s="377" t="e">
        <f>+AE$26*AG61+AF61</f>
        <v>#REF!</v>
      </c>
      <c r="AI61" s="391">
        <f>+AI60</f>
        <v>13833333.33333333</v>
      </c>
      <c r="AJ61" s="388">
        <f>+AJ60</f>
        <v>666666.66666666663</v>
      </c>
      <c r="AK61" s="388">
        <f t="shared" si="10"/>
        <v>13166666.666666664</v>
      </c>
      <c r="AL61" s="377" t="e">
        <f>+AI$26*AK61+AJ61</f>
        <v>#REF!</v>
      </c>
      <c r="AM61" s="405" t="e">
        <f t="shared" si="1"/>
        <v>#REF!</v>
      </c>
      <c r="AN61" s="390" t="e">
        <f>+AM61</f>
        <v>#REF!</v>
      </c>
      <c r="AO61" s="337"/>
    </row>
    <row r="62" spans="1:41">
      <c r="A62" s="339" t="s">
        <v>389</v>
      </c>
      <c r="B62" s="387">
        <f t="shared" si="4"/>
        <v>2020</v>
      </c>
      <c r="C62" s="388">
        <f>+E61</f>
        <v>10333333.333333336</v>
      </c>
      <c r="D62" s="388">
        <f>+C$28</f>
        <v>666666.66666666663</v>
      </c>
      <c r="E62" s="388">
        <f t="shared" si="0"/>
        <v>9666666.6666666698</v>
      </c>
      <c r="F62" s="377" t="e">
        <f>+C$25*E62+D62</f>
        <v>#REF!</v>
      </c>
      <c r="G62" s="388">
        <f>+I61</f>
        <v>18214285.714285702</v>
      </c>
      <c r="H62" s="388">
        <f>+G$28</f>
        <v>857142.85714285716</v>
      </c>
      <c r="I62" s="388">
        <f t="shared" si="2"/>
        <v>17357142.857142843</v>
      </c>
      <c r="J62" s="377" t="e">
        <f>+G$25*I62+H62</f>
        <v>#REF!</v>
      </c>
      <c r="K62" s="391">
        <f>+M61</f>
        <v>13375000</v>
      </c>
      <c r="L62" s="388">
        <f>+K$28</f>
        <v>500000</v>
      </c>
      <c r="M62" s="388">
        <f t="shared" si="3"/>
        <v>12875000</v>
      </c>
      <c r="N62" s="377" t="e">
        <f>+K$25*M62+L62</f>
        <v>#REF!</v>
      </c>
      <c r="O62" s="391">
        <f>+Q61</f>
        <v>20875000</v>
      </c>
      <c r="P62" s="388">
        <f>+O$28</f>
        <v>750000</v>
      </c>
      <c r="Q62" s="388">
        <f t="shared" si="5"/>
        <v>20125000</v>
      </c>
      <c r="R62" s="377" t="e">
        <f>+O$25*Q62+P62</f>
        <v>#REF!</v>
      </c>
      <c r="S62" s="391">
        <f>+U61</f>
        <v>13583333.333333332</v>
      </c>
      <c r="T62" s="388">
        <f>+S$28</f>
        <v>500000</v>
      </c>
      <c r="U62" s="388">
        <f t="shared" si="6"/>
        <v>13083333.333333332</v>
      </c>
      <c r="V62" s="377" t="e">
        <f>+S$25*U62+T62</f>
        <v>#REF!</v>
      </c>
      <c r="W62" s="391">
        <f>+Y61</f>
        <v>21250000</v>
      </c>
      <c r="X62" s="388">
        <f>+W$28</f>
        <v>750000</v>
      </c>
      <c r="Y62" s="388">
        <f t="shared" si="7"/>
        <v>20500000</v>
      </c>
      <c r="Z62" s="377" t="e">
        <f>+W$25*Y62+X62</f>
        <v>#REF!</v>
      </c>
      <c r="AA62" s="391">
        <f>+AC61</f>
        <v>13666666.666666672</v>
      </c>
      <c r="AB62" s="388">
        <f>+AA$28</f>
        <v>571428.57142857148</v>
      </c>
      <c r="AC62" s="388">
        <f t="shared" si="8"/>
        <v>13095238.095238101</v>
      </c>
      <c r="AD62" s="377" t="e">
        <f>+AA$25*AC62+AB62</f>
        <v>#REF!</v>
      </c>
      <c r="AE62" s="391">
        <f>+AG61</f>
        <v>17600000</v>
      </c>
      <c r="AF62" s="388">
        <f>+AE$28</f>
        <v>1200000</v>
      </c>
      <c r="AG62" s="388">
        <f t="shared" si="9"/>
        <v>16400000</v>
      </c>
      <c r="AH62" s="377" t="e">
        <f>+AE$25*AG62+AF62</f>
        <v>#REF!</v>
      </c>
      <c r="AI62" s="391">
        <f>+AK61</f>
        <v>13166666.666666664</v>
      </c>
      <c r="AJ62" s="388">
        <f>+AI$28</f>
        <v>666666.66666666663</v>
      </c>
      <c r="AK62" s="388">
        <f t="shared" si="10"/>
        <v>12499999.999999998</v>
      </c>
      <c r="AL62" s="377" t="e">
        <f>+AI$25*AK62+AJ62</f>
        <v>#REF!</v>
      </c>
      <c r="AM62" s="405" t="e">
        <f t="shared" si="1"/>
        <v>#REF!</v>
      </c>
      <c r="AN62" s="152"/>
      <c r="AO62" s="389" t="e">
        <f>+AM62</f>
        <v>#REF!</v>
      </c>
    </row>
    <row r="63" spans="1:41">
      <c r="A63" s="339" t="s">
        <v>350</v>
      </c>
      <c r="B63" s="387">
        <f t="shared" si="4"/>
        <v>2020</v>
      </c>
      <c r="C63" s="388">
        <f>+C62</f>
        <v>10333333.333333336</v>
      </c>
      <c r="D63" s="388">
        <f>+D62</f>
        <v>666666.66666666663</v>
      </c>
      <c r="E63" s="388">
        <f t="shared" si="0"/>
        <v>9666666.6666666698</v>
      </c>
      <c r="F63" s="377" t="e">
        <f>+C$26*E63+D63</f>
        <v>#REF!</v>
      </c>
      <c r="G63" s="388">
        <f>+G62</f>
        <v>18214285.714285702</v>
      </c>
      <c r="H63" s="388">
        <f>+H62</f>
        <v>857142.85714285716</v>
      </c>
      <c r="I63" s="388">
        <f t="shared" si="2"/>
        <v>17357142.857142843</v>
      </c>
      <c r="J63" s="377" t="e">
        <f>+G$26*I63+H63</f>
        <v>#REF!</v>
      </c>
      <c r="K63" s="391">
        <f>+K62</f>
        <v>13375000</v>
      </c>
      <c r="L63" s="388">
        <f>+L62</f>
        <v>500000</v>
      </c>
      <c r="M63" s="388">
        <f t="shared" si="3"/>
        <v>12875000</v>
      </c>
      <c r="N63" s="377" t="e">
        <f>+K$26*M63+L63</f>
        <v>#REF!</v>
      </c>
      <c r="O63" s="391">
        <f>+O62</f>
        <v>20875000</v>
      </c>
      <c r="P63" s="388">
        <f>+P62</f>
        <v>750000</v>
      </c>
      <c r="Q63" s="388">
        <f t="shared" si="5"/>
        <v>20125000</v>
      </c>
      <c r="R63" s="377" t="e">
        <f>+O$26*Q63+P63</f>
        <v>#REF!</v>
      </c>
      <c r="S63" s="391">
        <f>+S62</f>
        <v>13583333.333333332</v>
      </c>
      <c r="T63" s="388">
        <f>+T62</f>
        <v>500000</v>
      </c>
      <c r="U63" s="388">
        <f t="shared" si="6"/>
        <v>13083333.333333332</v>
      </c>
      <c r="V63" s="377" t="e">
        <f>+S$26*U63+T63</f>
        <v>#REF!</v>
      </c>
      <c r="W63" s="391">
        <f>+W62</f>
        <v>21250000</v>
      </c>
      <c r="X63" s="388">
        <f>+X62</f>
        <v>750000</v>
      </c>
      <c r="Y63" s="388">
        <f t="shared" si="7"/>
        <v>20500000</v>
      </c>
      <c r="Z63" s="377" t="e">
        <f>+W$26*Y63+X63</f>
        <v>#REF!</v>
      </c>
      <c r="AA63" s="391">
        <f>+AA62</f>
        <v>13666666.666666672</v>
      </c>
      <c r="AB63" s="388">
        <f>+AB62</f>
        <v>571428.57142857148</v>
      </c>
      <c r="AC63" s="388">
        <f t="shared" si="8"/>
        <v>13095238.095238101</v>
      </c>
      <c r="AD63" s="377" t="e">
        <f>+AA$26*AC63+AB63</f>
        <v>#REF!</v>
      </c>
      <c r="AE63" s="391">
        <f>+AE62</f>
        <v>17600000</v>
      </c>
      <c r="AF63" s="388">
        <f>+AF62</f>
        <v>1200000</v>
      </c>
      <c r="AG63" s="388">
        <f t="shared" si="9"/>
        <v>16400000</v>
      </c>
      <c r="AH63" s="377" t="e">
        <f>+AE$26*AG63+AF63</f>
        <v>#REF!</v>
      </c>
      <c r="AI63" s="391">
        <f>+AI62</f>
        <v>13166666.666666664</v>
      </c>
      <c r="AJ63" s="388">
        <f>+AJ62</f>
        <v>666666.66666666663</v>
      </c>
      <c r="AK63" s="388">
        <f t="shared" si="10"/>
        <v>12499999.999999998</v>
      </c>
      <c r="AL63" s="377" t="e">
        <f>+AI$26*AK63+AJ63</f>
        <v>#REF!</v>
      </c>
      <c r="AM63" s="405" t="e">
        <f t="shared" si="1"/>
        <v>#REF!</v>
      </c>
      <c r="AN63" s="390" t="e">
        <f>+AM63</f>
        <v>#REF!</v>
      </c>
      <c r="AO63" s="337"/>
    </row>
    <row r="64" spans="1:41">
      <c r="A64" s="339" t="s">
        <v>389</v>
      </c>
      <c r="B64" s="387">
        <f t="shared" si="4"/>
        <v>2021</v>
      </c>
      <c r="C64" s="388">
        <f>+E63</f>
        <v>9666666.6666666698</v>
      </c>
      <c r="D64" s="388">
        <f>+C$28</f>
        <v>666666.66666666663</v>
      </c>
      <c r="E64" s="388">
        <f t="shared" ref="E64:E71" si="11">+C64-D64</f>
        <v>9000000.0000000037</v>
      </c>
      <c r="F64" s="377" t="e">
        <f>+C$25*E64+D64</f>
        <v>#REF!</v>
      </c>
      <c r="G64" s="388">
        <f>+I63</f>
        <v>17357142.857142843</v>
      </c>
      <c r="H64" s="388">
        <f>+G$28</f>
        <v>857142.85714285716</v>
      </c>
      <c r="I64" s="388">
        <f t="shared" si="2"/>
        <v>16499999.999999987</v>
      </c>
      <c r="J64" s="377" t="e">
        <f>+G$25*I64+H64</f>
        <v>#REF!</v>
      </c>
      <c r="K64" s="391">
        <f>+M63</f>
        <v>12875000</v>
      </c>
      <c r="L64" s="388">
        <f>+K$28</f>
        <v>500000</v>
      </c>
      <c r="M64" s="388">
        <f t="shared" si="3"/>
        <v>12375000</v>
      </c>
      <c r="N64" s="377" t="e">
        <f>+K$25*M64+L64</f>
        <v>#REF!</v>
      </c>
      <c r="O64" s="391">
        <f>+Q63</f>
        <v>20125000</v>
      </c>
      <c r="P64" s="388">
        <f>+O$28</f>
        <v>750000</v>
      </c>
      <c r="Q64" s="388">
        <f t="shared" si="5"/>
        <v>19375000</v>
      </c>
      <c r="R64" s="377" t="e">
        <f>+O$25*Q64+P64</f>
        <v>#REF!</v>
      </c>
      <c r="S64" s="391">
        <f>+U63</f>
        <v>13083333.333333332</v>
      </c>
      <c r="T64" s="388">
        <f>+S$28</f>
        <v>500000</v>
      </c>
      <c r="U64" s="388">
        <f t="shared" si="6"/>
        <v>12583333.333333332</v>
      </c>
      <c r="V64" s="377" t="e">
        <f>+S$25*U64+T64</f>
        <v>#REF!</v>
      </c>
      <c r="W64" s="391">
        <f>+Y63</f>
        <v>20500000</v>
      </c>
      <c r="X64" s="388">
        <f>+W$28</f>
        <v>750000</v>
      </c>
      <c r="Y64" s="388">
        <f t="shared" si="7"/>
        <v>19750000</v>
      </c>
      <c r="Z64" s="377" t="e">
        <f>+W$25*Y64+X64</f>
        <v>#REF!</v>
      </c>
      <c r="AA64" s="391">
        <f>+AC63</f>
        <v>13095238.095238101</v>
      </c>
      <c r="AB64" s="388">
        <f>+AA$28</f>
        <v>571428.57142857148</v>
      </c>
      <c r="AC64" s="388">
        <f t="shared" si="8"/>
        <v>12523809.52380953</v>
      </c>
      <c r="AD64" s="377" t="e">
        <f>+AA$25*AC64+AB64</f>
        <v>#REF!</v>
      </c>
      <c r="AE64" s="391">
        <f>+AG63</f>
        <v>16400000</v>
      </c>
      <c r="AF64" s="388">
        <f>+AE$28</f>
        <v>1200000</v>
      </c>
      <c r="AG64" s="388">
        <f t="shared" si="9"/>
        <v>15200000</v>
      </c>
      <c r="AH64" s="377" t="e">
        <f>+AE$25*AG64+AF64</f>
        <v>#REF!</v>
      </c>
      <c r="AI64" s="391">
        <f>+AK63</f>
        <v>12499999.999999998</v>
      </c>
      <c r="AJ64" s="388">
        <f>+AI$28</f>
        <v>666666.66666666663</v>
      </c>
      <c r="AK64" s="388">
        <f t="shared" si="10"/>
        <v>11833333.333333332</v>
      </c>
      <c r="AL64" s="377" t="e">
        <f>+AI$25*AK64+AJ64</f>
        <v>#REF!</v>
      </c>
      <c r="AM64" s="405" t="e">
        <f t="shared" si="1"/>
        <v>#REF!</v>
      </c>
      <c r="AN64" s="152"/>
      <c r="AO64" s="389" t="e">
        <f>+AM64</f>
        <v>#REF!</v>
      </c>
    </row>
    <row r="65" spans="1:41">
      <c r="A65" s="339" t="s">
        <v>350</v>
      </c>
      <c r="B65" s="387">
        <f t="shared" si="4"/>
        <v>2021</v>
      </c>
      <c r="C65" s="388">
        <f>+C64</f>
        <v>9666666.6666666698</v>
      </c>
      <c r="D65" s="388">
        <f>+D64</f>
        <v>666666.66666666663</v>
      </c>
      <c r="E65" s="388">
        <f t="shared" si="11"/>
        <v>9000000.0000000037</v>
      </c>
      <c r="F65" s="377" t="e">
        <f>+C$26*E65+D65</f>
        <v>#REF!</v>
      </c>
      <c r="G65" s="388">
        <f>+G64</f>
        <v>17357142.857142843</v>
      </c>
      <c r="H65" s="388">
        <f>+H64</f>
        <v>857142.85714285716</v>
      </c>
      <c r="I65" s="388">
        <f t="shared" si="2"/>
        <v>16499999.999999987</v>
      </c>
      <c r="J65" s="377" t="e">
        <f>+G$26*I65+H65</f>
        <v>#REF!</v>
      </c>
      <c r="K65" s="391">
        <f>+K64</f>
        <v>12875000</v>
      </c>
      <c r="L65" s="388">
        <f>+L64</f>
        <v>500000</v>
      </c>
      <c r="M65" s="388">
        <f t="shared" si="3"/>
        <v>12375000</v>
      </c>
      <c r="N65" s="377" t="e">
        <f>+K$26*M65+L65</f>
        <v>#REF!</v>
      </c>
      <c r="O65" s="391">
        <f>+O64</f>
        <v>20125000</v>
      </c>
      <c r="P65" s="388">
        <f>+P64</f>
        <v>750000</v>
      </c>
      <c r="Q65" s="388">
        <f t="shared" si="5"/>
        <v>19375000</v>
      </c>
      <c r="R65" s="377" t="e">
        <f>+O$26*Q65+P65</f>
        <v>#REF!</v>
      </c>
      <c r="S65" s="391">
        <f>+S64</f>
        <v>13083333.333333332</v>
      </c>
      <c r="T65" s="388">
        <f>+T64</f>
        <v>500000</v>
      </c>
      <c r="U65" s="388">
        <f t="shared" si="6"/>
        <v>12583333.333333332</v>
      </c>
      <c r="V65" s="377" t="e">
        <f>+S$26*U65+T65</f>
        <v>#REF!</v>
      </c>
      <c r="W65" s="391">
        <f>+W64</f>
        <v>20500000</v>
      </c>
      <c r="X65" s="388">
        <f>+X64</f>
        <v>750000</v>
      </c>
      <c r="Y65" s="388">
        <f t="shared" si="7"/>
        <v>19750000</v>
      </c>
      <c r="Z65" s="377" t="e">
        <f>+W$26*Y65+X65</f>
        <v>#REF!</v>
      </c>
      <c r="AA65" s="391">
        <f>+AA64</f>
        <v>13095238.095238101</v>
      </c>
      <c r="AB65" s="388">
        <f>+AB64</f>
        <v>571428.57142857148</v>
      </c>
      <c r="AC65" s="388">
        <f t="shared" si="8"/>
        <v>12523809.52380953</v>
      </c>
      <c r="AD65" s="377" t="e">
        <f>+AA$26*AC65+AB65</f>
        <v>#REF!</v>
      </c>
      <c r="AE65" s="391">
        <f>+AE64</f>
        <v>16400000</v>
      </c>
      <c r="AF65" s="388">
        <f>+AF64</f>
        <v>1200000</v>
      </c>
      <c r="AG65" s="388">
        <f t="shared" si="9"/>
        <v>15200000</v>
      </c>
      <c r="AH65" s="377" t="e">
        <f>+AE$26*AG65+AF65</f>
        <v>#REF!</v>
      </c>
      <c r="AI65" s="391">
        <f>+AI64</f>
        <v>12499999.999999998</v>
      </c>
      <c r="AJ65" s="388">
        <f>+AJ64</f>
        <v>666666.66666666663</v>
      </c>
      <c r="AK65" s="388">
        <f t="shared" si="10"/>
        <v>11833333.333333332</v>
      </c>
      <c r="AL65" s="377" t="e">
        <f>+AI$26*AK65+AJ65</f>
        <v>#REF!</v>
      </c>
      <c r="AM65" s="405" t="e">
        <f t="shared" si="1"/>
        <v>#REF!</v>
      </c>
      <c r="AN65" s="390" t="e">
        <f>+AM65</f>
        <v>#REF!</v>
      </c>
      <c r="AO65" s="337"/>
    </row>
    <row r="66" spans="1:41">
      <c r="A66" s="339" t="s">
        <v>389</v>
      </c>
      <c r="B66" s="387">
        <f t="shared" si="4"/>
        <v>2022</v>
      </c>
      <c r="C66" s="388">
        <f>+E65</f>
        <v>9000000.0000000037</v>
      </c>
      <c r="D66" s="388">
        <f>+C$28</f>
        <v>666666.66666666663</v>
      </c>
      <c r="E66" s="388">
        <f t="shared" si="11"/>
        <v>8333333.3333333367</v>
      </c>
      <c r="F66" s="377" t="e">
        <f>+C$25*E66+D66</f>
        <v>#REF!</v>
      </c>
      <c r="G66" s="388">
        <f>+I65</f>
        <v>16499999.999999987</v>
      </c>
      <c r="H66" s="388">
        <f>+G$28</f>
        <v>857142.85714285716</v>
      </c>
      <c r="I66" s="388">
        <f t="shared" ref="I66:I71" si="12">+G66-H66</f>
        <v>15642857.142857131</v>
      </c>
      <c r="J66" s="377" t="e">
        <f>+G$25*I66+H66</f>
        <v>#REF!</v>
      </c>
      <c r="K66" s="391">
        <f>+M65</f>
        <v>12375000</v>
      </c>
      <c r="L66" s="388">
        <f>+K$28</f>
        <v>500000</v>
      </c>
      <c r="M66" s="388">
        <f t="shared" ref="M66:M71" si="13">+K66-L66</f>
        <v>11875000</v>
      </c>
      <c r="N66" s="377" t="e">
        <f>+K$25*M66+L66</f>
        <v>#REF!</v>
      </c>
      <c r="O66" s="391">
        <f>+Q65</f>
        <v>19375000</v>
      </c>
      <c r="P66" s="388">
        <f>+O$28</f>
        <v>750000</v>
      </c>
      <c r="Q66" s="388">
        <f t="shared" si="5"/>
        <v>18625000</v>
      </c>
      <c r="R66" s="377" t="e">
        <f>+O$25*Q66+P66</f>
        <v>#REF!</v>
      </c>
      <c r="S66" s="391">
        <f>+U65</f>
        <v>12583333.333333332</v>
      </c>
      <c r="T66" s="388">
        <f>+S$28</f>
        <v>500000</v>
      </c>
      <c r="U66" s="388">
        <f t="shared" si="6"/>
        <v>12083333.333333332</v>
      </c>
      <c r="V66" s="377" t="e">
        <f>+S$25*U66+T66</f>
        <v>#REF!</v>
      </c>
      <c r="W66" s="391">
        <f>+Y65</f>
        <v>19750000</v>
      </c>
      <c r="X66" s="388">
        <f>+W$28</f>
        <v>750000</v>
      </c>
      <c r="Y66" s="388">
        <f t="shared" si="7"/>
        <v>19000000</v>
      </c>
      <c r="Z66" s="377" t="e">
        <f>+W$25*Y66+X66</f>
        <v>#REF!</v>
      </c>
      <c r="AA66" s="391">
        <f>+AC65</f>
        <v>12523809.52380953</v>
      </c>
      <c r="AB66" s="388">
        <f>+AA$28</f>
        <v>571428.57142857148</v>
      </c>
      <c r="AC66" s="388">
        <f t="shared" si="8"/>
        <v>11952380.952380959</v>
      </c>
      <c r="AD66" s="377" t="e">
        <f>+AA$25*AC66+AB66</f>
        <v>#REF!</v>
      </c>
      <c r="AE66" s="391">
        <f>+AG65</f>
        <v>15200000</v>
      </c>
      <c r="AF66" s="388">
        <f>+AE$28</f>
        <v>1200000</v>
      </c>
      <c r="AG66" s="388">
        <f t="shared" si="9"/>
        <v>14000000</v>
      </c>
      <c r="AH66" s="377" t="e">
        <f>+AE$25*AG66+AF66</f>
        <v>#REF!</v>
      </c>
      <c r="AI66" s="391">
        <f>+AK65</f>
        <v>11833333.333333332</v>
      </c>
      <c r="AJ66" s="388">
        <f>+AI$28</f>
        <v>666666.66666666663</v>
      </c>
      <c r="AK66" s="388">
        <f t="shared" si="10"/>
        <v>11166666.666666666</v>
      </c>
      <c r="AL66" s="377" t="e">
        <f>+AI$25*AK66+AJ66</f>
        <v>#REF!</v>
      </c>
      <c r="AM66" s="405" t="e">
        <f t="shared" si="1"/>
        <v>#REF!</v>
      </c>
      <c r="AN66" s="152"/>
      <c r="AO66" s="389" t="e">
        <f>+AM66</f>
        <v>#REF!</v>
      </c>
    </row>
    <row r="67" spans="1:41">
      <c r="A67" s="339" t="s">
        <v>350</v>
      </c>
      <c r="B67" s="387">
        <f t="shared" si="4"/>
        <v>2022</v>
      </c>
      <c r="C67" s="388">
        <f>+C66</f>
        <v>9000000.0000000037</v>
      </c>
      <c r="D67" s="388">
        <f>+D66</f>
        <v>666666.66666666663</v>
      </c>
      <c r="E67" s="388">
        <f t="shared" si="11"/>
        <v>8333333.3333333367</v>
      </c>
      <c r="F67" s="377" t="e">
        <f>+C$26*E67+D67</f>
        <v>#REF!</v>
      </c>
      <c r="G67" s="388">
        <f>+G66</f>
        <v>16499999.999999987</v>
      </c>
      <c r="H67" s="388">
        <f>+H66</f>
        <v>857142.85714285716</v>
      </c>
      <c r="I67" s="388">
        <f t="shared" si="12"/>
        <v>15642857.142857131</v>
      </c>
      <c r="J67" s="377" t="e">
        <f>+G$26*I67+H67</f>
        <v>#REF!</v>
      </c>
      <c r="K67" s="391">
        <f>+K66</f>
        <v>12375000</v>
      </c>
      <c r="L67" s="388">
        <f>+L66</f>
        <v>500000</v>
      </c>
      <c r="M67" s="388">
        <f t="shared" si="13"/>
        <v>11875000</v>
      </c>
      <c r="N67" s="377" t="e">
        <f>+K$26*M67+L67</f>
        <v>#REF!</v>
      </c>
      <c r="O67" s="391">
        <f>+O66</f>
        <v>19375000</v>
      </c>
      <c r="P67" s="388">
        <f>+P66</f>
        <v>750000</v>
      </c>
      <c r="Q67" s="388">
        <f t="shared" si="5"/>
        <v>18625000</v>
      </c>
      <c r="R67" s="377" t="e">
        <f>+O$26*Q67+P67</f>
        <v>#REF!</v>
      </c>
      <c r="S67" s="391">
        <f>+S66</f>
        <v>12583333.333333332</v>
      </c>
      <c r="T67" s="388">
        <f>+T66</f>
        <v>500000</v>
      </c>
      <c r="U67" s="388">
        <f t="shared" si="6"/>
        <v>12083333.333333332</v>
      </c>
      <c r="V67" s="377" t="e">
        <f>+S$26*U67+T67</f>
        <v>#REF!</v>
      </c>
      <c r="W67" s="391">
        <f>+W66</f>
        <v>19750000</v>
      </c>
      <c r="X67" s="388">
        <f>+X66</f>
        <v>750000</v>
      </c>
      <c r="Y67" s="388">
        <f t="shared" si="7"/>
        <v>19000000</v>
      </c>
      <c r="Z67" s="377" t="e">
        <f>+W$26*Y67+X67</f>
        <v>#REF!</v>
      </c>
      <c r="AA67" s="391">
        <f>+AA66</f>
        <v>12523809.52380953</v>
      </c>
      <c r="AB67" s="388">
        <f>+AB66</f>
        <v>571428.57142857148</v>
      </c>
      <c r="AC67" s="388">
        <f t="shared" si="8"/>
        <v>11952380.952380959</v>
      </c>
      <c r="AD67" s="377" t="e">
        <f>+AA$26*AC67+AB67</f>
        <v>#REF!</v>
      </c>
      <c r="AE67" s="391">
        <f>+AE66</f>
        <v>15200000</v>
      </c>
      <c r="AF67" s="388">
        <f>+AF66</f>
        <v>1200000</v>
      </c>
      <c r="AG67" s="388">
        <f t="shared" si="9"/>
        <v>14000000</v>
      </c>
      <c r="AH67" s="377" t="e">
        <f>+AE$26*AG67+AF67</f>
        <v>#REF!</v>
      </c>
      <c r="AI67" s="391">
        <f>+AI66</f>
        <v>11833333.333333332</v>
      </c>
      <c r="AJ67" s="388">
        <f>+AJ66</f>
        <v>666666.66666666663</v>
      </c>
      <c r="AK67" s="388">
        <f t="shared" si="10"/>
        <v>11166666.666666666</v>
      </c>
      <c r="AL67" s="377" t="e">
        <f>+AI$26*AK67+AJ67</f>
        <v>#REF!</v>
      </c>
      <c r="AM67" s="405" t="e">
        <f t="shared" si="1"/>
        <v>#REF!</v>
      </c>
      <c r="AN67" s="390" t="e">
        <f>+AM67</f>
        <v>#REF!</v>
      </c>
      <c r="AO67" s="337"/>
    </row>
    <row r="68" spans="1:41">
      <c r="A68" s="339" t="s">
        <v>389</v>
      </c>
      <c r="B68" s="387">
        <f t="shared" si="4"/>
        <v>2023</v>
      </c>
      <c r="C68" s="388">
        <f>+E67</f>
        <v>8333333.3333333367</v>
      </c>
      <c r="D68" s="388">
        <f>+C$28</f>
        <v>666666.66666666663</v>
      </c>
      <c r="E68" s="388">
        <f t="shared" si="11"/>
        <v>7666666.6666666698</v>
      </c>
      <c r="F68" s="377" t="e">
        <f>+C$25*E68+D68</f>
        <v>#REF!</v>
      </c>
      <c r="G68" s="388">
        <f>+I67</f>
        <v>15642857.142857131</v>
      </c>
      <c r="H68" s="388">
        <f>+G$28</f>
        <v>857142.85714285716</v>
      </c>
      <c r="I68" s="388">
        <f t="shared" si="12"/>
        <v>14785714.285714274</v>
      </c>
      <c r="J68" s="377" t="e">
        <f>+G$25*I68+H68</f>
        <v>#REF!</v>
      </c>
      <c r="K68" s="391">
        <f>+M67</f>
        <v>11875000</v>
      </c>
      <c r="L68" s="388">
        <f>+K$28</f>
        <v>500000</v>
      </c>
      <c r="M68" s="388">
        <f t="shared" si="13"/>
        <v>11375000</v>
      </c>
      <c r="N68" s="377" t="e">
        <f>+K$25*M68+L68</f>
        <v>#REF!</v>
      </c>
      <c r="O68" s="391">
        <f>+Q67</f>
        <v>18625000</v>
      </c>
      <c r="P68" s="388">
        <f>+O$28</f>
        <v>750000</v>
      </c>
      <c r="Q68" s="388">
        <f>+O68-P68</f>
        <v>17875000</v>
      </c>
      <c r="R68" s="377" t="e">
        <f>+O$25*Q68+P68</f>
        <v>#REF!</v>
      </c>
      <c r="S68" s="391">
        <f>+U67</f>
        <v>12083333.333333332</v>
      </c>
      <c r="T68" s="388">
        <f>+S$28</f>
        <v>500000</v>
      </c>
      <c r="U68" s="388">
        <f>+S68-T68</f>
        <v>11583333.333333332</v>
      </c>
      <c r="V68" s="377" t="e">
        <f>+S$25*U68+T68</f>
        <v>#REF!</v>
      </c>
      <c r="W68" s="391">
        <f>+Y67</f>
        <v>19000000</v>
      </c>
      <c r="X68" s="388">
        <f>+W$28</f>
        <v>750000</v>
      </c>
      <c r="Y68" s="388">
        <f t="shared" si="7"/>
        <v>18250000</v>
      </c>
      <c r="Z68" s="377" t="e">
        <f>+W$25*Y68+X68</f>
        <v>#REF!</v>
      </c>
      <c r="AA68" s="391">
        <f>+AC67</f>
        <v>11952380.952380959</v>
      </c>
      <c r="AB68" s="388">
        <f>+AA$28</f>
        <v>571428.57142857148</v>
      </c>
      <c r="AC68" s="388">
        <f t="shared" si="8"/>
        <v>11380952.380952388</v>
      </c>
      <c r="AD68" s="377" t="e">
        <f>+AA$25*AC68+AB68</f>
        <v>#REF!</v>
      </c>
      <c r="AE68" s="391">
        <f>+AG67</f>
        <v>14000000</v>
      </c>
      <c r="AF68" s="388">
        <f>+AE$28</f>
        <v>1200000</v>
      </c>
      <c r="AG68" s="388">
        <f t="shared" si="9"/>
        <v>12800000</v>
      </c>
      <c r="AH68" s="377" t="e">
        <f>+AE$25*AG68+AF68</f>
        <v>#REF!</v>
      </c>
      <c r="AI68" s="391">
        <f>+AK67</f>
        <v>11166666.666666666</v>
      </c>
      <c r="AJ68" s="388">
        <f>+AI$28</f>
        <v>666666.66666666663</v>
      </c>
      <c r="AK68" s="388">
        <f t="shared" si="10"/>
        <v>10500000</v>
      </c>
      <c r="AL68" s="377" t="e">
        <f>+AI$25*AK68+AJ68</f>
        <v>#REF!</v>
      </c>
      <c r="AM68" s="405" t="e">
        <f t="shared" si="1"/>
        <v>#REF!</v>
      </c>
      <c r="AN68" s="152"/>
      <c r="AO68" s="389" t="e">
        <f>+AM68</f>
        <v>#REF!</v>
      </c>
    </row>
    <row r="69" spans="1:41">
      <c r="A69" s="339" t="s">
        <v>350</v>
      </c>
      <c r="B69" s="387">
        <f t="shared" si="4"/>
        <v>2023</v>
      </c>
      <c r="C69" s="388">
        <f>+C68</f>
        <v>8333333.3333333367</v>
      </c>
      <c r="D69" s="388">
        <f>+D68</f>
        <v>666666.66666666663</v>
      </c>
      <c r="E69" s="388">
        <f t="shared" si="11"/>
        <v>7666666.6666666698</v>
      </c>
      <c r="F69" s="377" t="e">
        <f>+C$26*E69+D69</f>
        <v>#REF!</v>
      </c>
      <c r="G69" s="388">
        <f>+G68</f>
        <v>15642857.142857131</v>
      </c>
      <c r="H69" s="388">
        <f>+H68</f>
        <v>857142.85714285716</v>
      </c>
      <c r="I69" s="388">
        <f t="shared" si="12"/>
        <v>14785714.285714274</v>
      </c>
      <c r="J69" s="377" t="e">
        <f>+G$26*I69+H69</f>
        <v>#REF!</v>
      </c>
      <c r="K69" s="391">
        <f>+K68</f>
        <v>11875000</v>
      </c>
      <c r="L69" s="388">
        <f>+L68</f>
        <v>500000</v>
      </c>
      <c r="M69" s="388">
        <f t="shared" si="13"/>
        <v>11375000</v>
      </c>
      <c r="N69" s="377" t="e">
        <f>+K$26*M69+L69</f>
        <v>#REF!</v>
      </c>
      <c r="O69" s="391">
        <f>+O68</f>
        <v>18625000</v>
      </c>
      <c r="P69" s="388">
        <f>+P68</f>
        <v>750000</v>
      </c>
      <c r="Q69" s="388">
        <f>+O69-P69</f>
        <v>17875000</v>
      </c>
      <c r="R69" s="377" t="e">
        <f>+O$26*Q69+P69</f>
        <v>#REF!</v>
      </c>
      <c r="S69" s="391">
        <f>+S68</f>
        <v>12083333.333333332</v>
      </c>
      <c r="T69" s="388">
        <f>+T68</f>
        <v>500000</v>
      </c>
      <c r="U69" s="388">
        <f>+S69-T69</f>
        <v>11583333.333333332</v>
      </c>
      <c r="V69" s="377" t="e">
        <f>+S$26*U69+T69</f>
        <v>#REF!</v>
      </c>
      <c r="W69" s="391">
        <f>+W68</f>
        <v>19000000</v>
      </c>
      <c r="X69" s="388">
        <f>+X68</f>
        <v>750000</v>
      </c>
      <c r="Y69" s="388">
        <f t="shared" si="7"/>
        <v>18250000</v>
      </c>
      <c r="Z69" s="377" t="e">
        <f>+W$26*Y69+X69</f>
        <v>#REF!</v>
      </c>
      <c r="AA69" s="391">
        <f>+AA68</f>
        <v>11952380.952380959</v>
      </c>
      <c r="AB69" s="388">
        <f>+AB68</f>
        <v>571428.57142857148</v>
      </c>
      <c r="AC69" s="388">
        <f t="shared" si="8"/>
        <v>11380952.380952388</v>
      </c>
      <c r="AD69" s="377" t="e">
        <f>+AA$26*AC69+AB69</f>
        <v>#REF!</v>
      </c>
      <c r="AE69" s="391">
        <f>+AE68</f>
        <v>14000000</v>
      </c>
      <c r="AF69" s="388">
        <f>+AF68</f>
        <v>1200000</v>
      </c>
      <c r="AG69" s="388">
        <f t="shared" si="9"/>
        <v>12800000</v>
      </c>
      <c r="AH69" s="377" t="e">
        <f>+AE$26*AG69+AF69</f>
        <v>#REF!</v>
      </c>
      <c r="AI69" s="391">
        <f>+AI68</f>
        <v>11166666.666666666</v>
      </c>
      <c r="AJ69" s="388">
        <f>+AJ68</f>
        <v>666666.66666666663</v>
      </c>
      <c r="AK69" s="388">
        <f t="shared" si="10"/>
        <v>10500000</v>
      </c>
      <c r="AL69" s="377" t="e">
        <f>+AI$26*AK69+AJ69</f>
        <v>#REF!</v>
      </c>
      <c r="AM69" s="405" t="e">
        <f t="shared" si="1"/>
        <v>#REF!</v>
      </c>
      <c r="AN69" s="390" t="e">
        <f>+AM69</f>
        <v>#REF!</v>
      </c>
      <c r="AO69" s="337"/>
    </row>
    <row r="70" spans="1:41">
      <c r="A70" s="339" t="s">
        <v>389</v>
      </c>
      <c r="B70" s="387">
        <f t="shared" si="4"/>
        <v>2024</v>
      </c>
      <c r="C70" s="388">
        <f>+E69</f>
        <v>7666666.6666666698</v>
      </c>
      <c r="D70" s="388">
        <f>+C$28</f>
        <v>666666.66666666663</v>
      </c>
      <c r="E70" s="388">
        <f t="shared" si="11"/>
        <v>7000000.0000000028</v>
      </c>
      <c r="F70" s="377" t="e">
        <f>+C$25*E70+D70</f>
        <v>#REF!</v>
      </c>
      <c r="G70" s="388">
        <f>+I69</f>
        <v>14785714.285714274</v>
      </c>
      <c r="H70" s="388">
        <f>+G$28</f>
        <v>857142.85714285716</v>
      </c>
      <c r="I70" s="388">
        <f t="shared" si="12"/>
        <v>13928571.428571418</v>
      </c>
      <c r="J70" s="377" t="e">
        <f>+G$25*I70+H70</f>
        <v>#REF!</v>
      </c>
      <c r="K70" s="391">
        <f>+M69</f>
        <v>11375000</v>
      </c>
      <c r="L70" s="388">
        <f>+K$28</f>
        <v>500000</v>
      </c>
      <c r="M70" s="388">
        <f t="shared" si="13"/>
        <v>10875000</v>
      </c>
      <c r="N70" s="377" t="e">
        <f>+K$25*M70+L70</f>
        <v>#REF!</v>
      </c>
      <c r="O70" s="391">
        <f>+Q69</f>
        <v>17875000</v>
      </c>
      <c r="P70" s="388">
        <f>+O$28</f>
        <v>750000</v>
      </c>
      <c r="Q70" s="388">
        <f>+O70-P70</f>
        <v>17125000</v>
      </c>
      <c r="R70" s="377" t="e">
        <f>+O$25*Q70+P70</f>
        <v>#REF!</v>
      </c>
      <c r="S70" s="391">
        <f>+U69</f>
        <v>11583333.333333332</v>
      </c>
      <c r="T70" s="388">
        <f>+S$28</f>
        <v>500000</v>
      </c>
      <c r="U70" s="388">
        <f>+S70-T70</f>
        <v>11083333.333333332</v>
      </c>
      <c r="V70" s="377" t="e">
        <f>+S$25*U70+T70</f>
        <v>#REF!</v>
      </c>
      <c r="W70" s="391">
        <f>+Y69</f>
        <v>18250000</v>
      </c>
      <c r="X70" s="388">
        <f>+W$28</f>
        <v>750000</v>
      </c>
      <c r="Y70" s="388">
        <f>+W70-X70</f>
        <v>17500000</v>
      </c>
      <c r="Z70" s="377" t="e">
        <f>+W$25*Y70+X70</f>
        <v>#REF!</v>
      </c>
      <c r="AA70" s="391">
        <f>+AC69</f>
        <v>11380952.380952388</v>
      </c>
      <c r="AB70" s="388">
        <f>+AA$28</f>
        <v>571428.57142857148</v>
      </c>
      <c r="AC70" s="388">
        <f>+AA70-AB70</f>
        <v>10809523.809523817</v>
      </c>
      <c r="AD70" s="377" t="e">
        <f>+AA$25*AC70+AB70</f>
        <v>#REF!</v>
      </c>
      <c r="AE70" s="391">
        <f>+AG69</f>
        <v>12800000</v>
      </c>
      <c r="AF70" s="388">
        <f>+AE$28</f>
        <v>1200000</v>
      </c>
      <c r="AG70" s="388">
        <f t="shared" si="9"/>
        <v>11600000</v>
      </c>
      <c r="AH70" s="377" t="e">
        <f>+AE$25*AG70+AF70</f>
        <v>#REF!</v>
      </c>
      <c r="AI70" s="391">
        <f>+AK69</f>
        <v>10500000</v>
      </c>
      <c r="AJ70" s="388">
        <f>+AI$28</f>
        <v>666666.66666666663</v>
      </c>
      <c r="AK70" s="388">
        <f t="shared" si="10"/>
        <v>9833333.333333334</v>
      </c>
      <c r="AL70" s="377" t="e">
        <f>+AI$25*AK70+AJ70</f>
        <v>#REF!</v>
      </c>
      <c r="AM70" s="405" t="e">
        <f t="shared" si="1"/>
        <v>#REF!</v>
      </c>
      <c r="AN70" s="152"/>
      <c r="AO70" s="389" t="e">
        <f>+AM70</f>
        <v>#REF!</v>
      </c>
    </row>
    <row r="71" spans="1:41">
      <c r="A71" s="339" t="s">
        <v>350</v>
      </c>
      <c r="B71" s="387">
        <f t="shared" si="4"/>
        <v>2024</v>
      </c>
      <c r="C71" s="388"/>
      <c r="D71" s="388">
        <f>+D70</f>
        <v>666666.66666666663</v>
      </c>
      <c r="E71" s="388">
        <f t="shared" si="11"/>
        <v>-666666.66666666663</v>
      </c>
      <c r="F71" s="377" t="e">
        <f>+C$26*E71+D71</f>
        <v>#REF!</v>
      </c>
      <c r="G71" s="388">
        <f>+G70</f>
        <v>14785714.285714274</v>
      </c>
      <c r="H71" s="388">
        <f>+H70</f>
        <v>857142.85714285716</v>
      </c>
      <c r="I71" s="388">
        <f t="shared" si="12"/>
        <v>13928571.428571418</v>
      </c>
      <c r="J71" s="377" t="e">
        <f>+G$26*I71+H71</f>
        <v>#REF!</v>
      </c>
      <c r="K71" s="391">
        <f>+K70</f>
        <v>11375000</v>
      </c>
      <c r="L71" s="388">
        <f>+L70</f>
        <v>500000</v>
      </c>
      <c r="M71" s="388">
        <f t="shared" si="13"/>
        <v>10875000</v>
      </c>
      <c r="N71" s="377" t="e">
        <f>+K$26*M71+L71</f>
        <v>#REF!</v>
      </c>
      <c r="O71" s="391">
        <f>+O70</f>
        <v>17875000</v>
      </c>
      <c r="P71" s="388">
        <f>+P70</f>
        <v>750000</v>
      </c>
      <c r="Q71" s="388">
        <f>+O71-P71</f>
        <v>17125000</v>
      </c>
      <c r="R71" s="377" t="e">
        <f>+O$26*Q71+P71</f>
        <v>#REF!</v>
      </c>
      <c r="S71" s="391">
        <f>+S70</f>
        <v>11583333.333333332</v>
      </c>
      <c r="T71" s="388">
        <f>+T70</f>
        <v>500000</v>
      </c>
      <c r="U71" s="388">
        <f>+S71-T71</f>
        <v>11083333.333333332</v>
      </c>
      <c r="V71" s="377" t="e">
        <f>+S$26*U71+T71</f>
        <v>#REF!</v>
      </c>
      <c r="W71" s="391">
        <f>+W70</f>
        <v>18250000</v>
      </c>
      <c r="X71" s="388">
        <f>+X70</f>
        <v>750000</v>
      </c>
      <c r="Y71" s="388">
        <f>+W71-X71</f>
        <v>17500000</v>
      </c>
      <c r="Z71" s="377" t="e">
        <f>+W$26*Y71+X71</f>
        <v>#REF!</v>
      </c>
      <c r="AA71" s="391">
        <f>+AA70</f>
        <v>11380952.380952388</v>
      </c>
      <c r="AB71" s="388">
        <f>+AB70</f>
        <v>571428.57142857148</v>
      </c>
      <c r="AC71" s="388">
        <f>+AA71-AB71</f>
        <v>10809523.809523817</v>
      </c>
      <c r="AD71" s="377" t="e">
        <f>+AA$26*AC71+AB71</f>
        <v>#REF!</v>
      </c>
      <c r="AE71" s="391">
        <f>+AE70</f>
        <v>12800000</v>
      </c>
      <c r="AF71" s="388">
        <f>+AF70</f>
        <v>1200000</v>
      </c>
      <c r="AG71" s="388">
        <f t="shared" si="9"/>
        <v>11600000</v>
      </c>
      <c r="AH71" s="377" t="e">
        <f>+AE$26*AG71+AF71</f>
        <v>#REF!</v>
      </c>
      <c r="AI71" s="391">
        <f>+AI70</f>
        <v>10500000</v>
      </c>
      <c r="AJ71" s="388">
        <f>+AJ70</f>
        <v>666666.66666666663</v>
      </c>
      <c r="AK71" s="388">
        <f t="shared" si="10"/>
        <v>9833333.333333334</v>
      </c>
      <c r="AL71" s="377" t="e">
        <f>+AI$26*AK71+AJ71</f>
        <v>#REF!</v>
      </c>
      <c r="AM71" s="405" t="e">
        <f t="shared" si="1"/>
        <v>#REF!</v>
      </c>
      <c r="AN71" s="390" t="e">
        <f>+AM71</f>
        <v>#REF!</v>
      </c>
      <c r="AO71" s="337"/>
    </row>
    <row r="72" spans="1:41">
      <c r="A72" s="392" t="s">
        <v>382</v>
      </c>
      <c r="B72" s="393" t="s">
        <v>382</v>
      </c>
      <c r="C72" s="394"/>
      <c r="D72" s="394" t="s">
        <v>382</v>
      </c>
      <c r="E72" s="394" t="s">
        <v>383</v>
      </c>
      <c r="F72" s="395" t="s">
        <v>382</v>
      </c>
      <c r="G72" s="394" t="s">
        <v>382</v>
      </c>
      <c r="H72" s="394" t="s">
        <v>382</v>
      </c>
      <c r="I72" s="394" t="s">
        <v>383</v>
      </c>
      <c r="J72" s="395" t="s">
        <v>382</v>
      </c>
      <c r="K72" s="394" t="s">
        <v>382</v>
      </c>
      <c r="L72" s="394" t="s">
        <v>382</v>
      </c>
      <c r="M72" s="394" t="s">
        <v>383</v>
      </c>
      <c r="N72" s="395" t="s">
        <v>382</v>
      </c>
      <c r="O72" s="394" t="s">
        <v>382</v>
      </c>
      <c r="P72" s="394" t="s">
        <v>382</v>
      </c>
      <c r="Q72" s="394" t="s">
        <v>383</v>
      </c>
      <c r="R72" s="395" t="s">
        <v>382</v>
      </c>
      <c r="S72" s="394" t="s">
        <v>382</v>
      </c>
      <c r="T72" s="394" t="s">
        <v>382</v>
      </c>
      <c r="U72" s="394" t="s">
        <v>383</v>
      </c>
      <c r="V72" s="395" t="s">
        <v>382</v>
      </c>
      <c r="W72" s="394" t="s">
        <v>382</v>
      </c>
      <c r="X72" s="394" t="s">
        <v>382</v>
      </c>
      <c r="Y72" s="394" t="s">
        <v>383</v>
      </c>
      <c r="Z72" s="395" t="s">
        <v>382</v>
      </c>
      <c r="AA72" s="394" t="s">
        <v>382</v>
      </c>
      <c r="AB72" s="394" t="s">
        <v>382</v>
      </c>
      <c r="AC72" s="394" t="s">
        <v>383</v>
      </c>
      <c r="AD72" s="395" t="s">
        <v>382</v>
      </c>
      <c r="AE72" s="394" t="s">
        <v>382</v>
      </c>
      <c r="AF72" s="394" t="s">
        <v>382</v>
      </c>
      <c r="AG72" s="394" t="s">
        <v>383</v>
      </c>
      <c r="AH72" s="395" t="s">
        <v>382</v>
      </c>
      <c r="AI72" s="394" t="s">
        <v>382</v>
      </c>
      <c r="AJ72" s="394" t="s">
        <v>382</v>
      </c>
      <c r="AK72" s="394" t="s">
        <v>383</v>
      </c>
      <c r="AL72" s="395" t="s">
        <v>382</v>
      </c>
      <c r="AM72" s="405"/>
      <c r="AN72" s="152"/>
      <c r="AO72" s="389">
        <f>+AM72</f>
        <v>0</v>
      </c>
    </row>
    <row r="73" spans="1:41" ht="13.5" thickBot="1">
      <c r="A73" s="396" t="s">
        <v>382</v>
      </c>
      <c r="B73" s="397" t="s">
        <v>382</v>
      </c>
      <c r="C73" s="398" t="s">
        <v>382</v>
      </c>
      <c r="D73" s="398" t="s">
        <v>383</v>
      </c>
      <c r="E73" s="398" t="s">
        <v>383</v>
      </c>
      <c r="F73" s="399" t="s">
        <v>382</v>
      </c>
      <c r="G73" s="398" t="s">
        <v>382</v>
      </c>
      <c r="H73" s="398" t="s">
        <v>383</v>
      </c>
      <c r="I73" s="398" t="s">
        <v>383</v>
      </c>
      <c r="J73" s="399" t="s">
        <v>382</v>
      </c>
      <c r="K73" s="398" t="s">
        <v>382</v>
      </c>
      <c r="L73" s="398" t="s">
        <v>383</v>
      </c>
      <c r="M73" s="398" t="s">
        <v>383</v>
      </c>
      <c r="N73" s="399" t="s">
        <v>382</v>
      </c>
      <c r="O73" s="398" t="s">
        <v>382</v>
      </c>
      <c r="P73" s="398" t="s">
        <v>383</v>
      </c>
      <c r="Q73" s="398" t="s">
        <v>383</v>
      </c>
      <c r="R73" s="399" t="s">
        <v>382</v>
      </c>
      <c r="S73" s="398" t="s">
        <v>382</v>
      </c>
      <c r="T73" s="398" t="s">
        <v>383</v>
      </c>
      <c r="U73" s="398" t="s">
        <v>383</v>
      </c>
      <c r="V73" s="399" t="s">
        <v>382</v>
      </c>
      <c r="W73" s="398" t="s">
        <v>382</v>
      </c>
      <c r="X73" s="398" t="s">
        <v>383</v>
      </c>
      <c r="Y73" s="398" t="s">
        <v>383</v>
      </c>
      <c r="Z73" s="399" t="s">
        <v>382</v>
      </c>
      <c r="AA73" s="398" t="s">
        <v>382</v>
      </c>
      <c r="AB73" s="398" t="s">
        <v>383</v>
      </c>
      <c r="AC73" s="398" t="s">
        <v>383</v>
      </c>
      <c r="AD73" s="399" t="s">
        <v>382</v>
      </c>
      <c r="AE73" s="398" t="s">
        <v>382</v>
      </c>
      <c r="AF73" s="398" t="s">
        <v>383</v>
      </c>
      <c r="AG73" s="398" t="s">
        <v>383</v>
      </c>
      <c r="AH73" s="399" t="s">
        <v>382</v>
      </c>
      <c r="AI73" s="398" t="s">
        <v>382</v>
      </c>
      <c r="AJ73" s="398" t="s">
        <v>383</v>
      </c>
      <c r="AK73" s="398" t="s">
        <v>383</v>
      </c>
      <c r="AL73" s="399" t="s">
        <v>382</v>
      </c>
      <c r="AM73" s="406"/>
      <c r="AN73" s="400">
        <f>+AM73</f>
        <v>0</v>
      </c>
      <c r="AO73" s="345"/>
    </row>
    <row r="74" spans="1:41">
      <c r="A74" s="150"/>
      <c r="B74" s="401"/>
      <c r="C74" s="150"/>
      <c r="D74" s="150"/>
      <c r="E74" s="150"/>
      <c r="F74" s="402"/>
      <c r="G74" s="150"/>
      <c r="H74" s="150"/>
      <c r="I74" s="150"/>
      <c r="J74" s="402"/>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403" t="e">
        <f>SUM(AN32:AN71)</f>
        <v>#REF!</v>
      </c>
      <c r="AO74" s="403" t="e">
        <f>SUM(AO32:AO71)</f>
        <v>#REF!</v>
      </c>
    </row>
    <row r="76" spans="1:41">
      <c r="AN76" s="170"/>
    </row>
    <row r="306" spans="1:6">
      <c r="A306" s="413"/>
      <c r="B306" s="412"/>
      <c r="C306" s="413"/>
      <c r="D306" s="413"/>
      <c r="E306" s="413"/>
      <c r="F306" s="414"/>
    </row>
    <row r="307" spans="1:6">
      <c r="A307" s="413"/>
      <c r="B307" s="412"/>
      <c r="C307" s="413"/>
      <c r="D307" s="413"/>
      <c r="E307" s="413"/>
      <c r="F307" s="414"/>
    </row>
    <row r="308" spans="1:6">
      <c r="A308" s="413"/>
      <c r="B308" s="412"/>
      <c r="C308" s="413"/>
      <c r="D308" s="413"/>
      <c r="E308" s="413"/>
      <c r="F308" s="414"/>
    </row>
    <row r="309" spans="1:6">
      <c r="A309" s="413"/>
      <c r="B309" s="412"/>
      <c r="C309" s="413"/>
      <c r="D309" s="413"/>
      <c r="E309" s="413"/>
      <c r="F309" s="414"/>
    </row>
    <row r="310" spans="1:6">
      <c r="A310" s="413"/>
      <c r="B310" s="412"/>
      <c r="C310" s="413"/>
      <c r="D310" s="413"/>
      <c r="E310" s="413"/>
      <c r="F310" s="414"/>
    </row>
    <row r="311" spans="1:6">
      <c r="A311" s="413"/>
      <c r="B311" s="412"/>
      <c r="C311" s="413"/>
      <c r="D311" s="413"/>
      <c r="E311" s="413"/>
      <c r="F311" s="414"/>
    </row>
    <row r="312" spans="1:6">
      <c r="A312" s="413"/>
      <c r="B312" s="412"/>
      <c r="C312" s="413"/>
      <c r="D312" s="413"/>
      <c r="E312" s="413"/>
      <c r="F312" s="414"/>
    </row>
    <row r="313" spans="1:6">
      <c r="A313" s="413"/>
      <c r="B313" s="412"/>
      <c r="C313" s="413"/>
      <c r="D313" s="413"/>
      <c r="E313" s="413"/>
      <c r="F313" s="414"/>
    </row>
    <row r="314" spans="1:6">
      <c r="A314" s="413"/>
      <c r="B314" s="412"/>
      <c r="C314" s="413"/>
      <c r="D314" s="413"/>
      <c r="E314" s="413"/>
      <c r="F314" s="414"/>
    </row>
  </sheetData>
  <mergeCells count="1">
    <mergeCell ref="A1:AO1"/>
  </mergeCells>
  <phoneticPr fontId="0" type="noConversion"/>
  <printOptions horizontalCentered="1"/>
  <pageMargins left="0.25" right="0.25" top="0.25" bottom="0.25" header="0.5" footer="0.5"/>
  <pageSetup scale="60"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96"/>
  <sheetViews>
    <sheetView view="pageBreakPreview" topLeftCell="D1" zoomScale="60" zoomScaleNormal="70" workbookViewId="0">
      <pane ySplit="13" topLeftCell="A81" activePane="bottomLeft" state="frozen"/>
      <selection activeCell="D9" sqref="D9"/>
      <selection pane="bottomLeft" activeCell="J121" sqref="J121"/>
    </sheetView>
  </sheetViews>
  <sheetFormatPr defaultRowHeight="12.75"/>
  <cols>
    <col min="1" max="1" width="6.42578125" customWidth="1"/>
    <col min="2" max="2" width="4.28515625" customWidth="1"/>
    <col min="3" max="3" width="58" customWidth="1"/>
    <col min="4" max="4" width="35.5703125" customWidth="1"/>
    <col min="5" max="5" width="15.42578125" bestFit="1" customWidth="1"/>
    <col min="6" max="6" width="20.7109375" customWidth="1"/>
    <col min="7" max="7" width="15.140625" customWidth="1"/>
    <col min="8" max="8" width="13" customWidth="1"/>
    <col min="9" max="9" width="15.85546875" customWidth="1"/>
    <col min="10" max="10" width="12.7109375" customWidth="1"/>
    <col min="11" max="11" width="15.42578125" customWidth="1"/>
    <col min="12" max="12" width="13.85546875" customWidth="1"/>
    <col min="13" max="13" width="12.85546875" customWidth="1"/>
    <col min="14" max="14" width="12.5703125" customWidth="1"/>
    <col min="15" max="15" width="12.28515625" customWidth="1"/>
    <col min="16" max="16" width="13.140625" customWidth="1"/>
    <col min="17" max="17" width="14.85546875" customWidth="1"/>
  </cols>
  <sheetData>
    <row r="2" spans="1:17">
      <c r="G2" s="145" t="s">
        <v>341</v>
      </c>
      <c r="H2" s="145" t="s">
        <v>341</v>
      </c>
      <c r="I2" s="145" t="s">
        <v>341</v>
      </c>
      <c r="J2" s="145" t="s">
        <v>341</v>
      </c>
      <c r="K2" s="145" t="s">
        <v>341</v>
      </c>
      <c r="L2" s="145" t="s">
        <v>341</v>
      </c>
      <c r="M2" s="145" t="s">
        <v>341</v>
      </c>
      <c r="N2" s="145" t="s">
        <v>341</v>
      </c>
      <c r="O2" s="145" t="s">
        <v>341</v>
      </c>
      <c r="P2" s="145" t="s">
        <v>341</v>
      </c>
      <c r="Q2" s="145" t="s">
        <v>341</v>
      </c>
    </row>
    <row r="3" spans="1:17" ht="16.5" thickBot="1">
      <c r="A3" s="155" t="s">
        <v>504</v>
      </c>
      <c r="G3" s="202" t="s">
        <v>47</v>
      </c>
      <c r="H3" s="202" t="str">
        <f>'ATT H-2A'!$B291</f>
        <v>B</v>
      </c>
      <c r="I3" s="202" t="str">
        <f>'ATT H-2A'!$B294</f>
        <v>C</v>
      </c>
      <c r="J3" s="202" t="str">
        <f>'ATT H-2A'!$B295</f>
        <v>D</v>
      </c>
      <c r="K3" s="202" t="str">
        <f>'ATT H-2A'!$B296&amp;"  &amp;  "&amp;'ATT H-2A'!$B298</f>
        <v>E  &amp;  G</v>
      </c>
      <c r="L3" s="202" t="str">
        <f>'ATT H-2A'!$B297</f>
        <v>F</v>
      </c>
      <c r="M3" s="202" t="str">
        <f>'ATT H-2A'!$B299</f>
        <v>I</v>
      </c>
      <c r="N3" s="202" t="str">
        <f>'ATT H-2A'!$B307</f>
        <v>K</v>
      </c>
      <c r="O3" s="202" t="str">
        <f>'ATT H-2A'!$B308</f>
        <v>L</v>
      </c>
      <c r="P3" s="202" t="str">
        <f>'ATT H-2A'!$B309</f>
        <v>M</v>
      </c>
      <c r="Q3" s="202" t="str">
        <f>'ATT H-2A'!$B310</f>
        <v>N</v>
      </c>
    </row>
    <row r="4" spans="1:17" ht="87.75" customHeight="1">
      <c r="A4" s="1072" t="s">
        <v>506</v>
      </c>
      <c r="B4" s="1073"/>
      <c r="C4" s="1073"/>
      <c r="D4" s="1073"/>
      <c r="E4" s="1073"/>
      <c r="F4" s="1074"/>
      <c r="G4" s="348" t="s">
        <v>507</v>
      </c>
      <c r="H4" s="348" t="s">
        <v>508</v>
      </c>
      <c r="I4" s="348" t="s">
        <v>509</v>
      </c>
      <c r="J4" s="348" t="s">
        <v>510</v>
      </c>
      <c r="K4" s="348" t="s">
        <v>511</v>
      </c>
      <c r="L4" s="348" t="s">
        <v>512</v>
      </c>
      <c r="M4" s="348" t="s">
        <v>517</v>
      </c>
      <c r="N4" s="348" t="s">
        <v>513</v>
      </c>
      <c r="O4" s="348" t="s">
        <v>514</v>
      </c>
      <c r="P4" s="348" t="s">
        <v>515</v>
      </c>
      <c r="Q4" s="349" t="s">
        <v>516</v>
      </c>
    </row>
    <row r="5" spans="1:17" ht="15.75" hidden="1">
      <c r="A5" s="245"/>
      <c r="B5" s="239" t="str">
        <f>'ATT H-2A'!B9</f>
        <v>Wages &amp; Salary Allocation Factor</v>
      </c>
      <c r="C5" s="124"/>
      <c r="D5" s="124"/>
      <c r="E5" s="211"/>
      <c r="F5" s="246"/>
      <c r="G5" s="152"/>
      <c r="H5" s="152"/>
      <c r="I5" s="152"/>
      <c r="J5" s="152"/>
      <c r="K5" s="152"/>
      <c r="L5" s="152"/>
      <c r="M5" s="152"/>
      <c r="N5" s="152"/>
      <c r="O5" s="152"/>
      <c r="P5" s="152"/>
      <c r="Q5" s="337"/>
    </row>
    <row r="6" spans="1:17" ht="15.75" hidden="1">
      <c r="A6" s="247">
        <f>'ATT H-2A'!A10</f>
        <v>1</v>
      </c>
      <c r="B6" s="218"/>
      <c r="C6" s="193" t="str">
        <f>'ATT H-2A'!C10</f>
        <v>Transmission Wages Expense</v>
      </c>
      <c r="D6" s="248"/>
      <c r="E6" s="224"/>
      <c r="F6" s="246" t="str">
        <f>'ATT H-2A'!F10</f>
        <v>p354.21.b</v>
      </c>
      <c r="G6" s="152"/>
      <c r="H6" s="152"/>
      <c r="I6" s="152"/>
      <c r="J6" s="152"/>
      <c r="K6" s="152"/>
      <c r="L6" s="152"/>
      <c r="M6" s="152"/>
      <c r="N6" s="152"/>
      <c r="O6" s="152"/>
      <c r="P6" s="152"/>
      <c r="Q6" s="337"/>
    </row>
    <row r="7" spans="1:17" ht="15.75" hidden="1">
      <c r="A7" s="249"/>
      <c r="B7" s="124"/>
      <c r="C7" s="124"/>
      <c r="D7" s="124"/>
      <c r="E7" s="194"/>
      <c r="F7" s="250"/>
      <c r="G7" s="152"/>
      <c r="H7" s="152"/>
      <c r="I7" s="152"/>
      <c r="J7" s="152"/>
      <c r="K7" s="152"/>
      <c r="L7" s="152"/>
      <c r="M7" s="152"/>
      <c r="N7" s="152"/>
      <c r="O7" s="152"/>
      <c r="P7" s="152"/>
      <c r="Q7" s="337"/>
    </row>
    <row r="8" spans="1:17" ht="15.75" hidden="1">
      <c r="A8" s="247">
        <f>'ATT H-2A'!A12</f>
        <v>2</v>
      </c>
      <c r="B8" s="218"/>
      <c r="C8" s="193" t="str">
        <f>'ATT H-2A'!C12</f>
        <v>Total Wages Expense</v>
      </c>
      <c r="D8" s="193"/>
      <c r="E8" s="194"/>
      <c r="F8" s="251" t="str">
        <f>'ATT H-2A'!F12</f>
        <v>p354.28b</v>
      </c>
      <c r="G8" s="152"/>
      <c r="H8" s="152"/>
      <c r="I8" s="152"/>
      <c r="J8" s="152"/>
      <c r="K8" s="152"/>
      <c r="L8" s="152"/>
      <c r="M8" s="152"/>
      <c r="N8" s="152"/>
      <c r="O8" s="152"/>
      <c r="P8" s="152"/>
      <c r="Q8" s="337"/>
    </row>
    <row r="9" spans="1:17" ht="15.75" hidden="1">
      <c r="A9" s="247">
        <f>'ATT H-2A'!A13</f>
        <v>3</v>
      </c>
      <c r="B9" s="218"/>
      <c r="C9" s="193" t="str">
        <f>'ATT H-2A'!C13</f>
        <v>Less A&amp;G Wages Expense</v>
      </c>
      <c r="D9" s="193"/>
      <c r="E9" s="194"/>
      <c r="F9" s="251" t="str">
        <f>'ATT H-2A'!F13</f>
        <v>p354.27b</v>
      </c>
      <c r="G9" s="152"/>
      <c r="H9" s="152"/>
      <c r="I9" s="152"/>
      <c r="J9" s="152"/>
      <c r="K9" s="152"/>
      <c r="L9" s="152"/>
      <c r="M9" s="152"/>
      <c r="N9" s="152"/>
      <c r="O9" s="152"/>
      <c r="P9" s="152"/>
      <c r="Q9" s="337"/>
    </row>
    <row r="10" spans="1:17" ht="15.75" hidden="1" customHeight="1">
      <c r="A10" s="247">
        <f>'ATT H-2A'!A14</f>
        <v>4</v>
      </c>
      <c r="B10" s="218"/>
      <c r="C10" s="195" t="str">
        <f>'ATT H-2A'!C14</f>
        <v>Total</v>
      </c>
      <c r="D10" s="196"/>
      <c r="E10" s="197"/>
      <c r="F10" s="252" t="str">
        <f>'ATT H-2A'!F14</f>
        <v>(Line 2 - 3)</v>
      </c>
      <c r="G10" s="152"/>
      <c r="H10" s="152"/>
      <c r="I10" s="152"/>
      <c r="J10" s="152"/>
      <c r="K10" s="152"/>
      <c r="L10" s="152"/>
      <c r="M10" s="152"/>
      <c r="N10" s="152"/>
      <c r="O10" s="152"/>
      <c r="P10" s="152"/>
      <c r="Q10" s="337"/>
    </row>
    <row r="11" spans="1:17" ht="15.75" hidden="1">
      <c r="A11" s="247"/>
      <c r="B11" s="218"/>
      <c r="C11" s="210"/>
      <c r="D11" s="124"/>
      <c r="E11" s="211"/>
      <c r="F11" s="253"/>
      <c r="G11" s="152"/>
      <c r="H11" s="152"/>
      <c r="I11" s="152"/>
      <c r="J11" s="152"/>
      <c r="K11" s="152"/>
      <c r="L11" s="152"/>
      <c r="M11" s="152"/>
      <c r="N11" s="152"/>
      <c r="O11" s="152"/>
      <c r="P11" s="152"/>
      <c r="Q11" s="337"/>
    </row>
    <row r="12" spans="1:17" ht="16.5" hidden="1" thickBot="1">
      <c r="A12" s="247">
        <f>'ATT H-2A'!A16</f>
        <v>5</v>
      </c>
      <c r="B12" s="198" t="str">
        <f>'ATT H-2A'!B16</f>
        <v>Wages &amp; Salary Allocator</v>
      </c>
      <c r="C12" s="198"/>
      <c r="D12" s="199"/>
      <c r="E12" s="200"/>
      <c r="F12" s="254" t="str">
        <f>'ATT H-2A'!F16</f>
        <v>(Line 1 / 4)</v>
      </c>
      <c r="G12" s="152"/>
      <c r="H12" s="152"/>
      <c r="I12" s="152"/>
      <c r="J12" s="152"/>
      <c r="K12" s="152"/>
      <c r="L12" s="152"/>
      <c r="M12" s="152"/>
      <c r="N12" s="152"/>
      <c r="O12" s="152"/>
      <c r="P12" s="152"/>
      <c r="Q12" s="337"/>
    </row>
    <row r="13" spans="1:17" ht="16.5" hidden="1" customHeight="1">
      <c r="A13" s="247"/>
      <c r="B13" s="218"/>
      <c r="C13" s="239"/>
      <c r="D13" s="203"/>
      <c r="E13" s="255"/>
      <c r="F13" s="253"/>
      <c r="G13" s="152"/>
      <c r="H13" s="152"/>
      <c r="I13" s="152"/>
      <c r="J13" s="152"/>
      <c r="K13" s="152"/>
      <c r="L13" s="152"/>
      <c r="M13" s="152"/>
      <c r="N13" s="152"/>
      <c r="O13" s="152"/>
      <c r="P13" s="152"/>
      <c r="Q13" s="337"/>
    </row>
    <row r="14" spans="1:17" ht="16.5" customHeight="1">
      <c r="A14" s="418" t="s">
        <v>504</v>
      </c>
      <c r="B14" s="218"/>
      <c r="C14" s="239"/>
      <c r="D14" s="203"/>
      <c r="E14" s="255"/>
      <c r="F14" s="253"/>
      <c r="G14" s="152"/>
      <c r="H14" s="152"/>
      <c r="I14" s="152"/>
      <c r="J14" s="152"/>
      <c r="K14" s="152"/>
      <c r="L14" s="152"/>
      <c r="M14" s="152"/>
      <c r="N14" s="152"/>
      <c r="O14" s="152"/>
      <c r="P14" s="152"/>
      <c r="Q14" s="337"/>
    </row>
    <row r="15" spans="1:17" ht="15.75">
      <c r="A15" s="249"/>
      <c r="B15" s="239" t="str">
        <f>'ATT H-2A'!B18</f>
        <v>Plant Allocation Factors</v>
      </c>
      <c r="C15" s="124"/>
      <c r="D15" s="229"/>
      <c r="E15" s="194"/>
      <c r="F15" s="250"/>
      <c r="G15" s="152"/>
      <c r="H15" s="152"/>
      <c r="I15" s="152"/>
      <c r="J15" s="152"/>
      <c r="K15" s="152"/>
      <c r="L15" s="152"/>
      <c r="M15" s="152"/>
      <c r="N15" s="152"/>
      <c r="O15" s="152"/>
      <c r="P15" s="152"/>
      <c r="Q15" s="337"/>
    </row>
    <row r="16" spans="1:17" ht="15.75">
      <c r="A16" s="256">
        <f>'ATT H-2A'!A19</f>
        <v>6</v>
      </c>
      <c r="B16" s="229"/>
      <c r="C16" s="193" t="str">
        <f>'ATT H-2A'!C19</f>
        <v>Electric Plant in Service</v>
      </c>
      <c r="D16" s="124"/>
      <c r="E16" s="202">
        <f>'ATT H-2A'!E19</f>
        <v>0</v>
      </c>
      <c r="F16" s="251" t="str">
        <f>'ATT H-2A'!F19</f>
        <v>Attachment 5</v>
      </c>
      <c r="G16" s="152"/>
      <c r="H16" s="189" t="s">
        <v>416</v>
      </c>
      <c r="I16" s="152"/>
      <c r="J16" s="152"/>
      <c r="K16" s="152"/>
      <c r="L16" s="152"/>
      <c r="M16" s="152"/>
      <c r="N16" s="152"/>
      <c r="O16" s="152"/>
      <c r="P16" s="152"/>
      <c r="Q16" s="337"/>
    </row>
    <row r="17" spans="1:17" ht="15.75">
      <c r="A17" s="256">
        <f>'ATT H-2A'!A20</f>
        <v>7</v>
      </c>
      <c r="B17" s="229"/>
      <c r="C17" s="193" t="str">
        <f>'ATT H-2A'!C20</f>
        <v>Common Plant In Service - Electric</v>
      </c>
      <c r="D17" s="124"/>
      <c r="E17" s="202" t="str">
        <f>'ATT H-2A'!E20</f>
        <v>(Note A)</v>
      </c>
      <c r="F17" s="257" t="str">
        <f>'ATT H-2A'!F20</f>
        <v>(Line 24)</v>
      </c>
      <c r="G17" s="189" t="s">
        <v>416</v>
      </c>
      <c r="H17" s="189" t="s">
        <v>416</v>
      </c>
      <c r="I17" s="152"/>
      <c r="J17" s="152"/>
      <c r="K17" s="152"/>
      <c r="L17" s="152"/>
      <c r="M17" s="152"/>
      <c r="N17" s="152"/>
      <c r="O17" s="152"/>
      <c r="P17" s="152"/>
      <c r="Q17" s="337"/>
    </row>
    <row r="18" spans="1:17" ht="15.75" hidden="1">
      <c r="A18" s="256">
        <f>'ATT H-2A'!A21</f>
        <v>8</v>
      </c>
      <c r="B18" s="229"/>
      <c r="C18" s="193" t="str">
        <f>'ATT H-2A'!C21</f>
        <v>Total Plant In Service</v>
      </c>
      <c r="D18" s="124"/>
      <c r="E18" s="224"/>
      <c r="F18" s="257" t="str">
        <f>'ATT H-2A'!F21</f>
        <v>(Sum Lines 6 &amp; 7)</v>
      </c>
      <c r="G18" s="152"/>
      <c r="H18" s="152"/>
      <c r="I18" s="152"/>
      <c r="J18" s="152"/>
      <c r="K18" s="152"/>
      <c r="L18" s="152"/>
      <c r="M18" s="152"/>
      <c r="N18" s="152"/>
      <c r="O18" s="152"/>
      <c r="P18" s="152"/>
      <c r="Q18" s="337"/>
    </row>
    <row r="19" spans="1:17" ht="15.75" hidden="1">
      <c r="A19" s="247"/>
      <c r="B19" s="218"/>
      <c r="C19" s="239"/>
      <c r="D19" s="203"/>
      <c r="E19" s="255"/>
      <c r="F19" s="253"/>
      <c r="G19" s="152"/>
      <c r="H19" s="152"/>
      <c r="I19" s="152"/>
      <c r="J19" s="152"/>
      <c r="K19" s="152"/>
      <c r="L19" s="152"/>
      <c r="M19" s="152"/>
      <c r="N19" s="152"/>
      <c r="O19" s="152"/>
      <c r="P19" s="152"/>
      <c r="Q19" s="337"/>
    </row>
    <row r="20" spans="1:17" ht="15.75" hidden="1">
      <c r="A20" s="256">
        <f>'ATT H-2A'!A23</f>
        <v>9</v>
      </c>
      <c r="B20" s="229"/>
      <c r="C20" s="193" t="str">
        <f>'ATT H-2A'!C23</f>
        <v>Accumulated Depreciation (Total Electric Plant)</v>
      </c>
      <c r="D20" s="124"/>
      <c r="E20" s="194"/>
      <c r="F20" s="251" t="str">
        <f>'ATT H-2A'!F23</f>
        <v>Attachment 5</v>
      </c>
      <c r="G20" s="152"/>
      <c r="H20" s="152"/>
      <c r="I20" s="152"/>
      <c r="J20" s="152"/>
      <c r="K20" s="152"/>
      <c r="L20" s="152"/>
      <c r="M20" s="152"/>
      <c r="N20" s="152"/>
      <c r="O20" s="152"/>
      <c r="P20" s="152"/>
      <c r="Q20" s="337"/>
    </row>
    <row r="21" spans="1:17" ht="15.75">
      <c r="A21" s="256">
        <f>'ATT H-2A'!A24</f>
        <v>10</v>
      </c>
      <c r="B21" s="229"/>
      <c r="C21" s="193" t="str">
        <f>'ATT H-2A'!C24</f>
        <v>Accumulated Intangible Amortization</v>
      </c>
      <c r="D21" s="124"/>
      <c r="E21" s="202" t="str">
        <f>'ATT H-2A'!E24</f>
        <v>(Note A)</v>
      </c>
      <c r="F21" s="246" t="str">
        <f>'ATT H-2A'!F24</f>
        <v>Attachment 5</v>
      </c>
      <c r="G21" s="189" t="s">
        <v>416</v>
      </c>
      <c r="H21" s="152"/>
      <c r="I21" s="152"/>
      <c r="J21" s="152"/>
      <c r="K21" s="152"/>
      <c r="L21" s="152"/>
      <c r="M21" s="152"/>
      <c r="N21" s="152"/>
      <c r="O21" s="152"/>
      <c r="P21" s="152"/>
      <c r="Q21" s="337"/>
    </row>
    <row r="22" spans="1:17" ht="15.75">
      <c r="A22" s="256">
        <f>'ATT H-2A'!A25</f>
        <v>11</v>
      </c>
      <c r="B22" s="229"/>
      <c r="C22" s="193" t="str">
        <f>'ATT H-2A'!C25</f>
        <v>Accumulated Common Amortization - Electric</v>
      </c>
      <c r="D22" s="124"/>
      <c r="E22" s="202" t="str">
        <f>'ATT H-2A'!E25</f>
        <v>(Note A)</v>
      </c>
      <c r="F22" s="246" t="str">
        <f>'ATT H-2A'!F25</f>
        <v>p356</v>
      </c>
      <c r="G22" s="189" t="s">
        <v>416</v>
      </c>
      <c r="H22" s="152"/>
      <c r="I22" s="152"/>
      <c r="J22" s="152"/>
      <c r="K22" s="152"/>
      <c r="L22" s="152"/>
      <c r="M22" s="152"/>
      <c r="N22" s="152"/>
      <c r="O22" s="152"/>
      <c r="P22" s="152"/>
      <c r="Q22" s="337"/>
    </row>
    <row r="23" spans="1:17" ht="15.75">
      <c r="A23" s="256">
        <f>'ATT H-2A'!A26</f>
        <v>12</v>
      </c>
      <c r="B23" s="124"/>
      <c r="C23" s="203" t="str">
        <f>'ATT H-2A'!C26</f>
        <v>Accumulated Common Plant Depreciation - Electric</v>
      </c>
      <c r="D23" s="124"/>
      <c r="E23" s="202" t="str">
        <f>'ATT H-2A'!E26</f>
        <v>(Note A)</v>
      </c>
      <c r="F23" s="246" t="str">
        <f>'ATT H-2A'!F26</f>
        <v>Attachment 5</v>
      </c>
      <c r="G23" s="189" t="s">
        <v>416</v>
      </c>
      <c r="H23" s="152"/>
      <c r="I23" s="152"/>
      <c r="J23" s="152"/>
      <c r="K23" s="152"/>
      <c r="L23" s="152"/>
      <c r="M23" s="152"/>
      <c r="N23" s="152"/>
      <c r="O23" s="152"/>
      <c r="P23" s="152"/>
      <c r="Q23" s="337"/>
    </row>
    <row r="24" spans="1:17" ht="15.75" hidden="1">
      <c r="A24" s="256">
        <f>'ATT H-2A'!A27</f>
        <v>13</v>
      </c>
      <c r="B24" s="124"/>
      <c r="C24" s="193" t="str">
        <f>'ATT H-2A'!C27</f>
        <v>Total Accumulated Depreciation</v>
      </c>
      <c r="D24" s="124"/>
      <c r="E24" s="194"/>
      <c r="F24" s="246" t="str">
        <f>'ATT H-2A'!F27</f>
        <v>(Sum Lines 9 to 12)</v>
      </c>
      <c r="G24" s="152"/>
      <c r="H24" s="152"/>
      <c r="I24" s="152"/>
      <c r="J24" s="152"/>
      <c r="K24" s="152"/>
      <c r="L24" s="152"/>
      <c r="M24" s="152"/>
      <c r="N24" s="152"/>
      <c r="O24" s="152"/>
      <c r="P24" s="152"/>
      <c r="Q24" s="337"/>
    </row>
    <row r="25" spans="1:17" ht="15.75" hidden="1">
      <c r="A25" s="247"/>
      <c r="B25" s="218"/>
      <c r="C25" s="239"/>
      <c r="D25" s="203"/>
      <c r="E25" s="255"/>
      <c r="F25" s="253"/>
      <c r="G25" s="152"/>
      <c r="H25" s="152"/>
      <c r="I25" s="152"/>
      <c r="J25" s="152"/>
      <c r="K25" s="152"/>
      <c r="L25" s="152"/>
      <c r="M25" s="152"/>
      <c r="N25" s="152"/>
      <c r="O25" s="152"/>
      <c r="P25" s="152"/>
      <c r="Q25" s="337"/>
    </row>
    <row r="26" spans="1:17" ht="15.75" hidden="1">
      <c r="A26" s="247">
        <f>'ATT H-2A'!A29</f>
        <v>14</v>
      </c>
      <c r="B26" s="229"/>
      <c r="C26" s="229" t="str">
        <f>'ATT H-2A'!C29</f>
        <v>Net Plant</v>
      </c>
      <c r="D26" s="229"/>
      <c r="E26" s="194"/>
      <c r="F26" s="246" t="str">
        <f>'ATT H-2A'!F29</f>
        <v>(Line 8 - 13)</v>
      </c>
      <c r="G26" s="152"/>
      <c r="H26" s="152"/>
      <c r="I26" s="152"/>
      <c r="J26" s="152"/>
      <c r="K26" s="152"/>
      <c r="L26" s="152"/>
      <c r="M26" s="152"/>
      <c r="N26" s="152"/>
      <c r="O26" s="152"/>
      <c r="P26" s="152"/>
      <c r="Q26" s="337"/>
    </row>
    <row r="27" spans="1:17" ht="15.75" hidden="1">
      <c r="A27" s="247"/>
      <c r="B27" s="218"/>
      <c r="C27" s="239"/>
      <c r="D27" s="203"/>
      <c r="E27" s="255"/>
      <c r="F27" s="253"/>
      <c r="G27" s="152"/>
      <c r="H27" s="152"/>
      <c r="I27" s="152"/>
      <c r="J27" s="152"/>
      <c r="K27" s="152"/>
      <c r="L27" s="152"/>
      <c r="M27" s="152"/>
      <c r="N27" s="152"/>
      <c r="O27" s="152"/>
      <c r="P27" s="152"/>
      <c r="Q27" s="337"/>
    </row>
    <row r="28" spans="1:17" ht="15.75" hidden="1">
      <c r="A28" s="256">
        <f>'ATT H-2A'!A31</f>
        <v>15</v>
      </c>
      <c r="B28" s="229"/>
      <c r="C28" s="229" t="str">
        <f>'ATT H-2A'!C31</f>
        <v>Transmission Gross Plant</v>
      </c>
      <c r="D28" s="229"/>
      <c r="E28" s="194"/>
      <c r="F28" s="246" t="str">
        <f>'ATT H-2A'!F31</f>
        <v>(Line 29 - Line 28)</v>
      </c>
      <c r="G28" s="152"/>
      <c r="H28" s="152"/>
      <c r="I28" s="152"/>
      <c r="J28" s="152"/>
      <c r="K28" s="152"/>
      <c r="L28" s="152"/>
      <c r="M28" s="152"/>
      <c r="N28" s="152"/>
      <c r="O28" s="152"/>
      <c r="P28" s="152"/>
      <c r="Q28" s="337"/>
    </row>
    <row r="29" spans="1:17" ht="15.75" hidden="1">
      <c r="A29" s="247">
        <f>'ATT H-2A'!A32</f>
        <v>16</v>
      </c>
      <c r="B29" s="278" t="str">
        <f>'ATT H-2A'!B32</f>
        <v>Gross Plant Allocator</v>
      </c>
      <c r="C29" s="278"/>
      <c r="D29" s="229"/>
      <c r="E29" s="194"/>
      <c r="F29" s="246" t="str">
        <f>'ATT H-2A'!F32</f>
        <v>(Line 15 / 8)</v>
      </c>
      <c r="G29" s="152"/>
      <c r="H29" s="152"/>
      <c r="I29" s="152"/>
      <c r="J29" s="152"/>
      <c r="K29" s="152"/>
      <c r="L29" s="152"/>
      <c r="M29" s="152"/>
      <c r="N29" s="152"/>
      <c r="O29" s="152"/>
      <c r="P29" s="152"/>
      <c r="Q29" s="337"/>
    </row>
    <row r="30" spans="1:17" ht="15.75" hidden="1">
      <c r="A30" s="249"/>
      <c r="B30" s="124"/>
      <c r="C30" s="124"/>
      <c r="D30" s="124"/>
      <c r="E30" s="194"/>
      <c r="F30" s="250"/>
      <c r="G30" s="152"/>
      <c r="H30" s="152"/>
      <c r="I30" s="152"/>
      <c r="J30" s="152"/>
      <c r="K30" s="152"/>
      <c r="L30" s="152"/>
      <c r="M30" s="152"/>
      <c r="N30" s="152"/>
      <c r="O30" s="152"/>
      <c r="P30" s="152"/>
      <c r="Q30" s="337"/>
    </row>
    <row r="31" spans="1:17" ht="15.75" hidden="1">
      <c r="A31" s="256">
        <f>'ATT H-2A'!A34</f>
        <v>17</v>
      </c>
      <c r="B31" s="218"/>
      <c r="C31" s="214" t="str">
        <f>'ATT H-2A'!C34</f>
        <v>Transmission Net Plant</v>
      </c>
      <c r="D31" s="203"/>
      <c r="E31" s="255"/>
      <c r="F31" s="246" t="str">
        <f>'ATT H-2A'!F34</f>
        <v>(Line 39 - Line 28)</v>
      </c>
      <c r="G31" s="152"/>
      <c r="H31" s="152"/>
      <c r="I31" s="152"/>
      <c r="J31" s="152"/>
      <c r="K31" s="152"/>
      <c r="L31" s="152"/>
      <c r="M31" s="152"/>
      <c r="N31" s="152"/>
      <c r="O31" s="152"/>
      <c r="P31" s="152"/>
      <c r="Q31" s="337"/>
    </row>
    <row r="32" spans="1:17" ht="15.75" hidden="1">
      <c r="A32" s="247">
        <f>'ATT H-2A'!A35</f>
        <v>18</v>
      </c>
      <c r="B32" s="278" t="str">
        <f>'ATT H-2A'!B35</f>
        <v>Net Plant Allocator</v>
      </c>
      <c r="C32" s="278"/>
      <c r="D32" s="229"/>
      <c r="E32" s="194"/>
      <c r="F32" s="246" t="str">
        <f>'ATT H-2A'!F35</f>
        <v>(Line 17 / 14)</v>
      </c>
      <c r="G32" s="152"/>
      <c r="H32" s="152"/>
      <c r="I32" s="152"/>
      <c r="J32" s="152"/>
      <c r="K32" s="152"/>
      <c r="L32" s="152"/>
      <c r="M32" s="152"/>
      <c r="N32" s="152"/>
      <c r="O32" s="152"/>
      <c r="P32" s="152"/>
      <c r="Q32" s="337"/>
    </row>
    <row r="33" spans="1:17" ht="15.75" hidden="1">
      <c r="A33" s="258"/>
      <c r="B33" s="218"/>
      <c r="C33" s="239"/>
      <c r="D33" s="203"/>
      <c r="E33" s="255"/>
      <c r="F33" s="253"/>
      <c r="G33" s="152"/>
      <c r="H33" s="152"/>
      <c r="I33" s="152"/>
      <c r="J33" s="152"/>
      <c r="K33" s="152"/>
      <c r="L33" s="152"/>
      <c r="M33" s="152"/>
      <c r="N33" s="152"/>
      <c r="O33" s="152"/>
      <c r="P33" s="152"/>
      <c r="Q33" s="337"/>
    </row>
    <row r="34" spans="1:17" ht="15.75" hidden="1">
      <c r="A34" s="259" t="str">
        <f>'ATT H-2A'!A37</f>
        <v>Plant Calculations</v>
      </c>
      <c r="B34" s="204"/>
      <c r="C34" s="205"/>
      <c r="D34" s="205"/>
      <c r="E34" s="206"/>
      <c r="F34" s="260"/>
      <c r="G34" s="152"/>
      <c r="H34" s="152"/>
      <c r="I34" s="152"/>
      <c r="J34" s="152"/>
      <c r="K34" s="152"/>
      <c r="L34" s="152"/>
      <c r="M34" s="152"/>
      <c r="N34" s="152"/>
      <c r="O34" s="152"/>
      <c r="P34" s="152"/>
      <c r="Q34" s="337"/>
    </row>
    <row r="35" spans="1:17" ht="15.75" hidden="1">
      <c r="A35" s="261">
        <f>'ATT H-2A'!A38</f>
        <v>0</v>
      </c>
      <c r="B35" s="207"/>
      <c r="C35" s="203"/>
      <c r="D35" s="203"/>
      <c r="E35" s="208"/>
      <c r="F35" s="251"/>
      <c r="G35" s="152"/>
      <c r="H35" s="152"/>
      <c r="I35" s="152"/>
      <c r="J35" s="152"/>
      <c r="K35" s="152"/>
      <c r="L35" s="152"/>
      <c r="M35" s="152"/>
      <c r="N35" s="152"/>
      <c r="O35" s="152"/>
      <c r="P35" s="152"/>
      <c r="Q35" s="337"/>
    </row>
    <row r="36" spans="1:17" ht="15.75">
      <c r="A36" s="249"/>
      <c r="B36" s="239" t="str">
        <f>'ATT H-2A'!B39</f>
        <v>Plant In Service</v>
      </c>
      <c r="C36" s="124"/>
      <c r="D36" s="124"/>
      <c r="E36" s="255"/>
      <c r="F36" s="257"/>
      <c r="G36" s="152"/>
      <c r="H36" s="152"/>
      <c r="I36" s="152"/>
      <c r="J36" s="152"/>
      <c r="K36" s="152"/>
      <c r="L36" s="152"/>
      <c r="M36" s="152"/>
      <c r="N36" s="152"/>
      <c r="O36" s="152"/>
      <c r="P36" s="152"/>
      <c r="Q36" s="337"/>
    </row>
    <row r="37" spans="1:17" ht="15.75">
      <c r="A37" s="256">
        <f>'ATT H-2A'!A40</f>
        <v>19</v>
      </c>
      <c r="B37" s="218"/>
      <c r="C37" s="225" t="str">
        <f>'ATT H-2A'!C40</f>
        <v>Transmission Plant In Service</v>
      </c>
      <c r="D37" s="124"/>
      <c r="E37" s="202">
        <f>'ATT H-2A'!E40</f>
        <v>0</v>
      </c>
      <c r="F37" s="257" t="str">
        <f>'ATT H-2A'!F40</f>
        <v>Attachment 5</v>
      </c>
      <c r="G37" s="152"/>
      <c r="H37" s="189" t="s">
        <v>416</v>
      </c>
      <c r="I37" s="152"/>
      <c r="J37" s="152"/>
      <c r="K37" s="152"/>
      <c r="L37" s="152"/>
      <c r="M37" s="152"/>
      <c r="N37" s="152"/>
      <c r="O37" s="152"/>
      <c r="P37" s="152"/>
      <c r="Q37" s="337"/>
    </row>
    <row r="38" spans="1:17" ht="15.75">
      <c r="A38" s="256">
        <f>'ATT H-2A'!A42</f>
        <v>21</v>
      </c>
      <c r="B38" s="218"/>
      <c r="C38" s="210" t="str">
        <f>'ATT H-2A'!C42</f>
        <v>New Transmission Plant Additions for Current Calendar Year  (weighted by months in service)</v>
      </c>
      <c r="D38" s="124"/>
      <c r="E38" s="202" t="str">
        <f>'ATT H-2A'!F42</f>
        <v>Attachment 6</v>
      </c>
      <c r="F38" s="257"/>
      <c r="G38" s="152"/>
      <c r="H38" s="189" t="s">
        <v>416</v>
      </c>
      <c r="I38" s="152"/>
      <c r="J38" s="152"/>
      <c r="K38" s="152"/>
      <c r="L38" s="152"/>
      <c r="M38" s="152"/>
      <c r="N38" s="152"/>
      <c r="O38" s="152"/>
      <c r="P38" s="152"/>
      <c r="Q38" s="337"/>
    </row>
    <row r="39" spans="1:17" ht="15.75" hidden="1">
      <c r="A39" s="256">
        <f>'ATT H-2A'!A45</f>
        <v>23</v>
      </c>
      <c r="B39" s="218"/>
      <c r="C39" s="210" t="str">
        <f>'ATT H-2A'!C45</f>
        <v>General &amp; Intangible</v>
      </c>
      <c r="D39" s="124"/>
      <c r="E39" s="194"/>
      <c r="F39" s="257" t="str">
        <f>'ATT H-2A'!F45</f>
        <v>Attachment 5</v>
      </c>
      <c r="G39" s="152"/>
      <c r="H39" s="152"/>
      <c r="I39" s="152"/>
      <c r="J39" s="152"/>
      <c r="K39" s="152"/>
      <c r="L39" s="152"/>
      <c r="M39" s="152"/>
      <c r="N39" s="152"/>
      <c r="O39" s="152"/>
      <c r="P39" s="152"/>
      <c r="Q39" s="337"/>
    </row>
    <row r="40" spans="1:17" ht="15.75">
      <c r="A40" s="256">
        <f>'ATT H-2A'!A46</f>
        <v>24</v>
      </c>
      <c r="B40" s="218"/>
      <c r="C40" s="210" t="str">
        <f>'ATT H-2A'!C46</f>
        <v>Common Plant (Electric Only)</v>
      </c>
      <c r="D40" s="124"/>
      <c r="E40" s="202" t="str">
        <f>'ATT H-2A'!E46</f>
        <v>(Notes A)</v>
      </c>
      <c r="F40" s="257" t="str">
        <f>'ATT H-2A'!F46</f>
        <v>Attachment 5</v>
      </c>
      <c r="G40" s="189" t="s">
        <v>416</v>
      </c>
      <c r="H40" s="189" t="s">
        <v>416</v>
      </c>
      <c r="I40" s="152"/>
      <c r="J40" s="152"/>
      <c r="K40" s="152"/>
      <c r="L40" s="152"/>
      <c r="M40" s="152"/>
      <c r="N40" s="152"/>
      <c r="O40" s="152"/>
      <c r="P40" s="152"/>
      <c r="Q40" s="337"/>
    </row>
    <row r="41" spans="1:17" ht="15.75" hidden="1">
      <c r="A41" s="256">
        <f>'ATT H-2A'!A47</f>
        <v>25</v>
      </c>
      <c r="B41" s="218"/>
      <c r="C41" s="210" t="str">
        <f>'ATT H-2A'!C47</f>
        <v>Total General &amp; Common</v>
      </c>
      <c r="D41" s="124"/>
      <c r="E41" s="194"/>
      <c r="F41" s="246" t="str">
        <f>'ATT H-2A'!F47</f>
        <v>(Line 23 + 24)</v>
      </c>
      <c r="G41" s="152"/>
      <c r="H41" s="152"/>
      <c r="I41" s="152"/>
      <c r="J41" s="152"/>
      <c r="K41" s="152"/>
      <c r="L41" s="152"/>
      <c r="M41" s="152"/>
      <c r="N41" s="152"/>
      <c r="O41" s="152"/>
      <c r="P41" s="152"/>
      <c r="Q41" s="337"/>
    </row>
    <row r="42" spans="1:17" ht="15.75" hidden="1">
      <c r="A42" s="256">
        <f>'ATT H-2A'!A48</f>
        <v>26</v>
      </c>
      <c r="B42" s="218"/>
      <c r="C42" s="220" t="str">
        <f>'ATT H-2A'!C48</f>
        <v>Wage &amp; Salary Allocation Factor</v>
      </c>
      <c r="D42" s="214"/>
      <c r="E42" s="255"/>
      <c r="F42" s="246" t="str">
        <f>'ATT H-2A'!F48</f>
        <v>(Line 5)</v>
      </c>
      <c r="G42" s="152"/>
      <c r="H42" s="152"/>
      <c r="I42" s="152"/>
      <c r="J42" s="152"/>
      <c r="K42" s="152"/>
      <c r="L42" s="152"/>
      <c r="M42" s="152"/>
      <c r="N42" s="152"/>
      <c r="O42" s="152"/>
      <c r="P42" s="152"/>
      <c r="Q42" s="337"/>
    </row>
    <row r="43" spans="1:17" ht="15.75" hidden="1">
      <c r="A43" s="256">
        <f>'ATT H-2A'!A49</f>
        <v>27</v>
      </c>
      <c r="B43" s="229"/>
      <c r="C43" s="239" t="str">
        <f>'ATT H-2A'!C49</f>
        <v>General &amp; Common Plant Allocated to Transmission</v>
      </c>
      <c r="D43" s="193"/>
      <c r="E43" s="211"/>
      <c r="F43" s="246" t="str">
        <f>'ATT H-2A'!F49</f>
        <v>(Line 25 * 26)</v>
      </c>
      <c r="G43" s="152"/>
      <c r="H43" s="152"/>
      <c r="I43" s="152"/>
      <c r="J43" s="152"/>
      <c r="K43" s="152"/>
      <c r="L43" s="152"/>
      <c r="M43" s="152"/>
      <c r="N43" s="152"/>
      <c r="O43" s="152"/>
      <c r="P43" s="152"/>
      <c r="Q43" s="337"/>
    </row>
    <row r="44" spans="1:17" ht="15.75" hidden="1">
      <c r="A44" s="247"/>
      <c r="B44" s="218"/>
      <c r="C44" s="239"/>
      <c r="D44" s="203"/>
      <c r="E44" s="255"/>
      <c r="F44" s="253"/>
      <c r="G44" s="152"/>
      <c r="H44" s="152"/>
      <c r="I44" s="152"/>
      <c r="J44" s="152"/>
      <c r="K44" s="152"/>
      <c r="L44" s="152"/>
      <c r="M44" s="152"/>
      <c r="N44" s="152"/>
      <c r="O44" s="152"/>
      <c r="P44" s="152"/>
      <c r="Q44" s="337"/>
    </row>
    <row r="45" spans="1:17" ht="15.75">
      <c r="A45" s="256">
        <f>'ATT H-2A'!A51</f>
        <v>28</v>
      </c>
      <c r="B45" s="218"/>
      <c r="C45" s="239" t="str">
        <f>'ATT H-2A'!C51</f>
        <v>Plant Held for Future Use (Including Land)</v>
      </c>
      <c r="D45" s="296"/>
      <c r="E45" s="216" t="str">
        <f>'ATT H-2A'!E51</f>
        <v>(Note C)</v>
      </c>
      <c r="F45" s="246" t="str">
        <f>'ATT H-2A'!F51</f>
        <v>p214</v>
      </c>
      <c r="G45" s="152"/>
      <c r="H45" s="152"/>
      <c r="I45" s="189" t="s">
        <v>416</v>
      </c>
      <c r="J45" s="152"/>
      <c r="K45" s="152"/>
      <c r="L45" s="152"/>
      <c r="M45" s="152"/>
      <c r="N45" s="152"/>
      <c r="O45" s="152"/>
      <c r="P45" s="152"/>
      <c r="Q45" s="337"/>
    </row>
    <row r="46" spans="1:17" ht="15.75" hidden="1">
      <c r="A46" s="247"/>
      <c r="B46" s="218"/>
      <c r="C46" s="239"/>
      <c r="D46" s="203"/>
      <c r="E46" s="255"/>
      <c r="F46" s="253"/>
      <c r="G46" s="152"/>
      <c r="H46" s="152"/>
      <c r="I46" s="152"/>
      <c r="J46" s="152"/>
      <c r="K46" s="152"/>
      <c r="L46" s="152"/>
      <c r="M46" s="152"/>
      <c r="N46" s="152"/>
      <c r="O46" s="152"/>
      <c r="P46" s="152"/>
      <c r="Q46" s="337"/>
    </row>
    <row r="47" spans="1:17" ht="15.75" hidden="1">
      <c r="A47" s="256">
        <f>'ATT H-2A'!A53</f>
        <v>29</v>
      </c>
      <c r="B47" s="278" t="str">
        <f>'ATT H-2A'!B53</f>
        <v>TOTAL Plant In Service</v>
      </c>
      <c r="C47" s="278"/>
      <c r="D47" s="278"/>
      <c r="E47" s="227"/>
      <c r="F47" s="291" t="str">
        <f>'ATT H-2A'!F53</f>
        <v>(Line 22 + 27 + 28)</v>
      </c>
      <c r="G47" s="152"/>
      <c r="H47" s="152"/>
      <c r="I47" s="152"/>
      <c r="J47" s="152"/>
      <c r="K47" s="152"/>
      <c r="L47" s="152"/>
      <c r="M47" s="152"/>
      <c r="N47" s="152"/>
      <c r="O47" s="152"/>
      <c r="P47" s="152"/>
      <c r="Q47" s="337"/>
    </row>
    <row r="48" spans="1:17" ht="15.75" hidden="1">
      <c r="A48" s="247"/>
      <c r="B48" s="218"/>
      <c r="C48" s="239"/>
      <c r="D48" s="203"/>
      <c r="E48" s="255"/>
      <c r="F48" s="253"/>
      <c r="G48" s="152"/>
      <c r="H48" s="152"/>
      <c r="I48" s="152"/>
      <c r="J48" s="152"/>
      <c r="K48" s="152"/>
      <c r="L48" s="152"/>
      <c r="M48" s="152"/>
      <c r="N48" s="152"/>
      <c r="O48" s="152"/>
      <c r="P48" s="152"/>
      <c r="Q48" s="337"/>
    </row>
    <row r="49" spans="1:17" ht="15.75">
      <c r="A49" s="256"/>
      <c r="B49" s="239" t="str">
        <f>'ATT H-2A'!B55</f>
        <v>Accumulated Depreciation</v>
      </c>
      <c r="C49" s="239"/>
      <c r="D49" s="213"/>
      <c r="E49" s="211"/>
      <c r="F49" s="246"/>
      <c r="G49" s="152"/>
      <c r="H49" s="152"/>
      <c r="I49" s="152"/>
      <c r="J49" s="152"/>
      <c r="K49" s="152"/>
      <c r="L49" s="152"/>
      <c r="M49" s="152"/>
      <c r="N49" s="152"/>
      <c r="O49" s="152"/>
      <c r="P49" s="152"/>
      <c r="Q49" s="337"/>
    </row>
    <row r="50" spans="1:17" ht="15.75" hidden="1">
      <c r="A50" s="247"/>
      <c r="B50" s="218"/>
      <c r="C50" s="239"/>
      <c r="D50" s="203"/>
      <c r="E50" s="255"/>
      <c r="F50" s="253"/>
      <c r="G50" s="152"/>
      <c r="H50" s="152"/>
      <c r="I50" s="152"/>
      <c r="J50" s="152"/>
      <c r="K50" s="152"/>
      <c r="L50" s="152"/>
      <c r="M50" s="152"/>
      <c r="N50" s="152"/>
      <c r="O50" s="152"/>
      <c r="P50" s="152"/>
      <c r="Q50" s="337"/>
    </row>
    <row r="51" spans="1:17" ht="15.75" hidden="1">
      <c r="A51" s="256">
        <f>'ATT H-2A'!A57</f>
        <v>30</v>
      </c>
      <c r="B51" s="218"/>
      <c r="C51" s="225" t="str">
        <f>'ATT H-2A'!C57</f>
        <v>Transmission Accumulated Depreciation</v>
      </c>
      <c r="D51" s="124"/>
      <c r="E51" s="194"/>
      <c r="F51" s="257" t="str">
        <f>'ATT H-2A'!F57</f>
        <v>Attachment 5</v>
      </c>
      <c r="G51" s="152"/>
      <c r="H51" s="152"/>
      <c r="I51" s="152"/>
      <c r="J51" s="152"/>
      <c r="K51" s="152"/>
      <c r="L51" s="152"/>
      <c r="M51" s="152"/>
      <c r="N51" s="152"/>
      <c r="O51" s="152"/>
      <c r="P51" s="152"/>
      <c r="Q51" s="337"/>
    </row>
    <row r="52" spans="1:17" ht="15.75">
      <c r="A52" s="256">
        <f>'ATT H-2A'!A57</f>
        <v>30</v>
      </c>
      <c r="B52" s="218"/>
      <c r="C52" s="210" t="str">
        <f>'ATT H-2A'!C57</f>
        <v>Transmission Accumulated Depreciation</v>
      </c>
      <c r="D52" s="124"/>
      <c r="E52" s="300">
        <f>'ATT H-2A'!E57</f>
        <v>0</v>
      </c>
      <c r="F52" s="286" t="str">
        <f>'ATT H-2A'!F57</f>
        <v>Attachment 5</v>
      </c>
      <c r="G52" s="152"/>
      <c r="H52" s="189" t="s">
        <v>416</v>
      </c>
      <c r="I52" s="152"/>
      <c r="J52" s="152"/>
      <c r="K52" s="152"/>
      <c r="L52" s="152"/>
      <c r="M52" s="152"/>
      <c r="N52" s="152"/>
      <c r="O52" s="152"/>
      <c r="P52" s="152"/>
      <c r="Q52" s="337"/>
    </row>
    <row r="53" spans="1:17" ht="15.75" hidden="1">
      <c r="A53" s="256">
        <f>'ATT H-2A'!A59</f>
        <v>31</v>
      </c>
      <c r="B53" s="218"/>
      <c r="C53" s="210" t="str">
        <f>'ATT H-2A'!C59</f>
        <v>Accumulated General Depreciation</v>
      </c>
      <c r="D53" s="124"/>
      <c r="E53" s="194"/>
      <c r="F53" s="257" t="str">
        <f>'ATT H-2A'!F59</f>
        <v xml:space="preserve">p219.28.c </v>
      </c>
      <c r="G53" s="152"/>
      <c r="H53" s="152"/>
      <c r="I53" s="152"/>
      <c r="J53" s="152"/>
      <c r="K53" s="152"/>
      <c r="L53" s="152"/>
      <c r="M53" s="152"/>
      <c r="N53" s="152"/>
      <c r="O53" s="152"/>
      <c r="P53" s="152"/>
      <c r="Q53" s="337"/>
    </row>
    <row r="54" spans="1:17" ht="15.75" hidden="1">
      <c r="A54" s="256">
        <f>'ATT H-2A'!A60</f>
        <v>32</v>
      </c>
      <c r="B54" s="218"/>
      <c r="C54" s="210" t="str">
        <f>'ATT H-2A'!C60</f>
        <v>Accumulated Intangible Amortization</v>
      </c>
      <c r="D54" s="124"/>
      <c r="E54" s="194"/>
      <c r="F54" s="246" t="str">
        <f>'ATT H-2A'!F60</f>
        <v>Attachment 5</v>
      </c>
      <c r="G54" s="152"/>
      <c r="H54" s="152"/>
      <c r="I54" s="152"/>
      <c r="J54" s="152"/>
      <c r="K54" s="152"/>
      <c r="L54" s="152"/>
      <c r="M54" s="152"/>
      <c r="N54" s="152"/>
      <c r="O54" s="152"/>
      <c r="P54" s="152"/>
      <c r="Q54" s="337"/>
    </row>
    <row r="55" spans="1:17" ht="15.75">
      <c r="A55" s="256">
        <f>'ATT H-2A'!A61</f>
        <v>33</v>
      </c>
      <c r="B55" s="218"/>
      <c r="C55" s="210" t="str">
        <f>'ATT H-2A'!C61</f>
        <v>Accumulated Common Amortization - Electric</v>
      </c>
      <c r="D55" s="124"/>
      <c r="E55" s="202">
        <f>'ATT H-2A'!E61</f>
        <v>0</v>
      </c>
      <c r="F55" s="246" t="str">
        <f>'ATT H-2A'!F61</f>
        <v>(Line 11)</v>
      </c>
      <c r="G55" s="189" t="s">
        <v>416</v>
      </c>
      <c r="H55" s="152"/>
      <c r="I55" s="152"/>
      <c r="J55" s="152"/>
      <c r="K55" s="152"/>
      <c r="L55" s="152"/>
      <c r="M55" s="152"/>
      <c r="N55" s="152"/>
      <c r="O55" s="152"/>
      <c r="P55" s="152"/>
      <c r="Q55" s="337"/>
    </row>
    <row r="56" spans="1:17" ht="15.75">
      <c r="A56" s="256">
        <f>'ATT H-2A'!A62</f>
        <v>34</v>
      </c>
      <c r="B56" s="218"/>
      <c r="C56" s="210" t="str">
        <f>'ATT H-2A'!C62</f>
        <v>Common Plant Accumulated Depreciation (Electric Only)</v>
      </c>
      <c r="D56" s="124"/>
      <c r="E56" s="202" t="str">
        <f>'ATT H-2A'!E62</f>
        <v>(Notes A)</v>
      </c>
      <c r="F56" s="246" t="str">
        <f>'ATT H-2A'!F62</f>
        <v>(Line 12)</v>
      </c>
      <c r="G56" s="189" t="s">
        <v>416</v>
      </c>
      <c r="H56" s="152"/>
      <c r="I56" s="152"/>
      <c r="J56" s="152"/>
      <c r="K56" s="152"/>
      <c r="L56" s="152"/>
      <c r="M56" s="152"/>
      <c r="N56" s="152"/>
      <c r="O56" s="152"/>
      <c r="P56" s="152"/>
      <c r="Q56" s="337"/>
    </row>
    <row r="57" spans="1:17" ht="15.75" hidden="1">
      <c r="A57" s="256">
        <f>'ATT H-2A'!A63</f>
        <v>35</v>
      </c>
      <c r="B57" s="218"/>
      <c r="C57" s="210" t="str">
        <f>'ATT H-2A'!C63</f>
        <v>Total Accumulated Depreciation</v>
      </c>
      <c r="D57" s="124"/>
      <c r="E57" s="211"/>
      <c r="F57" s="246" t="str">
        <f>'ATT H-2A'!F63</f>
        <v>(Sum Lines 31 to 34)</v>
      </c>
      <c r="G57" s="152"/>
      <c r="H57" s="152"/>
      <c r="I57" s="152"/>
      <c r="J57" s="152"/>
      <c r="K57" s="152"/>
      <c r="L57" s="152"/>
      <c r="M57" s="152"/>
      <c r="N57" s="152"/>
      <c r="O57" s="152"/>
      <c r="P57" s="152"/>
      <c r="Q57" s="337"/>
    </row>
    <row r="58" spans="1:17" ht="15.75" hidden="1">
      <c r="A58" s="256">
        <f>'ATT H-2A'!A64</f>
        <v>36</v>
      </c>
      <c r="B58" s="218"/>
      <c r="C58" s="210" t="str">
        <f>'ATT H-2A'!C64</f>
        <v>Wage &amp; Salary Allocation Factor</v>
      </c>
      <c r="D58" s="124"/>
      <c r="E58" s="211"/>
      <c r="F58" s="246" t="str">
        <f>'ATT H-2A'!F64</f>
        <v>(Line 5)</v>
      </c>
      <c r="G58" s="152"/>
      <c r="H58" s="152"/>
      <c r="I58" s="152"/>
      <c r="J58" s="152"/>
      <c r="K58" s="152"/>
      <c r="L58" s="152"/>
      <c r="M58" s="152"/>
      <c r="N58" s="152"/>
      <c r="O58" s="152"/>
      <c r="P58" s="152"/>
      <c r="Q58" s="337"/>
    </row>
    <row r="59" spans="1:17" ht="15.75" hidden="1">
      <c r="A59" s="256">
        <f>'ATT H-2A'!A65</f>
        <v>37</v>
      </c>
      <c r="B59" s="229"/>
      <c r="C59" s="225" t="str">
        <f>'ATT H-2A'!C65</f>
        <v>General &amp; Common Allocated to Transmission</v>
      </c>
      <c r="D59" s="229"/>
      <c r="E59" s="194"/>
      <c r="F59" s="246" t="str">
        <f>'ATT H-2A'!F65</f>
        <v>(Line 35 * 36)</v>
      </c>
      <c r="G59" s="152"/>
      <c r="H59" s="152"/>
      <c r="I59" s="152"/>
      <c r="J59" s="152"/>
      <c r="K59" s="152"/>
      <c r="L59" s="152"/>
      <c r="M59" s="152"/>
      <c r="N59" s="152"/>
      <c r="O59" s="152"/>
      <c r="P59" s="152"/>
      <c r="Q59" s="337"/>
    </row>
    <row r="60" spans="1:17" ht="15.75" hidden="1">
      <c r="A60" s="247"/>
      <c r="B60" s="218"/>
      <c r="C60" s="239"/>
      <c r="D60" s="203"/>
      <c r="E60" s="255"/>
      <c r="F60" s="253"/>
      <c r="G60" s="152"/>
      <c r="H60" s="152"/>
      <c r="I60" s="152"/>
      <c r="J60" s="152"/>
      <c r="K60" s="152"/>
      <c r="L60" s="152"/>
      <c r="M60" s="152"/>
      <c r="N60" s="152"/>
      <c r="O60" s="152"/>
      <c r="P60" s="152"/>
      <c r="Q60" s="337"/>
    </row>
    <row r="61" spans="1:17" ht="15.75" hidden="1">
      <c r="A61" s="256">
        <f>'ATT H-2A'!A67</f>
        <v>38</v>
      </c>
      <c r="B61" s="278" t="str">
        <f>'ATT H-2A'!B67</f>
        <v>TOTAL Accumulated Depreciation</v>
      </c>
      <c r="C61" s="278"/>
      <c r="D61" s="278"/>
      <c r="E61" s="227"/>
      <c r="F61" s="291" t="str">
        <f>'ATT H-2A'!F67</f>
        <v>(Line 30 + 37)</v>
      </c>
      <c r="G61" s="152"/>
      <c r="H61" s="152"/>
      <c r="I61" s="152"/>
      <c r="J61" s="152"/>
      <c r="K61" s="152"/>
      <c r="L61" s="152"/>
      <c r="M61" s="152"/>
      <c r="N61" s="152"/>
      <c r="O61" s="152"/>
      <c r="P61" s="152"/>
      <c r="Q61" s="337"/>
    </row>
    <row r="62" spans="1:17" ht="15.75" hidden="1">
      <c r="A62" s="247"/>
      <c r="B62" s="218"/>
      <c r="C62" s="239"/>
      <c r="D62" s="203"/>
      <c r="E62" s="255"/>
      <c r="F62" s="253"/>
      <c r="G62" s="152"/>
      <c r="H62" s="152"/>
      <c r="I62" s="152"/>
      <c r="J62" s="152"/>
      <c r="K62" s="152"/>
      <c r="L62" s="152"/>
      <c r="M62" s="152"/>
      <c r="N62" s="152"/>
      <c r="O62" s="152"/>
      <c r="P62" s="152"/>
      <c r="Q62" s="337"/>
    </row>
    <row r="63" spans="1:17" ht="15.75" hidden="1">
      <c r="A63" s="256">
        <f>'ATT H-2A'!A69</f>
        <v>39</v>
      </c>
      <c r="B63" s="278" t="str">
        <f>'ATT H-2A'!B69</f>
        <v>TOTAL Net Property, Plant &amp; Equipment</v>
      </c>
      <c r="C63" s="278"/>
      <c r="D63" s="278"/>
      <c r="E63" s="227"/>
      <c r="F63" s="291" t="str">
        <f>'ATT H-2A'!F69</f>
        <v>(Line 29 - 38)</v>
      </c>
      <c r="G63" s="152"/>
      <c r="H63" s="152"/>
      <c r="I63" s="152"/>
      <c r="J63" s="152"/>
      <c r="K63" s="152"/>
      <c r="L63" s="152"/>
      <c r="M63" s="152"/>
      <c r="N63" s="152"/>
      <c r="O63" s="152"/>
      <c r="P63" s="152"/>
      <c r="Q63" s="337"/>
    </row>
    <row r="64" spans="1:17" ht="15.75" hidden="1">
      <c r="A64" s="247"/>
      <c r="B64" s="218"/>
      <c r="C64" s="239"/>
      <c r="D64" s="203"/>
      <c r="E64" s="255"/>
      <c r="F64" s="253"/>
      <c r="G64" s="152"/>
      <c r="H64" s="152"/>
      <c r="I64" s="152"/>
      <c r="J64" s="152"/>
      <c r="K64" s="152"/>
      <c r="L64" s="152"/>
      <c r="M64" s="152"/>
      <c r="N64" s="152"/>
      <c r="O64" s="152"/>
      <c r="P64" s="152"/>
      <c r="Q64" s="337"/>
    </row>
    <row r="65" spans="1:17" ht="15.75" hidden="1">
      <c r="A65" s="259" t="str">
        <f>'ATT H-2A'!A71</f>
        <v>Adjustment To Rate Base</v>
      </c>
      <c r="B65" s="205"/>
      <c r="C65" s="205"/>
      <c r="D65" s="205"/>
      <c r="E65" s="206"/>
      <c r="F65" s="260"/>
      <c r="G65" s="152"/>
      <c r="H65" s="152"/>
      <c r="I65" s="152"/>
      <c r="J65" s="152"/>
      <c r="K65" s="152"/>
      <c r="L65" s="152"/>
      <c r="M65" s="152"/>
      <c r="N65" s="152"/>
      <c r="O65" s="152"/>
      <c r="P65" s="152"/>
      <c r="Q65" s="337"/>
    </row>
    <row r="66" spans="1:17" ht="15.75" hidden="1">
      <c r="A66" s="247"/>
      <c r="B66" s="218"/>
      <c r="C66" s="239"/>
      <c r="D66" s="203"/>
      <c r="E66" s="255"/>
      <c r="F66" s="253"/>
      <c r="G66" s="152"/>
      <c r="H66" s="152"/>
      <c r="I66" s="152"/>
      <c r="J66" s="152"/>
      <c r="K66" s="152"/>
      <c r="L66" s="152"/>
      <c r="M66" s="152"/>
      <c r="N66" s="152"/>
      <c r="O66" s="152"/>
      <c r="P66" s="152"/>
      <c r="Q66" s="337"/>
    </row>
    <row r="67" spans="1:17" ht="15.75">
      <c r="A67" s="262"/>
      <c r="B67" s="212" t="str">
        <f>'ATT H-2A'!B73</f>
        <v>Accumulated Deferred Income Taxes</v>
      </c>
      <c r="C67" s="124"/>
      <c r="D67" s="193"/>
      <c r="E67" s="263"/>
      <c r="F67" s="250"/>
      <c r="G67" s="152"/>
      <c r="H67" s="152"/>
      <c r="I67" s="152"/>
      <c r="J67" s="152"/>
      <c r="K67" s="152"/>
      <c r="L67" s="152"/>
      <c r="M67" s="152"/>
      <c r="N67" s="152"/>
      <c r="O67" s="152"/>
      <c r="P67" s="152"/>
      <c r="Q67" s="337"/>
    </row>
    <row r="68" spans="1:17" ht="15.75" hidden="1">
      <c r="A68" s="262">
        <f>'ATT H-2A'!A74</f>
        <v>40</v>
      </c>
      <c r="B68" s="212"/>
      <c r="C68" s="124" t="str">
        <f>'ATT H-2A'!C74</f>
        <v>ADIT net of FASB 106 and 109</v>
      </c>
      <c r="D68" s="193"/>
      <c r="E68" s="194"/>
      <c r="F68" s="264" t="str">
        <f>'ATT H-2A'!F74</f>
        <v>Attachment 1</v>
      </c>
      <c r="G68" s="152"/>
      <c r="H68" s="152"/>
      <c r="I68" s="152"/>
      <c r="J68" s="152"/>
      <c r="K68" s="152"/>
      <c r="L68" s="152"/>
      <c r="M68" s="152"/>
      <c r="N68" s="152"/>
      <c r="O68" s="152"/>
      <c r="P68" s="152"/>
      <c r="Q68" s="337"/>
    </row>
    <row r="69" spans="1:17" ht="15.75" hidden="1">
      <c r="A69" s="256" t="e">
        <f>'ATT H-2A'!#REF!</f>
        <v>#REF!</v>
      </c>
      <c r="B69" s="193"/>
      <c r="C69" s="214" t="e">
        <f>'ATT H-2A'!#REF!</f>
        <v>#REF!</v>
      </c>
      <c r="D69" s="265"/>
      <c r="E69" s="266"/>
      <c r="F69" s="257" t="e">
        <f>'ATT H-2A'!#REF!</f>
        <v>#REF!</v>
      </c>
      <c r="G69" s="152"/>
      <c r="H69" s="152"/>
      <c r="I69" s="152"/>
      <c r="J69" s="152"/>
      <c r="K69" s="152"/>
      <c r="L69" s="152"/>
      <c r="M69" s="152"/>
      <c r="N69" s="152"/>
      <c r="O69" s="152"/>
      <c r="P69" s="152"/>
      <c r="Q69" s="337"/>
    </row>
    <row r="70" spans="1:17" ht="15.75" hidden="1">
      <c r="A70" s="256" t="e">
        <f>'ATT H-2A'!#REF!</f>
        <v>#REF!</v>
      </c>
      <c r="B70" s="193"/>
      <c r="C70" s="214" t="e">
        <f>'ATT H-2A'!#REF!</f>
        <v>#REF!</v>
      </c>
      <c r="D70" s="265"/>
      <c r="E70" s="266"/>
      <c r="F70" s="257" t="e">
        <f>'ATT H-2A'!#REF!</f>
        <v>#REF!</v>
      </c>
      <c r="G70" s="152"/>
      <c r="H70" s="152"/>
      <c r="I70" s="152"/>
      <c r="J70" s="152"/>
      <c r="K70" s="152"/>
      <c r="L70" s="152"/>
      <c r="M70" s="152"/>
      <c r="N70" s="152"/>
      <c r="O70" s="152"/>
      <c r="P70" s="152"/>
      <c r="Q70" s="337"/>
    </row>
    <row r="71" spans="1:17" ht="15.75">
      <c r="A71" s="256">
        <f>'ATT H-2A'!A75</f>
        <v>41</v>
      </c>
      <c r="B71" s="237"/>
      <c r="C71" s="237" t="str">
        <f>'ATT H-2A'!C75</f>
        <v>Accumulated Investment Tax Credit Account No. 255</v>
      </c>
      <c r="D71" s="237"/>
      <c r="E71" s="285" t="str">
        <f>'ATT H-2A'!E75</f>
        <v>(Notes A &amp; I)</v>
      </c>
      <c r="F71" s="257" t="str">
        <f>'ATT H-2A'!F75</f>
        <v>p266.h</v>
      </c>
      <c r="G71" s="189" t="s">
        <v>416</v>
      </c>
      <c r="H71" s="152"/>
      <c r="I71" s="152"/>
      <c r="J71" s="152"/>
      <c r="K71" s="152"/>
      <c r="L71" s="152"/>
      <c r="M71" s="189" t="s">
        <v>416</v>
      </c>
      <c r="N71" s="152"/>
      <c r="O71" s="152"/>
      <c r="P71" s="152"/>
      <c r="Q71" s="337"/>
    </row>
    <row r="72" spans="1:17" ht="15.75" hidden="1">
      <c r="A72" s="256">
        <f>'ATT H-2A'!A76</f>
        <v>42</v>
      </c>
      <c r="B72" s="193"/>
      <c r="C72" s="220" t="s">
        <v>519</v>
      </c>
      <c r="D72" s="193"/>
      <c r="E72" s="224"/>
      <c r="F72" s="257" t="str">
        <f>'ATT H-2A'!F76</f>
        <v>(Line 18)</v>
      </c>
      <c r="G72" s="152"/>
      <c r="H72" s="152"/>
      <c r="I72" s="152"/>
      <c r="J72" s="152"/>
      <c r="K72" s="152"/>
      <c r="L72" s="152"/>
      <c r="M72" s="152"/>
      <c r="N72" s="152"/>
      <c r="O72" s="152"/>
      <c r="P72" s="152"/>
      <c r="Q72" s="337"/>
    </row>
    <row r="73" spans="1:17" ht="15.75" hidden="1">
      <c r="A73" s="267">
        <f>'ATT H-2A'!A77</f>
        <v>43</v>
      </c>
      <c r="B73" s="193"/>
      <c r="C73" s="212" t="str">
        <f>'ATT H-2A'!C77</f>
        <v>Accumulated Deferred Income Taxes Allocated To Transmission</v>
      </c>
      <c r="D73" s="193"/>
      <c r="E73" s="224"/>
      <c r="F73" s="257" t="str">
        <f>'ATT H-2A'!F77</f>
        <v>(Line 41 * 42) + Line 40</v>
      </c>
      <c r="G73" s="152"/>
      <c r="H73" s="152"/>
      <c r="I73" s="152"/>
      <c r="J73" s="152"/>
      <c r="K73" s="152"/>
      <c r="L73" s="152"/>
      <c r="M73" s="152"/>
      <c r="N73" s="152"/>
      <c r="O73" s="152"/>
      <c r="P73" s="152"/>
      <c r="Q73" s="337"/>
    </row>
    <row r="74" spans="1:17" ht="15.75" hidden="1">
      <c r="A74" s="247"/>
      <c r="B74" s="218"/>
      <c r="C74" s="239"/>
      <c r="D74" s="203"/>
      <c r="E74" s="255"/>
      <c r="F74" s="253"/>
      <c r="G74" s="152"/>
      <c r="H74" s="152"/>
      <c r="I74" s="152"/>
      <c r="J74" s="152"/>
      <c r="K74" s="152"/>
      <c r="L74" s="152"/>
      <c r="M74" s="152"/>
      <c r="N74" s="152"/>
      <c r="O74" s="152"/>
      <c r="P74" s="152"/>
      <c r="Q74" s="337"/>
    </row>
    <row r="75" spans="1:17" ht="15.75" hidden="1">
      <c r="A75" s="247"/>
      <c r="B75" s="218"/>
      <c r="C75" s="239"/>
      <c r="D75" s="203"/>
      <c r="E75" s="255"/>
      <c r="F75" s="253"/>
      <c r="G75" s="152"/>
      <c r="H75" s="152"/>
      <c r="I75" s="152"/>
      <c r="J75" s="152"/>
      <c r="K75" s="152"/>
      <c r="L75" s="152"/>
      <c r="M75" s="152"/>
      <c r="N75" s="152"/>
      <c r="O75" s="152"/>
      <c r="P75" s="152"/>
      <c r="Q75" s="337"/>
    </row>
    <row r="76" spans="1:17" ht="15.75">
      <c r="A76" s="256"/>
      <c r="B76" s="212" t="str">
        <f>'ATT H-2A'!B83</f>
        <v>Prepayments</v>
      </c>
      <c r="C76" s="220"/>
      <c r="D76" s="124"/>
      <c r="E76" s="194"/>
      <c r="F76" s="268"/>
      <c r="G76" s="152"/>
      <c r="H76" s="152"/>
      <c r="I76" s="152"/>
      <c r="J76" s="152"/>
      <c r="K76" s="152"/>
      <c r="L76" s="152"/>
      <c r="M76" s="152"/>
      <c r="N76" s="152"/>
      <c r="O76" s="152"/>
      <c r="P76" s="152"/>
      <c r="Q76" s="337"/>
    </row>
    <row r="77" spans="1:17" ht="15.75">
      <c r="A77" s="256">
        <f>'ATT H-2A'!A84</f>
        <v>45</v>
      </c>
      <c r="B77" s="269"/>
      <c r="C77" s="220" t="str">
        <f>'ATT H-2A'!C84</f>
        <v xml:space="preserve">Prepayments </v>
      </c>
      <c r="D77" s="202"/>
      <c r="E77" s="242" t="str">
        <f>'ATT H-2A'!E84</f>
        <v>(Note A)</v>
      </c>
      <c r="F77" s="270" t="str">
        <f>'ATT H-2A'!F84</f>
        <v>Attachment 5</v>
      </c>
      <c r="G77" s="189" t="s">
        <v>416</v>
      </c>
      <c r="H77" s="152"/>
      <c r="I77" s="152"/>
      <c r="J77" s="152"/>
      <c r="K77" s="152"/>
      <c r="L77" s="152"/>
      <c r="M77" s="152"/>
      <c r="N77" s="152"/>
      <c r="O77" s="152"/>
      <c r="P77" s="152"/>
      <c r="Q77" s="337"/>
    </row>
    <row r="78" spans="1:17" ht="15.75" hidden="1">
      <c r="A78" s="247" t="e">
        <f>'ATT H-2A'!#REF!</f>
        <v>#REF!</v>
      </c>
      <c r="B78" s="271"/>
      <c r="C78" s="220" t="e">
        <f>'ATT H-2A'!#REF!</f>
        <v>#REF!</v>
      </c>
      <c r="D78" s="217"/>
      <c r="E78" s="218"/>
      <c r="F78" s="246" t="e">
        <f>'ATT H-2A'!#REF!</f>
        <v>#REF!</v>
      </c>
      <c r="G78" s="152"/>
      <c r="H78" s="152"/>
      <c r="I78" s="152"/>
      <c r="J78" s="152"/>
      <c r="K78" s="152"/>
      <c r="L78" s="152"/>
      <c r="M78" s="152"/>
      <c r="N78" s="152"/>
      <c r="O78" s="152"/>
      <c r="P78" s="152"/>
      <c r="Q78" s="152"/>
    </row>
    <row r="79" spans="1:17" ht="15.75" hidden="1">
      <c r="A79" s="247">
        <f>'ATT H-2A'!A85</f>
        <v>46</v>
      </c>
      <c r="B79" s="271"/>
      <c r="C79" s="241" t="str">
        <f>'ATT H-2A'!C85</f>
        <v>Total Prepayments Allocated to Transmission</v>
      </c>
      <c r="D79" s="124"/>
      <c r="E79" s="218"/>
      <c r="F79" s="246" t="str">
        <f>'ATT H-2A'!F85</f>
        <v>(Line 45)</v>
      </c>
      <c r="G79" s="152"/>
      <c r="H79" s="152"/>
      <c r="I79" s="152"/>
      <c r="J79" s="152"/>
      <c r="K79" s="152"/>
      <c r="L79" s="152"/>
      <c r="M79" s="152"/>
      <c r="N79" s="152"/>
      <c r="O79" s="152"/>
      <c r="P79" s="152"/>
      <c r="Q79" s="152"/>
    </row>
    <row r="80" spans="1:17" ht="15.75" hidden="1">
      <c r="A80" s="247"/>
      <c r="B80" s="218"/>
      <c r="C80" s="239"/>
      <c r="D80" s="203"/>
      <c r="E80" s="255"/>
      <c r="F80" s="253"/>
      <c r="G80" s="152"/>
      <c r="H80" s="152"/>
      <c r="I80" s="152"/>
      <c r="J80" s="152"/>
      <c r="K80" s="152"/>
      <c r="L80" s="152"/>
      <c r="M80" s="152"/>
      <c r="N80" s="152"/>
      <c r="O80" s="152"/>
      <c r="P80" s="152"/>
      <c r="Q80" s="152"/>
    </row>
    <row r="81" spans="1:17" ht="15.75">
      <c r="A81" s="256"/>
      <c r="B81" s="212" t="str">
        <f>'ATT H-2A'!B87</f>
        <v>Materials and Supplies</v>
      </c>
      <c r="C81" s="193"/>
      <c r="D81" s="193"/>
      <c r="E81" s="272"/>
      <c r="F81" s="273"/>
      <c r="G81" s="152"/>
      <c r="H81" s="152"/>
      <c r="I81" s="152"/>
      <c r="J81" s="152"/>
      <c r="K81" s="152"/>
      <c r="L81" s="152"/>
      <c r="M81" s="152"/>
      <c r="N81" s="152"/>
      <c r="O81" s="152"/>
      <c r="P81" s="152"/>
      <c r="Q81" s="337"/>
    </row>
    <row r="82" spans="1:17" ht="15.75">
      <c r="A82" s="262">
        <f>'ATT H-2A'!A88</f>
        <v>47</v>
      </c>
      <c r="B82" s="193"/>
      <c r="C82" s="193" t="str">
        <f>'ATT H-2A'!C88</f>
        <v>Undistributed Stores Exp</v>
      </c>
      <c r="D82" s="203"/>
      <c r="E82" s="242" t="str">
        <f>'ATT H-2A'!E88</f>
        <v>(Note A)</v>
      </c>
      <c r="F82" s="274" t="str">
        <f>'ATT H-2A'!F88</f>
        <v>Attachment 5</v>
      </c>
      <c r="G82" s="189" t="s">
        <v>416</v>
      </c>
      <c r="H82" s="152"/>
      <c r="I82" s="152"/>
      <c r="J82" s="152"/>
      <c r="K82" s="152"/>
      <c r="L82" s="152"/>
      <c r="M82" s="152"/>
      <c r="N82" s="152"/>
      <c r="O82" s="152"/>
      <c r="P82" s="152"/>
      <c r="Q82" s="337"/>
    </row>
    <row r="83" spans="1:17" ht="15.75" hidden="1">
      <c r="A83" s="256">
        <f>'ATT H-2A'!A89</f>
        <v>48</v>
      </c>
      <c r="B83" s="271"/>
      <c r="C83" s="220" t="str">
        <f>'ATT H-2A'!C89</f>
        <v>Wage &amp; Salary Allocation Factor</v>
      </c>
      <c r="D83" s="217"/>
      <c r="E83" s="237"/>
      <c r="F83" s="246" t="str">
        <f>'ATT H-2A'!F89</f>
        <v>(Line 5)</v>
      </c>
      <c r="G83" s="152"/>
      <c r="H83" s="152"/>
      <c r="I83" s="152"/>
      <c r="J83" s="152"/>
      <c r="K83" s="152"/>
      <c r="L83" s="152"/>
      <c r="M83" s="152"/>
      <c r="N83" s="152"/>
      <c r="O83" s="152"/>
      <c r="P83" s="152"/>
      <c r="Q83" s="337"/>
    </row>
    <row r="84" spans="1:17" ht="15.75" hidden="1">
      <c r="A84" s="256">
        <f>'ATT H-2A'!A90</f>
        <v>49</v>
      </c>
      <c r="B84" s="271"/>
      <c r="C84" s="220" t="str">
        <f>'ATT H-2A'!C90</f>
        <v>Total Transmission Allocated</v>
      </c>
      <c r="D84" s="203"/>
      <c r="E84" s="224"/>
      <c r="F84" s="246" t="str">
        <f>'ATT H-2A'!F90</f>
        <v>(Line 47 * 48)</v>
      </c>
      <c r="G84" s="152"/>
      <c r="H84" s="152"/>
      <c r="I84" s="152"/>
      <c r="J84" s="152"/>
      <c r="K84" s="152"/>
      <c r="L84" s="152"/>
      <c r="M84" s="152"/>
      <c r="N84" s="152"/>
      <c r="O84" s="152"/>
      <c r="P84" s="152"/>
      <c r="Q84" s="337"/>
    </row>
    <row r="85" spans="1:17" ht="15.75" hidden="1">
      <c r="A85" s="256">
        <f>'ATT H-2A'!A91</f>
        <v>50</v>
      </c>
      <c r="B85" s="271"/>
      <c r="C85" s="220" t="str">
        <f>'ATT H-2A'!C91</f>
        <v>Transmission Materials &amp; Supplies</v>
      </c>
      <c r="D85" s="203"/>
      <c r="E85" s="237"/>
      <c r="F85" s="274" t="str">
        <f>'ATT H-2A'!F91</f>
        <v>p227.8c</v>
      </c>
      <c r="G85" s="152"/>
      <c r="H85" s="152"/>
      <c r="I85" s="152"/>
      <c r="J85" s="152"/>
      <c r="K85" s="152"/>
      <c r="L85" s="152"/>
      <c r="M85" s="152"/>
      <c r="N85" s="152"/>
      <c r="O85" s="152"/>
      <c r="P85" s="152"/>
      <c r="Q85" s="337"/>
    </row>
    <row r="86" spans="1:17" ht="15.75" hidden="1">
      <c r="A86" s="256">
        <f>'ATT H-2A'!A92</f>
        <v>51</v>
      </c>
      <c r="B86" s="271"/>
      <c r="C86" s="241" t="str">
        <f>'ATT H-2A'!C92</f>
        <v>Total Materials &amp; Supplies Allocated to Transmission</v>
      </c>
      <c r="D86" s="226"/>
      <c r="E86" s="299"/>
      <c r="F86" s="246" t="str">
        <f>'ATT H-2A'!F92</f>
        <v>(Line 49 + 50)</v>
      </c>
      <c r="G86" s="152"/>
      <c r="H86" s="152"/>
      <c r="I86" s="152"/>
      <c r="J86" s="152"/>
      <c r="K86" s="152"/>
      <c r="L86" s="152"/>
      <c r="M86" s="152"/>
      <c r="N86" s="152"/>
      <c r="O86" s="152"/>
      <c r="P86" s="152"/>
      <c r="Q86" s="337"/>
    </row>
    <row r="87" spans="1:17" ht="15.75" hidden="1">
      <c r="A87" s="247"/>
      <c r="B87" s="218"/>
      <c r="C87" s="239"/>
      <c r="D87" s="203"/>
      <c r="E87" s="255"/>
      <c r="F87" s="253"/>
      <c r="G87" s="152"/>
      <c r="H87" s="152"/>
      <c r="I87" s="152"/>
      <c r="J87" s="152"/>
      <c r="K87" s="152"/>
      <c r="L87" s="152"/>
      <c r="M87" s="152"/>
      <c r="N87" s="152"/>
      <c r="O87" s="152"/>
      <c r="P87" s="152"/>
      <c r="Q87" s="337"/>
    </row>
    <row r="88" spans="1:17" ht="15.75" hidden="1">
      <c r="A88" s="256"/>
      <c r="B88" s="212" t="str">
        <f>'ATT H-2A'!B94</f>
        <v>Cash Working Capital</v>
      </c>
      <c r="C88" s="193"/>
      <c r="D88" s="124"/>
      <c r="E88" s="194"/>
      <c r="F88" s="268"/>
      <c r="G88" s="152"/>
      <c r="H88" s="152"/>
      <c r="I88" s="152"/>
      <c r="J88" s="152"/>
      <c r="K88" s="152"/>
      <c r="L88" s="152"/>
      <c r="M88" s="152"/>
      <c r="N88" s="152"/>
      <c r="O88" s="152"/>
      <c r="P88" s="152"/>
      <c r="Q88" s="337"/>
    </row>
    <row r="89" spans="1:17" ht="15.75" hidden="1">
      <c r="A89" s="256">
        <f>'ATT H-2A'!A95</f>
        <v>52</v>
      </c>
      <c r="B89" s="271"/>
      <c r="C89" s="220" t="str">
        <f>'ATT H-2A'!C95</f>
        <v>Operation &amp; Maintenance Expense</v>
      </c>
      <c r="D89" s="275"/>
      <c r="E89" s="194"/>
      <c r="F89" s="246" t="str">
        <f>'ATT H-2A'!F95</f>
        <v>(Line 84)</v>
      </c>
      <c r="G89" s="152"/>
      <c r="H89" s="152"/>
      <c r="I89" s="152"/>
      <c r="J89" s="152"/>
      <c r="K89" s="152"/>
      <c r="L89" s="152"/>
      <c r="M89" s="152"/>
      <c r="N89" s="152"/>
      <c r="O89" s="152"/>
      <c r="P89" s="152"/>
      <c r="Q89" s="337"/>
    </row>
    <row r="90" spans="1:17" ht="15.75" hidden="1">
      <c r="A90" s="256">
        <f>'ATT H-2A'!A96</f>
        <v>53</v>
      </c>
      <c r="B90" s="271"/>
      <c r="C90" s="217" t="str">
        <f>'ATT H-2A'!C96</f>
        <v>1/8th Rule</v>
      </c>
      <c r="D90" s="275"/>
      <c r="E90" s="194"/>
      <c r="F90" s="270" t="str">
        <f>'ATT H-2A'!F96</f>
        <v>x 1/8</v>
      </c>
      <c r="G90" s="152"/>
      <c r="H90" s="152"/>
      <c r="I90" s="152"/>
      <c r="J90" s="152"/>
      <c r="K90" s="152"/>
      <c r="L90" s="152"/>
      <c r="M90" s="152"/>
      <c r="N90" s="152"/>
      <c r="O90" s="152"/>
      <c r="P90" s="152"/>
      <c r="Q90" s="337"/>
    </row>
    <row r="91" spans="1:17" ht="15.75" hidden="1">
      <c r="A91" s="256">
        <f>'ATT H-2A'!A97</f>
        <v>54</v>
      </c>
      <c r="B91" s="276"/>
      <c r="C91" s="212" t="str">
        <f>'ATT H-2A'!C97</f>
        <v>Total Cash Working Capital Allocated to Transmission</v>
      </c>
      <c r="D91" s="219"/>
      <c r="E91" s="227"/>
      <c r="F91" s="246" t="str">
        <f>'ATT H-2A'!F97</f>
        <v>(Line 52 * 53)</v>
      </c>
      <c r="G91" s="152"/>
      <c r="H91" s="152"/>
      <c r="I91" s="152"/>
      <c r="J91" s="152"/>
      <c r="K91" s="152"/>
      <c r="L91" s="152"/>
      <c r="M91" s="152"/>
      <c r="N91" s="152"/>
      <c r="O91" s="152"/>
      <c r="P91" s="152"/>
      <c r="Q91" s="337"/>
    </row>
    <row r="92" spans="1:17" ht="15.75" hidden="1">
      <c r="A92" s="247"/>
      <c r="B92" s="218"/>
      <c r="C92" s="239"/>
      <c r="D92" s="203"/>
      <c r="E92" s="255"/>
      <c r="F92" s="253"/>
      <c r="G92" s="152"/>
      <c r="H92" s="152"/>
      <c r="I92" s="152"/>
      <c r="J92" s="152"/>
      <c r="K92" s="152"/>
      <c r="L92" s="152"/>
      <c r="M92" s="152"/>
      <c r="N92" s="152"/>
      <c r="O92" s="152"/>
      <c r="P92" s="152"/>
      <c r="Q92" s="337"/>
    </row>
    <row r="93" spans="1:17" ht="15.75">
      <c r="A93" s="277"/>
      <c r="B93" s="212" t="str">
        <f>'ATT H-2A'!B99</f>
        <v>Network Credits</v>
      </c>
      <c r="C93" s="278"/>
      <c r="D93" s="219"/>
      <c r="E93" s="172"/>
      <c r="F93" s="246"/>
      <c r="G93" s="152"/>
      <c r="H93" s="152"/>
      <c r="I93" s="152"/>
      <c r="J93" s="152"/>
      <c r="K93" s="152"/>
      <c r="L93" s="152"/>
      <c r="M93" s="152"/>
      <c r="N93" s="152"/>
      <c r="O93" s="152"/>
      <c r="P93" s="152"/>
      <c r="Q93" s="358" t="s">
        <v>416</v>
      </c>
    </row>
    <row r="94" spans="1:17" ht="15.75">
      <c r="A94" s="256">
        <f>'ATT H-2A'!A100</f>
        <v>55</v>
      </c>
      <c r="B94" s="229"/>
      <c r="C94" s="229" t="str">
        <f>'ATT H-2A'!C100</f>
        <v>Outstanding Network Credits</v>
      </c>
      <c r="D94" s="229"/>
      <c r="E94" s="279" t="str">
        <f>'ATT H-2A'!E100</f>
        <v>(Note N)</v>
      </c>
      <c r="F94" s="250" t="str">
        <f>'ATT H-2A'!F100</f>
        <v>From PJM</v>
      </c>
      <c r="G94" s="152"/>
      <c r="H94" s="152"/>
      <c r="I94" s="152"/>
      <c r="J94" s="152"/>
      <c r="K94" s="152"/>
      <c r="L94" s="152"/>
      <c r="M94" s="152"/>
      <c r="N94" s="152"/>
      <c r="O94" s="152"/>
      <c r="P94" s="152"/>
      <c r="Q94" s="337"/>
    </row>
    <row r="95" spans="1:17" ht="15.75" hidden="1">
      <c r="A95" s="249">
        <f>'ATT H-2A'!A101</f>
        <v>56</v>
      </c>
      <c r="B95" s="229"/>
      <c r="C95" s="229" t="str">
        <f>'ATT H-2A'!C101</f>
        <v xml:space="preserve">    Less Accumulated Depreciation Associated with Facilities with Outstanding Network Credits</v>
      </c>
      <c r="D95" s="229"/>
      <c r="E95" s="194"/>
      <c r="F95" s="250" t="str">
        <f>'ATT H-2A'!F101</f>
        <v>From PJM</v>
      </c>
      <c r="G95" s="152"/>
      <c r="H95" s="152"/>
      <c r="I95" s="152"/>
      <c r="J95" s="152"/>
      <c r="K95" s="152"/>
      <c r="L95" s="152"/>
      <c r="M95" s="152"/>
      <c r="N95" s="152"/>
      <c r="O95" s="152"/>
      <c r="P95" s="152"/>
      <c r="Q95" s="337"/>
    </row>
    <row r="96" spans="1:17" ht="15.75" hidden="1">
      <c r="A96" s="249">
        <f>'ATT H-2A'!A102</f>
        <v>57</v>
      </c>
      <c r="B96" s="229"/>
      <c r="C96" s="229" t="str">
        <f>'ATT H-2A'!C102</f>
        <v>Net Outstanding Credits</v>
      </c>
      <c r="D96" s="229"/>
      <c r="E96" s="194"/>
      <c r="F96" s="246" t="str">
        <f>'ATT H-2A'!F102</f>
        <v>(Line 55 - 56)</v>
      </c>
      <c r="G96" s="152"/>
      <c r="H96" s="152"/>
      <c r="I96" s="152"/>
      <c r="J96" s="152"/>
      <c r="K96" s="152"/>
      <c r="L96" s="152"/>
      <c r="M96" s="152"/>
      <c r="N96" s="152"/>
      <c r="O96" s="152"/>
      <c r="P96" s="152"/>
      <c r="Q96" s="337"/>
    </row>
    <row r="97" spans="1:17" ht="15.75" hidden="1">
      <c r="A97" s="247"/>
      <c r="B97" s="218"/>
      <c r="C97" s="239"/>
      <c r="D97" s="203"/>
      <c r="E97" s="255"/>
      <c r="F97" s="253"/>
      <c r="G97" s="152"/>
      <c r="H97" s="152"/>
      <c r="I97" s="152"/>
      <c r="J97" s="152"/>
      <c r="K97" s="152"/>
      <c r="L97" s="152"/>
      <c r="M97" s="152"/>
      <c r="N97" s="152"/>
      <c r="O97" s="152"/>
      <c r="P97" s="152"/>
      <c r="Q97" s="337"/>
    </row>
    <row r="98" spans="1:17" ht="15.75" hidden="1">
      <c r="A98" s="249">
        <f>'ATT H-2A'!A104</f>
        <v>58</v>
      </c>
      <c r="B98" s="278" t="str">
        <f>'ATT H-2A'!B104</f>
        <v>TOTAL Adjustment to Rate Base</v>
      </c>
      <c r="C98" s="278"/>
      <c r="D98" s="278"/>
      <c r="E98" s="227"/>
      <c r="F98" s="246" t="str">
        <f>'ATT H-2A'!F104</f>
        <v>(Line 43 + 44 + 46 + 51 + 54 - 57)</v>
      </c>
      <c r="G98" s="152"/>
      <c r="H98" s="152"/>
      <c r="I98" s="152"/>
      <c r="J98" s="152"/>
      <c r="K98" s="152"/>
      <c r="L98" s="152"/>
      <c r="M98" s="152"/>
      <c r="N98" s="152"/>
      <c r="O98" s="152"/>
      <c r="P98" s="152"/>
      <c r="Q98" s="337"/>
    </row>
    <row r="99" spans="1:17" ht="15.75" hidden="1">
      <c r="A99" s="247"/>
      <c r="B99" s="218"/>
      <c r="C99" s="239"/>
      <c r="D99" s="203"/>
      <c r="E99" s="255"/>
      <c r="F99" s="253"/>
      <c r="G99" s="152"/>
      <c r="H99" s="152"/>
      <c r="I99" s="152"/>
      <c r="J99" s="152"/>
      <c r="K99" s="152"/>
      <c r="L99" s="152"/>
      <c r="M99" s="152"/>
      <c r="N99" s="152"/>
      <c r="O99" s="152"/>
      <c r="P99" s="152"/>
      <c r="Q99" s="337"/>
    </row>
    <row r="100" spans="1:17" ht="15.75" hidden="1">
      <c r="A100" s="247">
        <f>'ATT H-2A'!A106</f>
        <v>59</v>
      </c>
      <c r="B100" s="278" t="str">
        <f>'ATT H-2A'!B106</f>
        <v>Rate Base</v>
      </c>
      <c r="C100" s="278"/>
      <c r="D100" s="278"/>
      <c r="E100" s="227"/>
      <c r="F100" s="246" t="str">
        <f>'ATT H-2A'!F106</f>
        <v>(Line  + 58)</v>
      </c>
      <c r="G100" s="152"/>
      <c r="H100" s="152"/>
      <c r="I100" s="152"/>
      <c r="J100" s="152"/>
      <c r="K100" s="152"/>
      <c r="L100" s="152"/>
      <c r="M100" s="152"/>
      <c r="N100" s="152"/>
      <c r="O100" s="152"/>
      <c r="P100" s="152"/>
      <c r="Q100" s="337"/>
    </row>
    <row r="101" spans="1:17" ht="15.75" hidden="1">
      <c r="A101" s="247"/>
      <c r="B101" s="218"/>
      <c r="C101" s="239"/>
      <c r="D101" s="203"/>
      <c r="E101" s="255"/>
      <c r="F101" s="253"/>
      <c r="G101" s="152"/>
      <c r="H101" s="152"/>
      <c r="I101" s="152"/>
      <c r="J101" s="152"/>
      <c r="K101" s="152"/>
      <c r="L101" s="152"/>
      <c r="M101" s="152"/>
      <c r="N101" s="152"/>
      <c r="O101" s="152"/>
      <c r="P101" s="152"/>
      <c r="Q101" s="337"/>
    </row>
    <row r="102" spans="1:17" ht="15.75" hidden="1">
      <c r="A102" s="259" t="str">
        <f>'ATT H-2A'!A108</f>
        <v>O&amp;M</v>
      </c>
      <c r="B102" s="204"/>
      <c r="C102" s="280"/>
      <c r="D102" s="205"/>
      <c r="E102" s="206"/>
      <c r="F102" s="260"/>
      <c r="G102" s="152"/>
      <c r="H102" s="152"/>
      <c r="I102" s="152"/>
      <c r="J102" s="152"/>
      <c r="K102" s="152"/>
      <c r="L102" s="152"/>
      <c r="M102" s="152"/>
      <c r="N102" s="152"/>
      <c r="O102" s="152"/>
      <c r="P102" s="152"/>
      <c r="Q102" s="337"/>
    </row>
    <row r="103" spans="1:17" ht="15.75" hidden="1">
      <c r="A103" s="247"/>
      <c r="B103" s="218"/>
      <c r="C103" s="239"/>
      <c r="D103" s="203"/>
      <c r="E103" s="255"/>
      <c r="F103" s="253"/>
      <c r="G103" s="152"/>
      <c r="H103" s="152"/>
      <c r="I103" s="152"/>
      <c r="J103" s="152"/>
      <c r="K103" s="152"/>
      <c r="L103" s="152"/>
      <c r="M103" s="152"/>
      <c r="N103" s="152"/>
      <c r="O103" s="152"/>
      <c r="P103" s="152"/>
      <c r="Q103" s="337"/>
    </row>
    <row r="104" spans="1:17" ht="15.75" hidden="1">
      <c r="A104" s="247">
        <f>'ATT H-2A'!A110</f>
        <v>0</v>
      </c>
      <c r="B104" s="239" t="str">
        <f>'ATT H-2A'!B110</f>
        <v>Transmission O&amp;M</v>
      </c>
      <c r="C104" s="124"/>
      <c r="D104" s="209"/>
      <c r="E104" s="211"/>
      <c r="F104" s="250"/>
      <c r="G104" s="152"/>
      <c r="H104" s="152"/>
      <c r="I104" s="152"/>
      <c r="J104" s="152"/>
      <c r="K104" s="152"/>
      <c r="L104" s="152"/>
      <c r="M104" s="152"/>
      <c r="N104" s="152"/>
      <c r="O104" s="152"/>
      <c r="P104" s="152"/>
      <c r="Q104" s="337"/>
    </row>
    <row r="105" spans="1:17" ht="15.75" hidden="1">
      <c r="A105" s="247">
        <f>'ATT H-2A'!A111</f>
        <v>60</v>
      </c>
      <c r="B105" s="218"/>
      <c r="C105" s="214" t="str">
        <f>'ATT H-2A'!C111</f>
        <v>Transmission O&amp;M</v>
      </c>
      <c r="D105" s="203"/>
      <c r="E105" s="224"/>
      <c r="F105" s="257" t="str">
        <f>'ATT H-2A'!F111</f>
        <v>p321.112.b</v>
      </c>
      <c r="G105" s="152"/>
      <c r="H105" s="152"/>
      <c r="I105" s="152"/>
      <c r="J105" s="152"/>
      <c r="K105" s="152"/>
      <c r="L105" s="152"/>
      <c r="M105" s="152"/>
      <c r="N105" s="152"/>
      <c r="O105" s="152"/>
      <c r="P105" s="152"/>
      <c r="Q105" s="337"/>
    </row>
    <row r="106" spans="1:17" ht="15.75" hidden="1">
      <c r="A106" s="247">
        <f>'ATT H-2A'!A114</f>
        <v>63</v>
      </c>
      <c r="B106" s="218"/>
      <c r="C106" s="214" t="str">
        <f>'ATT H-2A'!C114</f>
        <v xml:space="preserve">     Less Account 565</v>
      </c>
      <c r="D106" s="203"/>
      <c r="E106" s="224"/>
      <c r="F106" s="257" t="str">
        <f>'ATT H-2A'!F114</f>
        <v>p321.96.b</v>
      </c>
      <c r="G106" s="152"/>
      <c r="H106" s="152"/>
      <c r="I106" s="152"/>
      <c r="J106" s="152"/>
      <c r="K106" s="152"/>
      <c r="L106" s="152"/>
      <c r="M106" s="152"/>
      <c r="N106" s="152"/>
      <c r="O106" s="152"/>
      <c r="P106" s="152"/>
      <c r="Q106" s="337"/>
    </row>
    <row r="107" spans="1:17" ht="15.75" hidden="1">
      <c r="A107" s="247">
        <f>'ATT H-2A'!A116</f>
        <v>65</v>
      </c>
      <c r="B107" s="218"/>
      <c r="C107" s="214" t="str">
        <f>'ATT H-2A'!C116</f>
        <v xml:space="preserve">     Plus Transmission Lease Payments</v>
      </c>
      <c r="D107" s="213"/>
      <c r="E107" s="188"/>
      <c r="F107" s="257" t="str">
        <f>'ATT H-2A'!F116</f>
        <v>P200.4.c</v>
      </c>
      <c r="G107" s="152"/>
      <c r="H107" s="152"/>
      <c r="I107" s="152"/>
      <c r="J107" s="152"/>
      <c r="K107" s="152"/>
      <c r="L107" s="152"/>
      <c r="M107" s="152"/>
      <c r="N107" s="152"/>
      <c r="O107" s="152"/>
      <c r="P107" s="152"/>
      <c r="Q107" s="337"/>
    </row>
    <row r="108" spans="1:17" ht="15.75" hidden="1">
      <c r="A108" s="256">
        <f>'ATT H-2A'!A117</f>
        <v>66</v>
      </c>
      <c r="B108" s="203"/>
      <c r="C108" s="239" t="str">
        <f>'ATT H-2A'!C117</f>
        <v>Transmission O&amp;M</v>
      </c>
      <c r="D108" s="203"/>
      <c r="E108" s="224"/>
      <c r="F108" s="257" t="str">
        <f>'ATT H-2A'!F117</f>
        <v>(Lines 60 - 61 + 62 - 63 + 64 + 65)</v>
      </c>
      <c r="G108" s="152"/>
      <c r="H108" s="152"/>
      <c r="I108" s="152"/>
      <c r="J108" s="152"/>
      <c r="K108" s="152"/>
      <c r="L108" s="152"/>
      <c r="M108" s="152"/>
      <c r="N108" s="152"/>
      <c r="O108" s="152"/>
      <c r="P108" s="152"/>
      <c r="Q108" s="337"/>
    </row>
    <row r="109" spans="1:17" ht="15.75" hidden="1">
      <c r="A109" s="247"/>
      <c r="B109" s="218"/>
      <c r="C109" s="239"/>
      <c r="D109" s="203"/>
      <c r="E109" s="255"/>
      <c r="F109" s="253"/>
      <c r="G109" s="152"/>
      <c r="H109" s="152"/>
      <c r="I109" s="152"/>
      <c r="J109" s="152"/>
      <c r="K109" s="152"/>
      <c r="L109" s="152"/>
      <c r="M109" s="152"/>
      <c r="N109" s="152"/>
      <c r="O109" s="152"/>
      <c r="P109" s="152"/>
      <c r="Q109" s="337"/>
    </row>
    <row r="110" spans="1:17" ht="15.75">
      <c r="A110" s="256"/>
      <c r="B110" s="239" t="str">
        <f>'ATT H-2A'!B119</f>
        <v>Allocated General &amp; Common Expenses</v>
      </c>
      <c r="C110" s="203"/>
      <c r="D110" s="203"/>
      <c r="E110" s="255"/>
      <c r="F110" s="281"/>
      <c r="G110" s="152"/>
      <c r="H110" s="152"/>
      <c r="I110" s="152"/>
      <c r="J110" s="152"/>
      <c r="K110" s="152"/>
      <c r="L110" s="152"/>
      <c r="M110" s="152"/>
      <c r="N110" s="152"/>
      <c r="O110" s="152"/>
      <c r="P110" s="152"/>
      <c r="Q110" s="337"/>
    </row>
    <row r="111" spans="1:17" ht="15.75">
      <c r="A111" s="256">
        <f>'ATT H-2A'!A120</f>
        <v>67</v>
      </c>
      <c r="B111" s="237"/>
      <c r="C111" s="214" t="str">
        <f>'ATT H-2A'!C120</f>
        <v>Common Plant O&amp;M</v>
      </c>
      <c r="D111" s="203"/>
      <c r="E111" s="279" t="str">
        <f>'ATT H-2A'!E120</f>
        <v>(Note A)</v>
      </c>
      <c r="F111" s="246" t="str">
        <f>'ATT H-2A'!F120</f>
        <v>p356</v>
      </c>
      <c r="G111" s="189" t="s">
        <v>416</v>
      </c>
      <c r="H111" s="189"/>
      <c r="I111" s="152"/>
      <c r="J111" s="152"/>
      <c r="K111" s="152"/>
      <c r="L111" s="152"/>
      <c r="M111" s="152"/>
      <c r="N111" s="152"/>
      <c r="O111" s="152"/>
      <c r="P111" s="152"/>
      <c r="Q111" s="337"/>
    </row>
    <row r="112" spans="1:17" ht="15.75" hidden="1">
      <c r="A112" s="256">
        <f>'ATT H-2A'!A121</f>
        <v>68</v>
      </c>
      <c r="B112" s="237"/>
      <c r="C112" s="214" t="str">
        <f>'ATT H-2A'!C121</f>
        <v>Total A&amp;G</v>
      </c>
      <c r="D112" s="203"/>
      <c r="E112" s="224"/>
      <c r="F112" s="257" t="str">
        <f>'ATT H-2A'!F121</f>
        <v>Attachment 5</v>
      </c>
      <c r="G112" s="152"/>
      <c r="H112" s="152"/>
      <c r="I112" s="152"/>
      <c r="J112" s="152"/>
      <c r="K112" s="152"/>
      <c r="L112" s="152"/>
      <c r="M112" s="152"/>
      <c r="N112" s="152"/>
      <c r="O112" s="152"/>
      <c r="P112" s="152"/>
      <c r="Q112" s="337"/>
    </row>
    <row r="113" spans="1:17" ht="15.75" hidden="1">
      <c r="A113" s="256">
        <f>'ATT H-2A'!A122</f>
        <v>69</v>
      </c>
      <c r="B113" s="237"/>
      <c r="C113" s="214" t="str">
        <f>'ATT H-2A'!C122</f>
        <v xml:space="preserve">    Less Property Insurance Account 924</v>
      </c>
      <c r="D113" s="213"/>
      <c r="E113" s="224"/>
      <c r="F113" s="282" t="str">
        <f>'ATT H-2A'!F122</f>
        <v>p323.185.b</v>
      </c>
      <c r="G113" s="152"/>
      <c r="H113" s="152"/>
      <c r="I113" s="152"/>
      <c r="J113" s="152"/>
      <c r="K113" s="152"/>
      <c r="L113" s="152"/>
      <c r="M113" s="152"/>
      <c r="N113" s="152"/>
      <c r="O113" s="152"/>
      <c r="P113" s="152"/>
      <c r="Q113" s="337"/>
    </row>
    <row r="114" spans="1:17" ht="15.75">
      <c r="A114" s="256">
        <f>'ATT H-2A'!A123</f>
        <v>70</v>
      </c>
      <c r="B114" s="237"/>
      <c r="C114" s="214" t="str">
        <f>'ATT H-2A'!C123</f>
        <v xml:space="preserve">    Less Regulatory Commission Exp Account 928</v>
      </c>
      <c r="D114" s="213"/>
      <c r="E114" s="279" t="str">
        <f>'ATT H-2A'!E123</f>
        <v>(Note E)</v>
      </c>
      <c r="F114" s="282" t="str">
        <f>'ATT H-2A'!F123</f>
        <v>p323.189.b</v>
      </c>
      <c r="G114" s="152"/>
      <c r="H114" s="152"/>
      <c r="I114" s="152"/>
      <c r="J114" s="152"/>
      <c r="K114" s="189" t="s">
        <v>416</v>
      </c>
      <c r="L114" s="152"/>
      <c r="M114" s="152"/>
      <c r="N114" s="152"/>
      <c r="O114" s="152"/>
      <c r="P114" s="152"/>
      <c r="Q114" s="337"/>
    </row>
    <row r="115" spans="1:17" ht="15.75" hidden="1">
      <c r="A115" s="256">
        <f>'ATT H-2A'!A124</f>
        <v>71</v>
      </c>
      <c r="B115" s="237"/>
      <c r="C115" s="214" t="str">
        <f>'ATT H-2A'!C124</f>
        <v xml:space="preserve">    Less General Advertising Exp Account 930.1</v>
      </c>
      <c r="D115" s="213"/>
      <c r="E115" s="224"/>
      <c r="F115" s="282" t="str">
        <f>'ATT H-2A'!F124</f>
        <v>p323.191.b</v>
      </c>
      <c r="G115" s="152"/>
      <c r="H115" s="152"/>
      <c r="I115" s="152"/>
      <c r="J115" s="152"/>
      <c r="K115" s="152"/>
      <c r="L115" s="152"/>
      <c r="M115" s="152"/>
      <c r="N115" s="152"/>
      <c r="O115" s="152"/>
      <c r="P115" s="152"/>
      <c r="Q115" s="337"/>
    </row>
    <row r="116" spans="1:17" ht="15.75">
      <c r="A116" s="256">
        <f>'ATT H-2A'!A125</f>
        <v>72</v>
      </c>
      <c r="B116" s="237"/>
      <c r="C116" s="214" t="str">
        <f>'ATT H-2A'!C125</f>
        <v xml:space="preserve">    Less EPRI Dues</v>
      </c>
      <c r="D116" s="229"/>
      <c r="E116" s="279" t="str">
        <f>'ATT H-2A'!E125</f>
        <v>(Note D)</v>
      </c>
      <c r="F116" s="257" t="str">
        <f>'ATT H-2A'!F125</f>
        <v>p352-353</v>
      </c>
      <c r="G116" s="152"/>
      <c r="H116" s="152"/>
      <c r="I116" s="152"/>
      <c r="J116" s="189" t="s">
        <v>416</v>
      </c>
      <c r="K116" s="152"/>
      <c r="L116" s="152"/>
      <c r="M116" s="152"/>
      <c r="N116" s="152"/>
      <c r="O116" s="152"/>
      <c r="P116" s="152"/>
      <c r="Q116" s="337"/>
    </row>
    <row r="117" spans="1:17" ht="15.75" hidden="1">
      <c r="A117" s="256">
        <f>'ATT H-2A'!A126</f>
        <v>73</v>
      </c>
      <c r="B117" s="237"/>
      <c r="C117" s="239" t="str">
        <f>'ATT H-2A'!C126</f>
        <v>General &amp; Common Expenses</v>
      </c>
      <c r="D117" s="203"/>
      <c r="E117" s="255"/>
      <c r="F117" s="246" t="str">
        <f>'ATT H-2A'!F126</f>
        <v>(Lines 67 + 68) -  Sum (69 to 72)</v>
      </c>
      <c r="G117" s="152"/>
      <c r="H117" s="152"/>
      <c r="I117" s="152"/>
      <c r="J117" s="152"/>
      <c r="K117" s="152"/>
      <c r="L117" s="152"/>
      <c r="M117" s="152"/>
      <c r="N117" s="152"/>
      <c r="O117" s="152"/>
      <c r="P117" s="152"/>
      <c r="Q117" s="337"/>
    </row>
    <row r="118" spans="1:17" ht="15.75" hidden="1">
      <c r="A118" s="256">
        <f>'ATT H-2A'!A127</f>
        <v>74</v>
      </c>
      <c r="B118" s="237"/>
      <c r="C118" s="220" t="str">
        <f>'ATT H-2A'!C127</f>
        <v>Wage &amp; Salary Allocation Factor</v>
      </c>
      <c r="D118" s="217"/>
      <c r="E118" s="194"/>
      <c r="F118" s="281" t="str">
        <f>'ATT H-2A'!F127</f>
        <v>(Line 5)</v>
      </c>
      <c r="G118" s="152"/>
      <c r="H118" s="152"/>
      <c r="I118" s="152"/>
      <c r="J118" s="152"/>
      <c r="K118" s="152"/>
      <c r="L118" s="152"/>
      <c r="M118" s="152"/>
      <c r="N118" s="152"/>
      <c r="O118" s="152"/>
      <c r="P118" s="152"/>
      <c r="Q118" s="337"/>
    </row>
    <row r="119" spans="1:17" ht="15.75" hidden="1">
      <c r="A119" s="256">
        <f>'ATT H-2A'!A128</f>
        <v>75</v>
      </c>
      <c r="B119" s="237"/>
      <c r="C119" s="239" t="str">
        <f>'ATT H-2A'!C128</f>
        <v>General &amp; Common Expenses Allocated to Transmission</v>
      </c>
      <c r="D119" s="203"/>
      <c r="E119" s="211"/>
      <c r="F119" s="246" t="str">
        <f>'ATT H-2A'!F128</f>
        <v>(Line 73 * 74)</v>
      </c>
      <c r="G119" s="152"/>
      <c r="H119" s="152"/>
      <c r="I119" s="152"/>
      <c r="J119" s="152"/>
      <c r="K119" s="152"/>
      <c r="L119" s="152"/>
      <c r="M119" s="152"/>
      <c r="N119" s="152"/>
      <c r="O119" s="152"/>
      <c r="P119" s="152"/>
      <c r="Q119" s="337"/>
    </row>
    <row r="120" spans="1:17" ht="15.75" hidden="1">
      <c r="A120" s="247"/>
      <c r="B120" s="218"/>
      <c r="C120" s="239"/>
      <c r="D120" s="203"/>
      <c r="E120" s="255"/>
      <c r="F120" s="253"/>
      <c r="G120" s="152"/>
      <c r="H120" s="152"/>
      <c r="I120" s="152"/>
      <c r="J120" s="152"/>
      <c r="K120" s="152"/>
      <c r="L120" s="152"/>
      <c r="M120" s="152"/>
      <c r="N120" s="152"/>
      <c r="O120" s="152"/>
      <c r="P120" s="152"/>
      <c r="Q120" s="337"/>
    </row>
    <row r="121" spans="1:17" ht="15.75">
      <c r="A121" s="256"/>
      <c r="B121" s="239" t="str">
        <f>'ATT H-2A'!B130</f>
        <v>Directly Assigned A&amp;G</v>
      </c>
      <c r="C121" s="193"/>
      <c r="D121" s="203"/>
      <c r="E121" s="211"/>
      <c r="F121" s="253"/>
      <c r="G121" s="152"/>
      <c r="H121" s="152"/>
      <c r="I121" s="152"/>
      <c r="J121" s="152"/>
      <c r="K121" s="152"/>
      <c r="L121" s="152"/>
      <c r="M121" s="152"/>
      <c r="N121" s="152"/>
      <c r="O121" s="152"/>
      <c r="P121" s="152"/>
      <c r="Q121" s="337"/>
    </row>
    <row r="122" spans="1:17" ht="15.75">
      <c r="A122" s="256">
        <f>'ATT H-2A'!A131</f>
        <v>76</v>
      </c>
      <c r="B122" s="271"/>
      <c r="C122" s="220" t="str">
        <f>'ATT H-2A'!C131</f>
        <v>Regulatory Commission Exp Account 928</v>
      </c>
      <c r="D122" s="202"/>
      <c r="E122" s="279" t="str">
        <f>'ATT H-2A'!E131</f>
        <v>(Note G)</v>
      </c>
      <c r="F122" s="274" t="str">
        <f>'ATT H-2A'!F131</f>
        <v>p323.189b</v>
      </c>
      <c r="G122" s="152"/>
      <c r="H122" s="152"/>
      <c r="I122" s="189"/>
      <c r="J122" s="152"/>
      <c r="K122" s="189" t="s">
        <v>416</v>
      </c>
      <c r="L122" s="152"/>
      <c r="M122" s="152"/>
      <c r="N122" s="152"/>
      <c r="O122" s="152"/>
      <c r="P122" s="152"/>
      <c r="Q122" s="337"/>
    </row>
    <row r="123" spans="1:17" ht="15.75">
      <c r="A123" s="247">
        <f>'ATT H-2A'!A132</f>
        <v>77</v>
      </c>
      <c r="B123" s="271"/>
      <c r="C123" s="220" t="str">
        <f>'ATT H-2A'!C132</f>
        <v>General Advertising Exp Account 930.1</v>
      </c>
      <c r="D123" s="296"/>
      <c r="E123" s="202" t="str">
        <f>'ATT H-2A'!E132</f>
        <v>(Note K)</v>
      </c>
      <c r="F123" s="274" t="str">
        <f>'ATT H-2A'!F132</f>
        <v>p323.191.b</v>
      </c>
      <c r="G123" s="152"/>
      <c r="H123" s="152"/>
      <c r="I123" s="152"/>
      <c r="J123" s="152"/>
      <c r="K123" s="152"/>
      <c r="L123" s="152"/>
      <c r="M123" s="152"/>
      <c r="N123" s="189" t="s">
        <v>416</v>
      </c>
      <c r="O123" s="189"/>
      <c r="P123" s="152"/>
      <c r="Q123" s="337"/>
    </row>
    <row r="124" spans="1:17" ht="15.75" hidden="1">
      <c r="A124" s="247">
        <f>'ATT H-2A'!A133</f>
        <v>78</v>
      </c>
      <c r="B124" s="271"/>
      <c r="C124" s="220" t="str">
        <f>'ATT H-2A'!C133</f>
        <v>Subtotal - Transmission Related</v>
      </c>
      <c r="D124" s="203"/>
      <c r="E124" s="272"/>
      <c r="F124" s="246" t="str">
        <f>'ATT H-2A'!F133</f>
        <v>(Line 76 + 77)</v>
      </c>
      <c r="G124" s="152"/>
      <c r="H124" s="152"/>
      <c r="I124" s="152"/>
      <c r="J124" s="152"/>
      <c r="K124" s="152"/>
      <c r="L124" s="152"/>
      <c r="M124" s="152"/>
      <c r="N124" s="152"/>
      <c r="O124" s="152"/>
      <c r="P124" s="152"/>
      <c r="Q124" s="337"/>
    </row>
    <row r="125" spans="1:17" ht="15.75" hidden="1">
      <c r="A125" s="247"/>
      <c r="B125" s="218"/>
      <c r="C125" s="239"/>
      <c r="D125" s="203"/>
      <c r="E125" s="255"/>
      <c r="F125" s="253"/>
      <c r="G125" s="152"/>
      <c r="H125" s="152"/>
      <c r="I125" s="152"/>
      <c r="J125" s="152"/>
      <c r="K125" s="152"/>
      <c r="L125" s="152"/>
      <c r="M125" s="152"/>
      <c r="N125" s="152"/>
      <c r="O125" s="152"/>
      <c r="P125" s="152"/>
      <c r="Q125" s="337"/>
    </row>
    <row r="126" spans="1:17" ht="15.75" hidden="1">
      <c r="A126" s="247">
        <f>'ATT H-2A'!A135</f>
        <v>79</v>
      </c>
      <c r="B126" s="271"/>
      <c r="C126" s="220" t="str">
        <f>'ATT H-2A'!C135</f>
        <v>Property Insurance Account 924</v>
      </c>
      <c r="D126" s="203"/>
      <c r="E126" s="194"/>
      <c r="F126" s="274" t="str">
        <f>'ATT H-2A'!F135</f>
        <v>p323.156b</v>
      </c>
      <c r="G126" s="152"/>
      <c r="H126" s="152"/>
      <c r="I126" s="152"/>
      <c r="J126" s="152"/>
      <c r="K126" s="152"/>
      <c r="L126" s="152"/>
      <c r="M126" s="152"/>
      <c r="N126" s="152"/>
      <c r="O126" s="152"/>
      <c r="P126" s="152"/>
      <c r="Q126" s="337"/>
    </row>
    <row r="127" spans="1:17" ht="15.75">
      <c r="A127" s="247">
        <f>'ATT H-2A'!A136</f>
        <v>80</v>
      </c>
      <c r="B127" s="271"/>
      <c r="C127" s="220" t="str">
        <f>'ATT H-2A'!C136</f>
        <v>General Advertising Exp Account 930.1</v>
      </c>
      <c r="D127" s="203"/>
      <c r="E127" s="202" t="str">
        <f>'ATT H-2A'!E136</f>
        <v>(Note F)</v>
      </c>
      <c r="F127" s="274" t="str">
        <f>'ATT H-2A'!F136</f>
        <v>p323.191.b</v>
      </c>
      <c r="G127" s="152"/>
      <c r="H127" s="152"/>
      <c r="I127" s="152"/>
      <c r="J127" s="152"/>
      <c r="K127" s="152"/>
      <c r="L127" s="189" t="s">
        <v>416</v>
      </c>
      <c r="M127" s="152"/>
      <c r="N127" s="152"/>
      <c r="O127" s="152"/>
      <c r="P127" s="152"/>
      <c r="Q127" s="337"/>
    </row>
    <row r="128" spans="1:17" ht="15.75" hidden="1">
      <c r="A128" s="256">
        <f>'ATT H-2A'!A137</f>
        <v>81</v>
      </c>
      <c r="B128" s="271"/>
      <c r="C128" s="220" t="str">
        <f>'ATT H-2A'!C137</f>
        <v>Total</v>
      </c>
      <c r="D128" s="203"/>
      <c r="E128" s="194"/>
      <c r="F128" s="246" t="str">
        <f>'ATT H-2A'!F137</f>
        <v>(Line 79 + 80)</v>
      </c>
      <c r="G128" s="152"/>
      <c r="H128" s="152"/>
      <c r="I128" s="152"/>
      <c r="J128" s="152"/>
      <c r="K128" s="152"/>
      <c r="L128" s="152"/>
      <c r="M128" s="152"/>
      <c r="N128" s="152"/>
      <c r="O128" s="152"/>
      <c r="P128" s="152"/>
      <c r="Q128" s="337"/>
    </row>
    <row r="129" spans="1:17" ht="15.75" hidden="1">
      <c r="A129" s="247">
        <f>'ATT H-2A'!A138</f>
        <v>82</v>
      </c>
      <c r="B129" s="237"/>
      <c r="C129" s="220" t="str">
        <f>'ATT H-2A'!C138</f>
        <v>Net Plant Allocation Factor</v>
      </c>
      <c r="D129" s="217"/>
      <c r="E129" s="218"/>
      <c r="F129" s="246" t="str">
        <f>'ATT H-2A'!F138</f>
        <v>(Line 18)</v>
      </c>
      <c r="G129" s="152"/>
      <c r="H129" s="152"/>
      <c r="I129" s="152"/>
      <c r="J129" s="152"/>
      <c r="K129" s="152"/>
      <c r="L129" s="152"/>
      <c r="M129" s="152"/>
      <c r="N129" s="152"/>
      <c r="O129" s="152"/>
      <c r="P129" s="152"/>
      <c r="Q129" s="337"/>
    </row>
    <row r="130" spans="1:17" ht="15.75" hidden="1">
      <c r="A130" s="256">
        <f>'ATT H-2A'!A139</f>
        <v>83</v>
      </c>
      <c r="B130" s="237"/>
      <c r="C130" s="239" t="str">
        <f>'ATT H-2A'!C139</f>
        <v>A&amp;G Directly Assigned to Transmission</v>
      </c>
      <c r="D130" s="203"/>
      <c r="E130" s="211"/>
      <c r="F130" s="246" t="str">
        <f>'ATT H-2A'!F139</f>
        <v>(Line 81 * 82)</v>
      </c>
      <c r="G130" s="152"/>
      <c r="H130" s="152"/>
      <c r="I130" s="152"/>
      <c r="J130" s="152"/>
      <c r="K130" s="152"/>
      <c r="L130" s="152"/>
      <c r="M130" s="152"/>
      <c r="N130" s="152"/>
      <c r="O130" s="152"/>
      <c r="P130" s="152"/>
      <c r="Q130" s="337"/>
    </row>
    <row r="131" spans="1:17" ht="15.75" hidden="1">
      <c r="A131" s="247"/>
      <c r="B131" s="218"/>
      <c r="C131" s="239"/>
      <c r="D131" s="203"/>
      <c r="E131" s="255"/>
      <c r="F131" s="253"/>
      <c r="G131" s="152"/>
      <c r="H131" s="152"/>
      <c r="I131" s="152"/>
      <c r="J131" s="152"/>
      <c r="K131" s="152"/>
      <c r="L131" s="152"/>
      <c r="M131" s="152"/>
      <c r="N131" s="152"/>
      <c r="O131" s="152"/>
      <c r="P131" s="152"/>
      <c r="Q131" s="337"/>
    </row>
    <row r="132" spans="1:17" ht="15.75" hidden="1">
      <c r="A132" s="247">
        <f>'ATT H-2A'!A141</f>
        <v>84</v>
      </c>
      <c r="B132" s="218"/>
      <c r="C132" s="239" t="str">
        <f>'ATT H-2A'!C141</f>
        <v>Total Transmission O&amp;M</v>
      </c>
      <c r="D132" s="203"/>
      <c r="E132" s="211"/>
      <c r="F132" s="291" t="str">
        <f>'ATT H-2A'!F141</f>
        <v>(Line 66 + 75 + 78 + 83)</v>
      </c>
      <c r="G132" s="152"/>
      <c r="H132" s="152"/>
      <c r="I132" s="152"/>
      <c r="J132" s="152"/>
      <c r="K132" s="152"/>
      <c r="L132" s="152"/>
      <c r="M132" s="152"/>
      <c r="N132" s="152"/>
      <c r="O132" s="152"/>
      <c r="P132" s="152"/>
      <c r="Q132" s="337"/>
    </row>
    <row r="133" spans="1:17" ht="15.75" hidden="1">
      <c r="A133" s="247"/>
      <c r="B133" s="218"/>
      <c r="C133" s="239"/>
      <c r="D133" s="203"/>
      <c r="E133" s="255"/>
      <c r="F133" s="253"/>
      <c r="G133" s="152"/>
      <c r="H133" s="152"/>
      <c r="I133" s="152"/>
      <c r="J133" s="152"/>
      <c r="K133" s="152"/>
      <c r="L133" s="152"/>
      <c r="M133" s="152"/>
      <c r="N133" s="152"/>
      <c r="O133" s="152"/>
      <c r="P133" s="152"/>
      <c r="Q133" s="337"/>
    </row>
    <row r="134" spans="1:17" ht="15.75" hidden="1">
      <c r="A134" s="259" t="str">
        <f>'ATT H-2A'!A143</f>
        <v>Depreciation &amp; Amortization Expense</v>
      </c>
      <c r="B134" s="204"/>
      <c r="C134" s="280"/>
      <c r="D134" s="205"/>
      <c r="E134" s="206"/>
      <c r="F134" s="260"/>
      <c r="G134" s="152"/>
      <c r="H134" s="152"/>
      <c r="I134" s="152"/>
      <c r="J134" s="152"/>
      <c r="K134" s="152"/>
      <c r="L134" s="152"/>
      <c r="M134" s="152"/>
      <c r="N134" s="152"/>
      <c r="O134" s="152"/>
      <c r="P134" s="152"/>
      <c r="Q134" s="337"/>
    </row>
    <row r="135" spans="1:17" ht="15.75" hidden="1">
      <c r="A135" s="247"/>
      <c r="B135" s="218"/>
      <c r="C135" s="239"/>
      <c r="D135" s="203"/>
      <c r="E135" s="255"/>
      <c r="F135" s="253"/>
      <c r="G135" s="152"/>
      <c r="H135" s="152"/>
      <c r="I135" s="152"/>
      <c r="J135" s="152"/>
      <c r="K135" s="152"/>
      <c r="L135" s="152"/>
      <c r="M135" s="152"/>
      <c r="N135" s="152"/>
      <c r="O135" s="152"/>
      <c r="P135" s="152"/>
      <c r="Q135" s="337"/>
    </row>
    <row r="136" spans="1:17" ht="15.75">
      <c r="A136" s="249"/>
      <c r="B136" s="233" t="str">
        <f>'ATT H-2A'!B145</f>
        <v>Depreciation Expense</v>
      </c>
      <c r="C136" s="229"/>
      <c r="D136" s="124"/>
      <c r="E136" s="194"/>
      <c r="F136" s="283"/>
      <c r="G136" s="152"/>
      <c r="H136" s="152"/>
      <c r="I136" s="152"/>
      <c r="J136" s="152"/>
      <c r="K136" s="152"/>
      <c r="L136" s="152"/>
      <c r="M136" s="152"/>
      <c r="N136" s="152"/>
      <c r="O136" s="152"/>
      <c r="P136" s="152"/>
      <c r="Q136" s="337"/>
    </row>
    <row r="137" spans="1:17" ht="15.75" hidden="1">
      <c r="A137" s="247">
        <f>'ATT H-2A'!A146</f>
        <v>85</v>
      </c>
      <c r="B137" s="284"/>
      <c r="C137" s="221" t="str">
        <f>'ATT H-2A'!C146</f>
        <v>Transmission Depreciation Expense</v>
      </c>
      <c r="D137" s="124"/>
      <c r="E137" s="218"/>
      <c r="F137" s="270" t="str">
        <f>'ATT H-2A'!F146</f>
        <v>Attachment 5</v>
      </c>
      <c r="G137" s="152"/>
      <c r="H137" s="152"/>
      <c r="I137" s="152"/>
      <c r="J137" s="152"/>
      <c r="K137" s="152"/>
      <c r="L137" s="152"/>
      <c r="M137" s="152"/>
      <c r="N137" s="152"/>
      <c r="O137" s="152"/>
      <c r="P137" s="152"/>
      <c r="Q137" s="337"/>
    </row>
    <row r="138" spans="1:17" ht="15.75" hidden="1">
      <c r="A138" s="247"/>
      <c r="B138" s="218"/>
      <c r="C138" s="239"/>
      <c r="D138" s="203"/>
      <c r="E138" s="255"/>
      <c r="F138" s="253"/>
      <c r="G138" s="152"/>
      <c r="H138" s="152"/>
      <c r="I138" s="152"/>
      <c r="J138" s="152"/>
      <c r="K138" s="152"/>
      <c r="L138" s="152"/>
      <c r="M138" s="152"/>
      <c r="N138" s="152"/>
      <c r="O138" s="152"/>
      <c r="P138" s="152"/>
      <c r="Q138" s="337"/>
    </row>
    <row r="139" spans="1:17" ht="15.75" hidden="1">
      <c r="A139" s="247">
        <f>'ATT H-2A'!A148</f>
        <v>86</v>
      </c>
      <c r="B139" s="284"/>
      <c r="C139" s="221" t="str">
        <f>'ATT H-2A'!C148</f>
        <v>General Depreciation</v>
      </c>
      <c r="D139" s="124"/>
      <c r="E139" s="218"/>
      <c r="F139" s="270" t="str">
        <f>'ATT H-2A'!F148</f>
        <v>Attachment 5</v>
      </c>
      <c r="G139" s="152"/>
      <c r="H139" s="152"/>
      <c r="I139" s="152"/>
      <c r="J139" s="152"/>
      <c r="K139" s="152"/>
      <c r="L139" s="152"/>
      <c r="M139" s="152"/>
      <c r="N139" s="152"/>
      <c r="O139" s="152"/>
      <c r="P139" s="152"/>
      <c r="Q139" s="337"/>
    </row>
    <row r="140" spans="1:17" ht="15.75">
      <c r="A140" s="247">
        <f>'ATT H-2A'!A149</f>
        <v>87</v>
      </c>
      <c r="B140" s="284"/>
      <c r="C140" s="221" t="str">
        <f>'ATT H-2A'!C149</f>
        <v>Intangible Amortization</v>
      </c>
      <c r="D140" s="124"/>
      <c r="E140" s="300" t="str">
        <f>'ATT H-2A'!E149</f>
        <v>(Note A)</v>
      </c>
      <c r="F140" s="274" t="str">
        <f>'ATT H-2A'!F149</f>
        <v>Attachment 5</v>
      </c>
      <c r="G140" s="189" t="s">
        <v>416</v>
      </c>
      <c r="H140" s="152"/>
      <c r="J140" s="152"/>
      <c r="K140" s="152"/>
      <c r="L140" s="152"/>
      <c r="M140" s="152"/>
      <c r="N140" s="152"/>
      <c r="O140" s="152"/>
      <c r="P140" s="152"/>
      <c r="Q140" s="337"/>
    </row>
    <row r="141" spans="1:17" ht="15.75" hidden="1">
      <c r="A141" s="247">
        <f>'ATT H-2A'!A150</f>
        <v>88</v>
      </c>
      <c r="B141" s="284"/>
      <c r="C141" s="221" t="str">
        <f>'ATT H-2A'!C150</f>
        <v>Total</v>
      </c>
      <c r="D141" s="124"/>
      <c r="E141" s="218"/>
      <c r="F141" s="246" t="str">
        <f>'ATT H-2A'!F150</f>
        <v>(Line 86 + 87)</v>
      </c>
      <c r="G141" s="152"/>
      <c r="H141" s="152"/>
      <c r="J141" s="152"/>
      <c r="K141" s="152"/>
      <c r="L141" s="152"/>
      <c r="M141" s="152"/>
      <c r="N141" s="152"/>
      <c r="O141" s="152"/>
      <c r="P141" s="152"/>
      <c r="Q141" s="337"/>
    </row>
    <row r="142" spans="1:17" ht="15.75" hidden="1">
      <c r="A142" s="247">
        <f>'ATT H-2A'!A151</f>
        <v>89</v>
      </c>
      <c r="B142" s="284"/>
      <c r="C142" s="220" t="str">
        <f>'ATT H-2A'!C151</f>
        <v>Wage &amp; Salary Allocation Factor</v>
      </c>
      <c r="D142" s="217"/>
      <c r="E142" s="194"/>
      <c r="F142" s="281" t="str">
        <f>'ATT H-2A'!F151</f>
        <v>Line 5</v>
      </c>
      <c r="G142" s="152"/>
      <c r="H142" s="152"/>
      <c r="J142" s="152"/>
      <c r="K142" s="152"/>
      <c r="L142" s="152"/>
      <c r="M142" s="152"/>
      <c r="N142" s="152"/>
      <c r="O142" s="152"/>
      <c r="P142" s="152"/>
      <c r="Q142" s="337"/>
    </row>
    <row r="143" spans="1:17" ht="15.75" hidden="1">
      <c r="A143" s="247">
        <f>'ATT H-2A'!A152</f>
        <v>90</v>
      </c>
      <c r="B143" s="284"/>
      <c r="C143" s="233" t="str">
        <f>'ATT H-2A'!C152</f>
        <v>General Depreciation Allocated to Transmission</v>
      </c>
      <c r="D143" s="124"/>
      <c r="E143" s="218"/>
      <c r="F143" s="246" t="str">
        <f>'ATT H-2A'!F152</f>
        <v>(Line 88 * 89)</v>
      </c>
      <c r="G143" s="152"/>
      <c r="H143" s="152"/>
      <c r="J143" s="152"/>
      <c r="K143" s="152"/>
      <c r="L143" s="152"/>
      <c r="M143" s="152"/>
      <c r="N143" s="152"/>
      <c r="O143" s="152"/>
      <c r="P143" s="152"/>
      <c r="Q143" s="337"/>
    </row>
    <row r="144" spans="1:17" ht="15.75" hidden="1">
      <c r="A144" s="247"/>
      <c r="B144" s="218"/>
      <c r="C144" s="239"/>
      <c r="D144" s="203"/>
      <c r="E144" s="255"/>
      <c r="F144" s="253"/>
      <c r="G144" s="152"/>
      <c r="H144" s="152"/>
      <c r="J144" s="152"/>
      <c r="K144" s="152"/>
      <c r="L144" s="152"/>
      <c r="M144" s="152"/>
      <c r="N144" s="152"/>
      <c r="O144" s="152"/>
      <c r="P144" s="152"/>
      <c r="Q144" s="337"/>
    </row>
    <row r="145" spans="1:17" ht="15.75">
      <c r="A145" s="247">
        <f>'ATT H-2A'!A154</f>
        <v>91</v>
      </c>
      <c r="B145" s="271"/>
      <c r="C145" s="220" t="str">
        <f>'ATT H-2A'!C154</f>
        <v>Common Depreciation - Electric Only</v>
      </c>
      <c r="D145" s="203"/>
      <c r="E145" s="285" t="str">
        <f>'ATT H-2A'!E154</f>
        <v>(Note A)</v>
      </c>
      <c r="F145" s="274" t="str">
        <f>'ATT H-2A'!F154</f>
        <v>Attachment 5</v>
      </c>
      <c r="G145" s="189" t="s">
        <v>416</v>
      </c>
      <c r="H145" s="152"/>
      <c r="J145" s="152"/>
      <c r="K145" s="152"/>
      <c r="L145" s="152"/>
      <c r="M145" s="152"/>
      <c r="N145" s="152"/>
      <c r="O145" s="152"/>
      <c r="P145" s="152"/>
      <c r="Q145" s="337"/>
    </row>
    <row r="146" spans="1:17" ht="15.75">
      <c r="A146" s="256">
        <f>'ATT H-2A'!A155</f>
        <v>92</v>
      </c>
      <c r="B146" s="271"/>
      <c r="C146" s="220" t="str">
        <f>'ATT H-2A'!C155</f>
        <v>Common Amortization - Electric Only</v>
      </c>
      <c r="D146" s="203"/>
      <c r="E146" s="285" t="str">
        <f>'ATT H-2A'!E155</f>
        <v>(Note A)</v>
      </c>
      <c r="F146" s="274" t="str">
        <f>'ATT H-2A'!F155</f>
        <v>p356 or p336.11d</v>
      </c>
      <c r="G146" s="189" t="s">
        <v>416</v>
      </c>
      <c r="H146" s="152"/>
      <c r="J146" s="152"/>
      <c r="K146" s="152"/>
      <c r="L146" s="152"/>
      <c r="M146" s="152"/>
      <c r="N146" s="152"/>
      <c r="O146" s="152"/>
      <c r="P146" s="152"/>
      <c r="Q146" s="337"/>
    </row>
    <row r="147" spans="1:17" ht="15.75" hidden="1">
      <c r="A147" s="256">
        <f>'ATT H-2A'!A156</f>
        <v>93</v>
      </c>
      <c r="B147" s="271"/>
      <c r="C147" s="220" t="str">
        <f>'ATT H-2A'!C156</f>
        <v>Total</v>
      </c>
      <c r="D147" s="203"/>
      <c r="E147" s="237"/>
      <c r="F147" s="246" t="str">
        <f>'ATT H-2A'!F156</f>
        <v>(Line 91 + 92)</v>
      </c>
      <c r="G147" s="152"/>
      <c r="H147" s="152"/>
      <c r="I147" s="152"/>
      <c r="J147" s="152"/>
      <c r="K147" s="152"/>
      <c r="L147" s="152"/>
      <c r="M147" s="152"/>
      <c r="N147" s="152"/>
      <c r="O147" s="152"/>
      <c r="P147" s="152"/>
      <c r="Q147" s="337"/>
    </row>
    <row r="148" spans="1:17" ht="15.75" hidden="1">
      <c r="A148" s="247">
        <f>'ATT H-2A'!A157</f>
        <v>94</v>
      </c>
      <c r="B148" s="271"/>
      <c r="C148" s="220" t="str">
        <f>'ATT H-2A'!C157</f>
        <v>Wage &amp; Salary Allocation Factor</v>
      </c>
      <c r="D148" s="217"/>
      <c r="E148" s="194"/>
      <c r="F148" s="281" t="str">
        <f>'ATT H-2A'!F157</f>
        <v>(Line 5)</v>
      </c>
      <c r="G148" s="152"/>
      <c r="H148" s="152"/>
      <c r="I148" s="152"/>
      <c r="J148" s="152"/>
      <c r="K148" s="152"/>
      <c r="L148" s="152"/>
      <c r="M148" s="152"/>
      <c r="N148" s="152"/>
      <c r="O148" s="152"/>
      <c r="P148" s="152"/>
      <c r="Q148" s="337"/>
    </row>
    <row r="149" spans="1:17" ht="15.75" hidden="1">
      <c r="A149" s="247">
        <f>'ATT H-2A'!A158</f>
        <v>95</v>
      </c>
      <c r="B149" s="271"/>
      <c r="C149" s="233" t="str">
        <f>'ATT H-2A'!C158</f>
        <v>Common Depreciation - Electric Only Allocated to Transmission</v>
      </c>
      <c r="D149" s="203"/>
      <c r="E149" s="237"/>
      <c r="F149" s="246" t="str">
        <f>'ATT H-2A'!F158</f>
        <v>(Line 93 * 94)</v>
      </c>
      <c r="G149" s="152"/>
      <c r="H149" s="152"/>
      <c r="I149" s="152"/>
      <c r="J149" s="152"/>
      <c r="K149" s="152"/>
      <c r="L149" s="152"/>
      <c r="M149" s="152"/>
      <c r="N149" s="152"/>
      <c r="O149" s="152"/>
      <c r="P149" s="152"/>
      <c r="Q149" s="337"/>
    </row>
    <row r="150" spans="1:17" ht="15.75" hidden="1">
      <c r="A150" s="247"/>
      <c r="B150" s="218"/>
      <c r="C150" s="239"/>
      <c r="D150" s="203"/>
      <c r="E150" s="255"/>
      <c r="F150" s="253"/>
      <c r="G150" s="152"/>
      <c r="H150" s="152"/>
      <c r="I150" s="152"/>
      <c r="J150" s="152"/>
      <c r="K150" s="152"/>
      <c r="L150" s="152"/>
      <c r="M150" s="152"/>
      <c r="N150" s="152"/>
      <c r="O150" s="152"/>
      <c r="P150" s="152"/>
      <c r="Q150" s="337"/>
    </row>
    <row r="151" spans="1:17" ht="15.75" hidden="1">
      <c r="A151" s="247"/>
      <c r="B151" s="218"/>
      <c r="C151" s="239"/>
      <c r="D151" s="203"/>
      <c r="E151" s="255"/>
      <c r="F151" s="253"/>
      <c r="G151" s="152"/>
      <c r="H151" s="152"/>
      <c r="I151" s="152"/>
      <c r="J151" s="152"/>
      <c r="K151" s="152"/>
      <c r="L151" s="152"/>
      <c r="M151" s="152"/>
      <c r="N151" s="152"/>
      <c r="O151" s="152"/>
      <c r="P151" s="152"/>
      <c r="Q151" s="337"/>
    </row>
    <row r="152" spans="1:17" ht="15.75" hidden="1">
      <c r="A152" s="247">
        <f>'ATT H-2A'!A161</f>
        <v>96</v>
      </c>
      <c r="B152" s="233" t="str">
        <f>'ATT H-2A'!B161</f>
        <v>Total Transmission Depreciation &amp; Amortization</v>
      </c>
      <c r="C152" s="233"/>
      <c r="D152" s="226"/>
      <c r="E152" s="299"/>
      <c r="F152" s="291" t="str">
        <f>'ATT H-2A'!F161</f>
        <v>(Line 85 + 90 + 95)</v>
      </c>
      <c r="G152" s="152"/>
      <c r="H152" s="152"/>
      <c r="I152" s="152"/>
      <c r="J152" s="152"/>
      <c r="K152" s="152"/>
      <c r="L152" s="152"/>
      <c r="M152" s="152"/>
      <c r="N152" s="152"/>
      <c r="O152" s="152"/>
      <c r="P152" s="152"/>
      <c r="Q152" s="337"/>
    </row>
    <row r="153" spans="1:17" ht="15.75" hidden="1">
      <c r="A153" s="247"/>
      <c r="B153" s="218"/>
      <c r="C153" s="239"/>
      <c r="D153" s="203"/>
      <c r="E153" s="255"/>
      <c r="F153" s="253"/>
      <c r="G153" s="152"/>
      <c r="H153" s="152"/>
      <c r="I153" s="152"/>
      <c r="J153" s="152"/>
      <c r="K153" s="152"/>
      <c r="L153" s="152"/>
      <c r="M153" s="152"/>
      <c r="N153" s="152"/>
      <c r="O153" s="152"/>
      <c r="P153" s="152"/>
      <c r="Q153" s="337"/>
    </row>
    <row r="154" spans="1:17" ht="15.75" hidden="1">
      <c r="A154" s="259" t="str">
        <f>'ATT H-2A'!A163</f>
        <v xml:space="preserve">Taxes Other than Income                                                    </v>
      </c>
      <c r="B154" s="204"/>
      <c r="C154" s="280"/>
      <c r="D154" s="205"/>
      <c r="E154" s="206"/>
      <c r="F154" s="260"/>
      <c r="G154" s="152"/>
      <c r="H154" s="152"/>
      <c r="I154" s="152"/>
      <c r="J154" s="152"/>
      <c r="K154" s="152"/>
      <c r="L154" s="152"/>
      <c r="M154" s="152"/>
      <c r="N154" s="152"/>
      <c r="O154" s="152"/>
      <c r="P154" s="152"/>
      <c r="Q154" s="337"/>
    </row>
    <row r="155" spans="1:17" ht="15.75" hidden="1">
      <c r="A155" s="247"/>
      <c r="B155" s="218"/>
      <c r="C155" s="239"/>
      <c r="D155" s="203"/>
      <c r="E155" s="255"/>
      <c r="F155" s="253"/>
      <c r="G155" s="152"/>
      <c r="H155" s="152"/>
      <c r="I155" s="152"/>
      <c r="J155" s="152"/>
      <c r="K155" s="152"/>
      <c r="L155" s="152"/>
      <c r="M155" s="152"/>
      <c r="N155" s="152"/>
      <c r="O155" s="152"/>
      <c r="P155" s="152"/>
      <c r="Q155" s="337"/>
    </row>
    <row r="156" spans="1:17" ht="15.75" hidden="1">
      <c r="A156" s="256">
        <f>'ATT H-2A'!A165</f>
        <v>97</v>
      </c>
      <c r="B156" s="212" t="str">
        <f>'ATT H-2A'!B165</f>
        <v>Taxes Other than Income</v>
      </c>
      <c r="C156" s="269"/>
      <c r="D156" s="124"/>
      <c r="E156" s="194"/>
      <c r="F156" s="251" t="str">
        <f>'ATT H-2A'!F165</f>
        <v>Exhibit B</v>
      </c>
      <c r="G156" s="152"/>
      <c r="H156" s="152"/>
      <c r="I156" s="152"/>
      <c r="J156" s="152"/>
      <c r="K156" s="152"/>
      <c r="L156" s="152"/>
      <c r="M156" s="152"/>
      <c r="N156" s="152"/>
      <c r="O156" s="152"/>
      <c r="P156" s="152"/>
      <c r="Q156" s="337"/>
    </row>
    <row r="157" spans="1:17" ht="15.75" hidden="1">
      <c r="A157" s="247"/>
      <c r="B157" s="218"/>
      <c r="C157" s="239"/>
      <c r="D157" s="203"/>
      <c r="E157" s="255"/>
      <c r="F157" s="253"/>
      <c r="G157" s="152"/>
      <c r="H157" s="152"/>
      <c r="I157" s="152"/>
      <c r="J157" s="152"/>
      <c r="K157" s="152"/>
      <c r="L157" s="152"/>
      <c r="M157" s="152"/>
      <c r="N157" s="152"/>
      <c r="O157" s="152"/>
      <c r="P157" s="152"/>
      <c r="Q157" s="337"/>
    </row>
    <row r="158" spans="1:17" ht="15.75" hidden="1">
      <c r="A158" s="256">
        <f>'ATT H-2A'!A167</f>
        <v>98</v>
      </c>
      <c r="B158" s="239" t="str">
        <f>'ATT H-2A'!B167</f>
        <v>Total Taxes Other than Income</v>
      </c>
      <c r="C158" s="239"/>
      <c r="D158" s="226"/>
      <c r="E158" s="227"/>
      <c r="F158" s="291" t="str">
        <f>'ATT H-2A'!F167</f>
        <v>(Line 97)</v>
      </c>
      <c r="G158" s="152"/>
      <c r="H158" s="152"/>
      <c r="I158" s="152"/>
      <c r="J158" s="152"/>
      <c r="K158" s="152"/>
      <c r="L158" s="152"/>
      <c r="M158" s="152"/>
      <c r="N158" s="152"/>
      <c r="O158" s="152"/>
      <c r="P158" s="152"/>
      <c r="Q158" s="337"/>
    </row>
    <row r="159" spans="1:17" ht="15.75" hidden="1">
      <c r="A159" s="247"/>
      <c r="B159" s="218"/>
      <c r="C159" s="239"/>
      <c r="D159" s="203"/>
      <c r="E159" s="255"/>
      <c r="F159" s="253"/>
      <c r="G159" s="152"/>
      <c r="H159" s="152"/>
      <c r="I159" s="152"/>
      <c r="J159" s="152"/>
      <c r="K159" s="152"/>
      <c r="L159" s="152"/>
      <c r="M159" s="152"/>
      <c r="N159" s="152"/>
      <c r="O159" s="152"/>
      <c r="P159" s="152"/>
      <c r="Q159" s="337"/>
    </row>
    <row r="160" spans="1:17" ht="15.75" hidden="1">
      <c r="A160" s="259" t="str">
        <f>'ATT H-2A'!A169</f>
        <v>Return / Capitalization Calculations</v>
      </c>
      <c r="B160" s="204"/>
      <c r="C160" s="280"/>
      <c r="D160" s="205"/>
      <c r="E160" s="206"/>
      <c r="F160" s="260"/>
      <c r="G160" s="152"/>
      <c r="H160" s="152"/>
      <c r="I160" s="152"/>
      <c r="J160" s="152"/>
      <c r="K160" s="152"/>
      <c r="L160" s="152"/>
      <c r="M160" s="152"/>
      <c r="N160" s="152"/>
      <c r="O160" s="152"/>
      <c r="P160" s="152"/>
      <c r="Q160" s="337"/>
    </row>
    <row r="161" spans="1:17" ht="15.75" hidden="1">
      <c r="A161" s="247"/>
      <c r="B161" s="218"/>
      <c r="C161" s="239"/>
      <c r="D161" s="203"/>
      <c r="E161" s="255"/>
      <c r="F161" s="253"/>
      <c r="G161" s="152"/>
      <c r="H161" s="152"/>
      <c r="I161" s="152"/>
      <c r="J161" s="152"/>
      <c r="K161" s="152"/>
      <c r="L161" s="152"/>
      <c r="M161" s="152"/>
      <c r="N161" s="152"/>
      <c r="O161" s="152"/>
      <c r="P161" s="152"/>
      <c r="Q161" s="337"/>
    </row>
    <row r="162" spans="1:17" ht="15.75" hidden="1">
      <c r="A162" s="256"/>
      <c r="B162" s="222" t="str">
        <f>'ATT H-2A'!B171</f>
        <v>Long Term Interest</v>
      </c>
      <c r="C162" s="124"/>
      <c r="D162" s="124"/>
      <c r="E162" s="211"/>
      <c r="F162" s="250"/>
      <c r="G162" s="152"/>
      <c r="H162" s="152"/>
      <c r="I162" s="152"/>
      <c r="J162" s="152"/>
      <c r="K162" s="152"/>
      <c r="L162" s="152"/>
      <c r="M162" s="152"/>
      <c r="N162" s="152"/>
      <c r="O162" s="152"/>
      <c r="P162" s="152"/>
      <c r="Q162" s="337"/>
    </row>
    <row r="163" spans="1:17" ht="15.75" hidden="1">
      <c r="A163" s="256">
        <f>'ATT H-2A'!A172</f>
        <v>99</v>
      </c>
      <c r="B163" s="222"/>
      <c r="C163" s="124" t="str">
        <f>'ATT H-2A'!C172</f>
        <v>Long Term Interest</v>
      </c>
      <c r="D163" s="124"/>
      <c r="E163" s="211"/>
      <c r="F163" s="246" t="str">
        <f>'ATT H-2A'!F172</f>
        <v>p117.62c through 67c</v>
      </c>
      <c r="G163" s="152"/>
      <c r="H163" s="152"/>
      <c r="I163" s="152"/>
      <c r="J163" s="152"/>
      <c r="K163" s="152"/>
      <c r="L163" s="152"/>
      <c r="M163" s="152"/>
      <c r="N163" s="152"/>
      <c r="O163" s="152"/>
      <c r="P163" s="152"/>
      <c r="Q163" s="337"/>
    </row>
    <row r="164" spans="1:17" ht="15.75" hidden="1">
      <c r="A164" s="247">
        <f>'ATT H-2A'!A173</f>
        <v>100</v>
      </c>
      <c r="B164" s="218"/>
      <c r="C164" s="301" t="str">
        <f>'ATT H-2A'!C173</f>
        <v xml:space="preserve">    Less LTD Interest on Securitization Bonds</v>
      </c>
      <c r="D164" s="124"/>
      <c r="E164" s="211"/>
      <c r="F164" s="257" t="str">
        <f>'ATT H-2A'!F173</f>
        <v>Attachment 8</v>
      </c>
      <c r="G164" s="152"/>
      <c r="H164" s="152"/>
      <c r="I164" s="152"/>
      <c r="J164" s="152"/>
      <c r="K164" s="152"/>
      <c r="L164" s="152"/>
      <c r="M164" s="152"/>
      <c r="N164" s="152"/>
      <c r="O164" s="152"/>
      <c r="P164" s="152"/>
      <c r="Q164" s="337"/>
    </row>
    <row r="165" spans="1:17" ht="15.75" hidden="1">
      <c r="A165" s="247">
        <f>'ATT H-2A'!A174</f>
        <v>101</v>
      </c>
      <c r="B165" s="218"/>
      <c r="C165" s="222" t="str">
        <f>'ATT H-2A'!C174</f>
        <v>Long Term Interest</v>
      </c>
      <c r="D165" s="124"/>
      <c r="E165" s="194"/>
      <c r="F165" s="246" t="str">
        <f>'ATT H-2A'!F174</f>
        <v>(Line 99)</v>
      </c>
      <c r="G165" s="152"/>
      <c r="H165" s="152"/>
      <c r="I165" s="152"/>
      <c r="J165" s="152"/>
      <c r="K165" s="152"/>
      <c r="L165" s="152"/>
      <c r="M165" s="152"/>
      <c r="N165" s="152"/>
      <c r="O165" s="152"/>
      <c r="P165" s="152"/>
      <c r="Q165" s="337"/>
    </row>
    <row r="166" spans="1:17" ht="15.75" hidden="1">
      <c r="A166" s="247"/>
      <c r="B166" s="218"/>
      <c r="C166" s="239"/>
      <c r="D166" s="203"/>
      <c r="E166" s="255"/>
      <c r="F166" s="253"/>
      <c r="G166" s="152"/>
      <c r="H166" s="152"/>
      <c r="I166" s="152"/>
      <c r="J166" s="152"/>
      <c r="K166" s="152"/>
      <c r="L166" s="152"/>
      <c r="M166" s="152"/>
      <c r="N166" s="152"/>
      <c r="O166" s="152"/>
      <c r="P166" s="152"/>
      <c r="Q166" s="337"/>
    </row>
    <row r="167" spans="1:17" ht="15.75" hidden="1">
      <c r="A167" s="247">
        <f>'ATT H-2A'!A176</f>
        <v>102</v>
      </c>
      <c r="B167" s="222" t="str">
        <f>'ATT H-2A'!B176</f>
        <v>Preferred Dividends</v>
      </c>
      <c r="C167" s="124"/>
      <c r="D167" s="124"/>
      <c r="E167" s="211" t="str">
        <f>'ATT H-2A'!E176</f>
        <v xml:space="preserve"> enter positive</v>
      </c>
      <c r="F167" s="246" t="str">
        <f>'ATT H-2A'!F176</f>
        <v>p118.29c</v>
      </c>
      <c r="G167" s="152"/>
      <c r="H167" s="152"/>
      <c r="I167" s="152"/>
      <c r="J167" s="152"/>
      <c r="K167" s="152"/>
      <c r="L167" s="152"/>
      <c r="M167" s="152"/>
      <c r="N167" s="152"/>
      <c r="O167" s="152"/>
      <c r="P167" s="152"/>
      <c r="Q167" s="337"/>
    </row>
    <row r="168" spans="1:17" ht="15.75" hidden="1">
      <c r="A168" s="247"/>
      <c r="B168" s="218"/>
      <c r="C168" s="239"/>
      <c r="D168" s="203"/>
      <c r="E168" s="255"/>
      <c r="F168" s="253"/>
      <c r="G168" s="152"/>
      <c r="H168" s="152"/>
      <c r="I168" s="152"/>
      <c r="J168" s="152"/>
      <c r="K168" s="152"/>
      <c r="L168" s="152"/>
      <c r="M168" s="152"/>
      <c r="N168" s="152"/>
      <c r="O168" s="152"/>
      <c r="P168" s="152"/>
      <c r="Q168" s="337"/>
    </row>
    <row r="169" spans="1:17" ht="15.75" hidden="1">
      <c r="A169" s="247"/>
      <c r="B169" s="225" t="str">
        <f>'ATT H-2A'!B178</f>
        <v>Common Stock</v>
      </c>
      <c r="C169" s="124"/>
      <c r="D169" s="124"/>
      <c r="E169" s="211"/>
      <c r="F169" s="246"/>
      <c r="G169" s="152"/>
      <c r="H169" s="152"/>
      <c r="I169" s="152"/>
      <c r="J169" s="152"/>
      <c r="K169" s="152"/>
      <c r="L169" s="152"/>
      <c r="M169" s="152"/>
      <c r="N169" s="152"/>
      <c r="O169" s="152"/>
      <c r="P169" s="152"/>
      <c r="Q169" s="337"/>
    </row>
    <row r="170" spans="1:17" ht="15.75" hidden="1">
      <c r="A170" s="247">
        <f>'ATT H-2A'!A179</f>
        <v>103</v>
      </c>
      <c r="B170" s="218"/>
      <c r="C170" s="209" t="str">
        <f>'ATT H-2A'!C179</f>
        <v>Proprietary Capital</v>
      </c>
      <c r="D170" s="209"/>
      <c r="E170" s="211"/>
      <c r="F170" s="246" t="str">
        <f>'ATT H-2A'!F179</f>
        <v>p112.16c</v>
      </c>
      <c r="G170" s="152"/>
      <c r="H170" s="152"/>
      <c r="I170" s="152"/>
      <c r="J170" s="152"/>
      <c r="K170" s="152"/>
      <c r="L170" s="152"/>
      <c r="M170" s="152"/>
      <c r="N170" s="152"/>
      <c r="O170" s="152"/>
      <c r="P170" s="152"/>
      <c r="Q170" s="337"/>
    </row>
    <row r="171" spans="1:17" ht="15.75" hidden="1">
      <c r="A171" s="256">
        <f>'ATT H-2A'!A180</f>
        <v>104</v>
      </c>
      <c r="B171" s="237"/>
      <c r="C171" s="213" t="str">
        <f>'ATT H-2A'!C180</f>
        <v xml:space="preserve">    Less Preferred Stock</v>
      </c>
      <c r="D171" s="213"/>
      <c r="E171" s="255" t="str">
        <f>'ATT H-2A'!E180</f>
        <v>enter negative</v>
      </c>
      <c r="F171" s="253" t="str">
        <f>'ATT H-2A'!F180</f>
        <v>(Line 192)</v>
      </c>
      <c r="G171" s="152"/>
      <c r="H171" s="152"/>
      <c r="I171" s="152"/>
      <c r="J171" s="152"/>
      <c r="K171" s="152"/>
      <c r="L171" s="152"/>
      <c r="M171" s="152"/>
      <c r="N171" s="152"/>
      <c r="O171" s="152"/>
      <c r="P171" s="152"/>
      <c r="Q171" s="337"/>
    </row>
    <row r="172" spans="1:17" ht="15.75" hidden="1">
      <c r="A172" s="247">
        <f>'ATT H-2A'!A181</f>
        <v>105</v>
      </c>
      <c r="B172" s="237"/>
      <c r="C172" s="213" t="str">
        <f>'ATT H-2A'!C181</f>
        <v xml:space="preserve">    Plus Securitization Adjustment</v>
      </c>
      <c r="D172" s="255"/>
      <c r="E172" s="211"/>
      <c r="F172" s="257" t="str">
        <f>'ATT H-2A'!F181</f>
        <v>Attachment 8</v>
      </c>
      <c r="G172" s="152"/>
      <c r="H172" s="152"/>
      <c r="I172" s="152"/>
      <c r="J172" s="152"/>
      <c r="K172" s="152"/>
      <c r="L172" s="152"/>
      <c r="M172" s="152"/>
      <c r="N172" s="152"/>
      <c r="O172" s="152"/>
      <c r="P172" s="152"/>
      <c r="Q172" s="337"/>
    </row>
    <row r="173" spans="1:17" ht="15.75" hidden="1">
      <c r="A173" s="247">
        <f>'ATT H-2A'!A182</f>
        <v>105</v>
      </c>
      <c r="B173" s="237"/>
      <c r="C173" s="213" t="str">
        <f>'ATT H-2A'!C182</f>
        <v xml:space="preserve">    Less Account 216.1</v>
      </c>
      <c r="D173" s="213"/>
      <c r="E173" s="255" t="str">
        <f>'ATT H-2A'!E182</f>
        <v>enter negative</v>
      </c>
      <c r="F173" s="257" t="str">
        <f>'ATT H-2A'!F182</f>
        <v>p112.12c</v>
      </c>
      <c r="G173" s="152"/>
      <c r="H173" s="152"/>
      <c r="I173" s="152"/>
      <c r="J173" s="152"/>
      <c r="K173" s="152"/>
      <c r="L173" s="152"/>
      <c r="M173" s="152"/>
      <c r="N173" s="152"/>
      <c r="O173" s="152"/>
      <c r="P173" s="152"/>
      <c r="Q173" s="337"/>
    </row>
    <row r="174" spans="1:17" ht="15.75" hidden="1">
      <c r="A174" s="247">
        <f>'ATT H-2A'!A183</f>
        <v>106</v>
      </c>
      <c r="B174" s="237"/>
      <c r="C174" s="223" t="str">
        <f>'ATT H-2A'!C183</f>
        <v>Common Stock</v>
      </c>
      <c r="D174" s="213"/>
      <c r="E174" s="224"/>
      <c r="F174" s="246" t="str">
        <f>'ATT H-2A'!F183</f>
        <v>(Sum Lines 103 to 105)</v>
      </c>
      <c r="G174" s="152"/>
      <c r="H174" s="152"/>
      <c r="I174" s="152"/>
      <c r="J174" s="152"/>
      <c r="K174" s="152"/>
      <c r="L174" s="152"/>
      <c r="M174" s="152"/>
      <c r="N174" s="152"/>
      <c r="O174" s="152"/>
      <c r="P174" s="152"/>
      <c r="Q174" s="337"/>
    </row>
    <row r="175" spans="1:17" ht="15.75" hidden="1">
      <c r="A175" s="247"/>
      <c r="B175" s="218"/>
      <c r="C175" s="239"/>
      <c r="D175" s="203"/>
      <c r="E175" s="255"/>
      <c r="F175" s="253"/>
      <c r="G175" s="152"/>
      <c r="H175" s="152"/>
      <c r="I175" s="152"/>
      <c r="J175" s="152"/>
      <c r="K175" s="152"/>
      <c r="L175" s="152"/>
      <c r="M175" s="152"/>
      <c r="N175" s="152"/>
      <c r="O175" s="152"/>
      <c r="P175" s="152"/>
      <c r="Q175" s="337"/>
    </row>
    <row r="176" spans="1:17" ht="15.75" hidden="1">
      <c r="A176" s="247"/>
      <c r="B176" s="225" t="str">
        <f>'ATT H-2A'!B185</f>
        <v>Capitalization</v>
      </c>
      <c r="C176" s="124"/>
      <c r="D176" s="124"/>
      <c r="E176" s="211"/>
      <c r="F176" s="246"/>
      <c r="G176" s="152"/>
      <c r="H176" s="152"/>
      <c r="I176" s="152"/>
      <c r="J176" s="152"/>
      <c r="K176" s="152"/>
      <c r="L176" s="152"/>
      <c r="M176" s="152"/>
      <c r="N176" s="152"/>
      <c r="O176" s="152"/>
      <c r="P176" s="152"/>
      <c r="Q176" s="337"/>
    </row>
    <row r="177" spans="1:17" ht="15.75" hidden="1">
      <c r="A177" s="247">
        <f>'ATT H-2A'!A186</f>
        <v>107</v>
      </c>
      <c r="B177" s="218"/>
      <c r="C177" s="210" t="str">
        <f>'ATT H-2A'!C186</f>
        <v>Long Term Debt</v>
      </c>
      <c r="D177" s="124"/>
      <c r="E177" s="218"/>
      <c r="F177" s="286" t="str">
        <f>'ATT H-2A'!F186</f>
        <v>p112.18d through 21d</v>
      </c>
      <c r="G177" s="152"/>
      <c r="H177" s="152"/>
      <c r="I177" s="152"/>
      <c r="J177" s="152"/>
      <c r="K177" s="152"/>
      <c r="L177" s="152"/>
      <c r="M177" s="152"/>
      <c r="N177" s="152"/>
      <c r="O177" s="152"/>
      <c r="P177" s="152"/>
      <c r="Q177" s="337"/>
    </row>
    <row r="178" spans="1:17" ht="15.75" hidden="1">
      <c r="A178" s="256">
        <f>'ATT H-2A'!A187</f>
        <v>108</v>
      </c>
      <c r="B178" s="218"/>
      <c r="C178" s="210" t="str">
        <f>'ATT H-2A'!C187</f>
        <v xml:space="preserve">      Less Loss on Reacquired Debt </v>
      </c>
      <c r="D178" s="124"/>
      <c r="E178" s="211" t="str">
        <f>'ATT H-2A'!E187</f>
        <v>enter negative</v>
      </c>
      <c r="F178" s="282" t="str">
        <f>'ATT H-2A'!F187</f>
        <v>p111.81.c</v>
      </c>
      <c r="G178" s="152"/>
      <c r="H178" s="152"/>
      <c r="I178" s="152"/>
      <c r="J178" s="152"/>
      <c r="K178" s="152"/>
      <c r="L178" s="152"/>
      <c r="M178" s="152"/>
      <c r="N178" s="152"/>
      <c r="O178" s="152"/>
      <c r="P178" s="152"/>
      <c r="Q178" s="337"/>
    </row>
    <row r="179" spans="1:17" ht="15.75" hidden="1">
      <c r="A179" s="256">
        <f>'ATT H-2A'!A188</f>
        <v>109</v>
      </c>
      <c r="B179" s="218"/>
      <c r="C179" s="210" t="str">
        <f>'ATT H-2A'!C188</f>
        <v xml:space="preserve">      Plus Gain on Reacquired Debt</v>
      </c>
      <c r="D179" s="124"/>
      <c r="E179" s="218" t="str">
        <f>'ATT H-2A'!E188</f>
        <v>enter positive</v>
      </c>
      <c r="F179" s="282" t="str">
        <f>'ATT H-2A'!F188</f>
        <v>p113.61c</v>
      </c>
      <c r="G179" s="152"/>
      <c r="H179" s="152"/>
      <c r="I179" s="152"/>
      <c r="J179" s="152"/>
      <c r="K179" s="152"/>
      <c r="L179" s="152"/>
      <c r="M179" s="152"/>
      <c r="N179" s="152"/>
      <c r="O179" s="152"/>
      <c r="P179" s="152"/>
      <c r="Q179" s="337"/>
    </row>
    <row r="180" spans="1:17" ht="15.75" hidden="1">
      <c r="A180" s="247">
        <f>'ATT H-2A'!A190</f>
        <v>111</v>
      </c>
      <c r="B180" s="218"/>
      <c r="C180" s="229" t="str">
        <f>'ATT H-2A'!C190</f>
        <v xml:space="preserve">      Less LTD on Securitization Bonds</v>
      </c>
      <c r="D180" s="229"/>
      <c r="E180" s="211" t="str">
        <f>'ATT H-2A'!E190</f>
        <v>enter negative</v>
      </c>
      <c r="F180" s="257" t="str">
        <f>'ATT H-2A'!F190</f>
        <v>Attachment 8</v>
      </c>
      <c r="G180" s="152"/>
      <c r="H180" s="152"/>
      <c r="I180" s="152"/>
      <c r="J180" s="152"/>
      <c r="K180" s="152"/>
      <c r="L180" s="152"/>
      <c r="M180" s="152"/>
      <c r="N180" s="152"/>
      <c r="O180" s="152"/>
      <c r="P180" s="152"/>
      <c r="Q180" s="337"/>
    </row>
    <row r="181" spans="1:17" ht="15.75" hidden="1">
      <c r="A181" s="247">
        <f>'ATT H-2A'!A191</f>
        <v>112</v>
      </c>
      <c r="B181" s="237"/>
      <c r="C181" s="214" t="str">
        <f>'ATT H-2A'!C191</f>
        <v>Total Long Term Debt</v>
      </c>
      <c r="D181" s="124"/>
      <c r="E181" s="224"/>
      <c r="F181" s="246" t="str">
        <f>'ATT H-2A'!F191</f>
        <v>(Sum Lines 107 to 111)</v>
      </c>
      <c r="G181" s="152"/>
      <c r="H181" s="152"/>
      <c r="I181" s="152"/>
      <c r="J181" s="152"/>
      <c r="K181" s="152"/>
      <c r="L181" s="152"/>
      <c r="M181" s="152"/>
      <c r="N181" s="152"/>
      <c r="O181" s="152"/>
      <c r="P181" s="152"/>
      <c r="Q181" s="337"/>
    </row>
    <row r="182" spans="1:17" ht="15.75" hidden="1">
      <c r="A182" s="247">
        <f>'ATT H-2A'!A192</f>
        <v>113</v>
      </c>
      <c r="B182" s="218"/>
      <c r="C182" s="210" t="str">
        <f>'ATT H-2A'!C192</f>
        <v>Preferred Stock</v>
      </c>
      <c r="D182" s="124"/>
      <c r="E182" s="218"/>
      <c r="F182" s="286" t="str">
        <f>'ATT H-2A'!F192</f>
        <v>p112.3c</v>
      </c>
      <c r="G182" s="152"/>
      <c r="H182" s="152"/>
      <c r="I182" s="152"/>
      <c r="J182" s="152"/>
      <c r="K182" s="152"/>
      <c r="L182" s="152"/>
      <c r="M182" s="152"/>
      <c r="N182" s="152"/>
      <c r="O182" s="152"/>
      <c r="P182" s="152"/>
      <c r="Q182" s="337"/>
    </row>
    <row r="183" spans="1:17" ht="15.75" hidden="1">
      <c r="A183" s="247">
        <f>'ATT H-2A'!A193</f>
        <v>114</v>
      </c>
      <c r="B183" s="218"/>
      <c r="C183" s="210" t="str">
        <f>'ATT H-2A'!C193</f>
        <v>Common Stock</v>
      </c>
      <c r="D183" s="124"/>
      <c r="E183" s="194"/>
      <c r="F183" s="246" t="str">
        <f>'ATT H-2A'!F193</f>
        <v>(Line 106)</v>
      </c>
      <c r="G183" s="152"/>
      <c r="H183" s="152"/>
      <c r="I183" s="152"/>
      <c r="J183" s="152"/>
      <c r="K183" s="152"/>
      <c r="L183" s="152"/>
      <c r="M183" s="152"/>
      <c r="N183" s="152"/>
      <c r="O183" s="152"/>
      <c r="P183" s="152"/>
      <c r="Q183" s="337"/>
    </row>
    <row r="184" spans="1:17" ht="15.75" hidden="1">
      <c r="A184" s="247">
        <f>'ATT H-2A'!A194</f>
        <v>115</v>
      </c>
      <c r="B184" s="218"/>
      <c r="C184" s="225" t="str">
        <f>'ATT H-2A'!C194</f>
        <v>Total  Capitalization</v>
      </c>
      <c r="D184" s="124"/>
      <c r="E184" s="194"/>
      <c r="F184" s="246" t="str">
        <f>'ATT H-2A'!F194</f>
        <v>(Sum Lines 112 to 114)</v>
      </c>
      <c r="G184" s="152"/>
      <c r="H184" s="152"/>
      <c r="I184" s="152"/>
      <c r="J184" s="152"/>
      <c r="K184" s="152"/>
      <c r="L184" s="152"/>
      <c r="M184" s="152"/>
      <c r="N184" s="152"/>
      <c r="O184" s="152"/>
      <c r="P184" s="152"/>
      <c r="Q184" s="337"/>
    </row>
    <row r="185" spans="1:17" ht="15.75" hidden="1">
      <c r="A185" s="247"/>
      <c r="B185" s="218"/>
      <c r="C185" s="239"/>
      <c r="D185" s="203"/>
      <c r="E185" s="255"/>
      <c r="F185" s="253"/>
      <c r="G185" s="152"/>
      <c r="H185" s="152"/>
      <c r="I185" s="152"/>
      <c r="J185" s="152"/>
      <c r="K185" s="152"/>
      <c r="L185" s="152"/>
      <c r="M185" s="152"/>
      <c r="N185" s="152"/>
      <c r="O185" s="152"/>
      <c r="P185" s="152"/>
      <c r="Q185" s="337"/>
    </row>
    <row r="186" spans="1:17" ht="15.75" hidden="1">
      <c r="A186" s="256">
        <f>'ATT H-2A'!A196</f>
        <v>116</v>
      </c>
      <c r="B186" s="218"/>
      <c r="C186" s="221" t="str">
        <f>'ATT H-2A'!C196</f>
        <v>Debt %</v>
      </c>
      <c r="D186" s="214" t="str">
        <f>'ATT H-2A'!D196</f>
        <v>Total Long Term Debt</v>
      </c>
      <c r="E186" s="194"/>
      <c r="F186" s="246" t="str">
        <f>'ATT H-2A'!F196</f>
        <v>(Line 112 / 115)</v>
      </c>
      <c r="G186" s="152"/>
      <c r="H186" s="152"/>
      <c r="I186" s="152"/>
      <c r="J186" s="152"/>
      <c r="K186" s="152"/>
      <c r="L186" s="152"/>
      <c r="M186" s="152"/>
      <c r="N186" s="152"/>
      <c r="O186" s="152"/>
      <c r="P186" s="152"/>
      <c r="Q186" s="337"/>
    </row>
    <row r="187" spans="1:17" ht="15.75" hidden="1">
      <c r="A187" s="256">
        <f>'ATT H-2A'!A197</f>
        <v>117</v>
      </c>
      <c r="B187" s="218"/>
      <c r="C187" s="221" t="str">
        <f>'ATT H-2A'!C197</f>
        <v>Preferred %</v>
      </c>
      <c r="D187" s="210" t="str">
        <f>'ATT H-2A'!D197</f>
        <v>Preferred Stock</v>
      </c>
      <c r="E187" s="194"/>
      <c r="F187" s="246" t="str">
        <f>'ATT H-2A'!F197</f>
        <v>(Line 113 / 115)</v>
      </c>
      <c r="G187" s="152"/>
      <c r="H187" s="152"/>
      <c r="I187" s="152"/>
      <c r="J187" s="152"/>
      <c r="K187" s="152"/>
      <c r="L187" s="152"/>
      <c r="M187" s="152"/>
      <c r="N187" s="152"/>
      <c r="O187" s="152"/>
      <c r="P187" s="152"/>
      <c r="Q187" s="337"/>
    </row>
    <row r="188" spans="1:17" ht="15.75" hidden="1">
      <c r="A188" s="256">
        <f>'ATT H-2A'!A198</f>
        <v>118</v>
      </c>
      <c r="B188" s="218"/>
      <c r="C188" s="221" t="str">
        <f>'ATT H-2A'!C198</f>
        <v>Common %</v>
      </c>
      <c r="D188" s="210" t="str">
        <f>'ATT H-2A'!D198</f>
        <v>Common Stock</v>
      </c>
      <c r="E188" s="194"/>
      <c r="F188" s="246" t="str">
        <f>'ATT H-2A'!F198</f>
        <v>(Line 114 / 115)</v>
      </c>
      <c r="G188" s="152"/>
      <c r="H188" s="152"/>
      <c r="I188" s="152"/>
      <c r="J188" s="152"/>
      <c r="K188" s="152"/>
      <c r="L188" s="152"/>
      <c r="M188" s="152"/>
      <c r="N188" s="152"/>
      <c r="O188" s="152"/>
      <c r="P188" s="152"/>
      <c r="Q188" s="337"/>
    </row>
    <row r="189" spans="1:17" ht="15.75" hidden="1">
      <c r="A189" s="247"/>
      <c r="B189" s="218"/>
      <c r="C189" s="239"/>
      <c r="D189" s="203"/>
      <c r="E189" s="255"/>
      <c r="F189" s="253"/>
      <c r="G189" s="152"/>
      <c r="H189" s="152"/>
      <c r="I189" s="152"/>
      <c r="J189" s="152"/>
      <c r="K189" s="152"/>
      <c r="L189" s="152"/>
      <c r="M189" s="152"/>
      <c r="N189" s="152"/>
      <c r="O189" s="152"/>
      <c r="P189" s="152"/>
      <c r="Q189" s="337"/>
    </row>
    <row r="190" spans="1:17" ht="15.75" hidden="1">
      <c r="A190" s="256">
        <f>'ATT H-2A'!A200</f>
        <v>119</v>
      </c>
      <c r="B190" s="218"/>
      <c r="C190" s="287" t="str">
        <f>'ATT H-2A'!C200</f>
        <v>Debt Cost</v>
      </c>
      <c r="D190" s="214" t="str">
        <f>'ATT H-2A'!D200</f>
        <v>Total Long Term Debt</v>
      </c>
      <c r="E190" s="194"/>
      <c r="F190" s="246" t="str">
        <f>'ATT H-2A'!F200</f>
        <v>(Line 101 / 112)</v>
      </c>
      <c r="G190" s="152"/>
      <c r="H190" s="152"/>
      <c r="I190" s="152"/>
      <c r="J190" s="152"/>
      <c r="K190" s="152"/>
      <c r="L190" s="152"/>
      <c r="M190" s="152"/>
      <c r="N190" s="152"/>
      <c r="O190" s="152"/>
      <c r="P190" s="152"/>
      <c r="Q190" s="337"/>
    </row>
    <row r="191" spans="1:17" ht="15.75" hidden="1">
      <c r="A191" s="256">
        <f>'ATT H-2A'!A201</f>
        <v>120</v>
      </c>
      <c r="B191" s="218"/>
      <c r="C191" s="287" t="str">
        <f>'ATT H-2A'!C201</f>
        <v>Preferred Cost</v>
      </c>
      <c r="D191" s="210" t="str">
        <f>'ATT H-2A'!D201</f>
        <v>Preferred Stock</v>
      </c>
      <c r="E191" s="194"/>
      <c r="F191" s="246" t="str">
        <f>'ATT H-2A'!F201</f>
        <v>(Line 102 / 113)</v>
      </c>
      <c r="G191" s="152"/>
      <c r="H191" s="152"/>
      <c r="I191" s="152"/>
      <c r="J191" s="152"/>
      <c r="K191" s="152"/>
      <c r="L191" s="152"/>
      <c r="M191" s="152"/>
      <c r="N191" s="152"/>
      <c r="O191" s="152"/>
      <c r="P191" s="152"/>
      <c r="Q191" s="337"/>
    </row>
    <row r="192" spans="1:17" ht="15.75" hidden="1">
      <c r="A192" s="256">
        <f>'ATT H-2A'!A202</f>
        <v>121</v>
      </c>
      <c r="B192" s="218"/>
      <c r="C192" s="287" t="str">
        <f>'ATT H-2A'!C202</f>
        <v>Common Cost</v>
      </c>
      <c r="D192" s="210" t="str">
        <f>'ATT H-2A'!D202</f>
        <v>Common Stock</v>
      </c>
      <c r="E192" s="242" t="str">
        <f>'ATT H-2A'!E202</f>
        <v>(Note J)</v>
      </c>
      <c r="F192" s="246" t="str">
        <f>'ATT H-2A'!F202</f>
        <v>Fixed</v>
      </c>
      <c r="G192" s="152"/>
      <c r="H192" s="152"/>
      <c r="I192" s="152"/>
      <c r="J192" s="152"/>
      <c r="K192" s="152"/>
      <c r="L192" s="152"/>
      <c r="M192" s="152"/>
      <c r="N192" s="152"/>
      <c r="O192" s="152"/>
      <c r="P192" s="152"/>
      <c r="Q192" s="337"/>
    </row>
    <row r="193" spans="1:17" ht="15.75" hidden="1">
      <c r="A193" s="247"/>
      <c r="B193" s="218"/>
      <c r="C193" s="239"/>
      <c r="D193" s="203"/>
      <c r="E193" s="255"/>
      <c r="F193" s="253"/>
      <c r="G193" s="152"/>
      <c r="H193" s="152"/>
      <c r="I193" s="152"/>
      <c r="J193" s="152"/>
      <c r="K193" s="152"/>
      <c r="L193" s="152"/>
      <c r="M193" s="152"/>
      <c r="N193" s="152"/>
      <c r="O193" s="152"/>
      <c r="P193" s="152"/>
      <c r="Q193" s="337"/>
    </row>
    <row r="194" spans="1:17" ht="15.75" hidden="1">
      <c r="A194" s="256">
        <f>'ATT H-2A'!A204</f>
        <v>122</v>
      </c>
      <c r="B194" s="218"/>
      <c r="C194" s="221" t="str">
        <f>'ATT H-2A'!C204</f>
        <v>Weighted Cost of Debt</v>
      </c>
      <c r="D194" s="214" t="str">
        <f>'ATT H-2A'!D204</f>
        <v>Total Long Term Debt (WCLTD)</v>
      </c>
      <c r="E194" s="194"/>
      <c r="F194" s="246" t="str">
        <f>'ATT H-2A'!F204</f>
        <v>(Line 116 * 119)</v>
      </c>
      <c r="G194" s="152"/>
      <c r="H194" s="152"/>
      <c r="I194" s="152"/>
      <c r="J194" s="152"/>
      <c r="K194" s="152"/>
      <c r="L194" s="152"/>
      <c r="M194" s="152"/>
      <c r="N194" s="152"/>
      <c r="O194" s="152"/>
      <c r="P194" s="152"/>
      <c r="Q194" s="337"/>
    </row>
    <row r="195" spans="1:17" ht="15.75" hidden="1">
      <c r="A195" s="256">
        <f>'ATT H-2A'!A205</f>
        <v>123</v>
      </c>
      <c r="B195" s="218"/>
      <c r="C195" s="221" t="str">
        <f>'ATT H-2A'!C205</f>
        <v>Weighted Cost of Preferred</v>
      </c>
      <c r="D195" s="210" t="str">
        <f>'ATT H-2A'!D205</f>
        <v>Preferred Stock</v>
      </c>
      <c r="E195" s="194"/>
      <c r="F195" s="246" t="str">
        <f>'ATT H-2A'!F205</f>
        <v>(Line 117 * 120)</v>
      </c>
      <c r="G195" s="152"/>
      <c r="H195" s="152"/>
      <c r="I195" s="152"/>
      <c r="J195" s="152"/>
      <c r="K195" s="152"/>
      <c r="L195" s="152"/>
      <c r="M195" s="152"/>
      <c r="N195" s="152"/>
      <c r="O195" s="152"/>
      <c r="P195" s="152"/>
      <c r="Q195" s="337"/>
    </row>
    <row r="196" spans="1:17" ht="15.75" hidden="1">
      <c r="A196" s="256">
        <f>'ATT H-2A'!A206</f>
        <v>124</v>
      </c>
      <c r="B196" s="218"/>
      <c r="C196" s="221" t="str">
        <f>'ATT H-2A'!C206</f>
        <v>Weighted Cost of Common</v>
      </c>
      <c r="D196" s="210" t="str">
        <f>'ATT H-2A'!D206</f>
        <v>Common Stock</v>
      </c>
      <c r="E196" s="194"/>
      <c r="F196" s="246" t="str">
        <f>'ATT H-2A'!F206</f>
        <v>(Line 118 * 121)</v>
      </c>
      <c r="G196" s="152"/>
      <c r="H196" s="152"/>
      <c r="I196" s="152"/>
      <c r="J196" s="152"/>
      <c r="K196" s="152"/>
      <c r="L196" s="152"/>
      <c r="M196" s="152"/>
      <c r="N196" s="152"/>
      <c r="O196" s="152"/>
      <c r="P196" s="152"/>
      <c r="Q196" s="337"/>
    </row>
    <row r="197" spans="1:17" ht="15.75" hidden="1">
      <c r="A197" s="247">
        <f>'ATT H-2A'!A207</f>
        <v>125</v>
      </c>
      <c r="B197" s="225" t="str">
        <f>'ATT H-2A'!B207</f>
        <v>Total Return ( R )</v>
      </c>
      <c r="C197" s="225"/>
      <c r="D197" s="226"/>
      <c r="E197" s="227"/>
      <c r="F197" s="246" t="str">
        <f>'ATT H-2A'!F207</f>
        <v>(Sum Lines 122 to 124)</v>
      </c>
      <c r="G197" s="152"/>
      <c r="H197" s="152"/>
      <c r="I197" s="152"/>
      <c r="J197" s="152"/>
      <c r="K197" s="152"/>
      <c r="L197" s="152"/>
      <c r="M197" s="152"/>
      <c r="N197" s="152"/>
      <c r="O197" s="152"/>
      <c r="P197" s="152"/>
      <c r="Q197" s="337"/>
    </row>
    <row r="198" spans="1:17" ht="15.75" hidden="1">
      <c r="A198" s="247"/>
      <c r="B198" s="218"/>
      <c r="C198" s="239"/>
      <c r="D198" s="203"/>
      <c r="E198" s="255"/>
      <c r="F198" s="253"/>
      <c r="G198" s="152"/>
      <c r="H198" s="152"/>
      <c r="I198" s="152"/>
      <c r="J198" s="152"/>
      <c r="K198" s="152"/>
      <c r="L198" s="152"/>
      <c r="M198" s="152"/>
      <c r="N198" s="152"/>
      <c r="O198" s="152"/>
      <c r="P198" s="152"/>
      <c r="Q198" s="337"/>
    </row>
    <row r="199" spans="1:17" ht="15.75" hidden="1">
      <c r="A199" s="247">
        <f>'ATT H-2A'!A209</f>
        <v>126</v>
      </c>
      <c r="B199" s="228" t="str">
        <f>'ATT H-2A'!B209</f>
        <v>Investment Return = Rate Base * Rate of Return</v>
      </c>
      <c r="C199" s="229"/>
      <c r="D199" s="226"/>
      <c r="E199" s="302"/>
      <c r="F199" s="291" t="str">
        <f>'ATT H-2A'!F209</f>
        <v>(Line 59 * 125)</v>
      </c>
      <c r="G199" s="152"/>
      <c r="H199" s="152"/>
      <c r="I199" s="152"/>
      <c r="J199" s="152"/>
      <c r="K199" s="152"/>
      <c r="L199" s="152"/>
      <c r="M199" s="152"/>
      <c r="N199" s="152"/>
      <c r="O199" s="152"/>
      <c r="P199" s="152"/>
      <c r="Q199" s="337"/>
    </row>
    <row r="200" spans="1:17" ht="15.75" hidden="1">
      <c r="A200" s="247"/>
      <c r="B200" s="218"/>
      <c r="C200" s="239"/>
      <c r="D200" s="203"/>
      <c r="E200" s="255"/>
      <c r="F200" s="253"/>
      <c r="G200" s="152"/>
      <c r="H200" s="152"/>
      <c r="I200" s="152"/>
      <c r="J200" s="152"/>
      <c r="K200" s="152"/>
      <c r="L200" s="152"/>
      <c r="M200" s="152"/>
      <c r="N200" s="152"/>
      <c r="O200" s="152"/>
      <c r="P200" s="152"/>
      <c r="Q200" s="337"/>
    </row>
    <row r="201" spans="1:17" ht="15.75" hidden="1">
      <c r="A201" s="259" t="str">
        <f>'ATT H-2A'!A211</f>
        <v xml:space="preserve">Composite Income Taxes                                                                                                       </v>
      </c>
      <c r="B201" s="204"/>
      <c r="C201" s="280"/>
      <c r="D201" s="205"/>
      <c r="E201" s="206"/>
      <c r="F201" s="260"/>
      <c r="G201" s="152"/>
      <c r="H201" s="152"/>
      <c r="I201" s="152"/>
      <c r="J201" s="152"/>
      <c r="K201" s="152"/>
      <c r="L201" s="152"/>
      <c r="M201" s="152"/>
      <c r="N201" s="152"/>
      <c r="O201" s="152"/>
      <c r="P201" s="152"/>
      <c r="Q201" s="337"/>
    </row>
    <row r="202" spans="1:17" ht="15.75" hidden="1">
      <c r="A202" s="247"/>
      <c r="B202" s="218"/>
      <c r="C202" s="239"/>
      <c r="D202" s="203"/>
      <c r="E202" s="255"/>
      <c r="F202" s="253"/>
      <c r="G202" s="152"/>
      <c r="H202" s="152"/>
      <c r="I202" s="152"/>
      <c r="J202" s="152"/>
      <c r="K202" s="152"/>
      <c r="L202" s="152"/>
      <c r="M202" s="152"/>
      <c r="N202" s="152"/>
      <c r="O202" s="152"/>
      <c r="P202" s="152"/>
      <c r="Q202" s="337"/>
    </row>
    <row r="203" spans="1:17" ht="15.75">
      <c r="A203" s="247" t="str">
        <f>'ATT H-2A'!A213</f>
        <v xml:space="preserve"> </v>
      </c>
      <c r="B203" s="228" t="str">
        <f>'ATT H-2A'!B213</f>
        <v>Income Tax Rates</v>
      </c>
      <c r="C203" s="124"/>
      <c r="D203" s="124"/>
      <c r="E203" s="211"/>
      <c r="F203" s="246"/>
      <c r="G203" s="152"/>
      <c r="H203" s="152"/>
      <c r="I203" s="152"/>
      <c r="J203" s="152"/>
      <c r="K203" s="152"/>
      <c r="L203" s="152"/>
      <c r="M203" s="152"/>
      <c r="N203" s="152"/>
      <c r="O203" s="152"/>
      <c r="P203" s="152"/>
      <c r="Q203" s="337"/>
    </row>
    <row r="204" spans="1:17" ht="15.75" hidden="1">
      <c r="A204" s="247">
        <f>'ATT H-2A'!A214</f>
        <v>127</v>
      </c>
      <c r="B204" s="218"/>
      <c r="C204" s="124" t="str">
        <f>'ATT H-2A'!C214</f>
        <v>FIT=Federal Income Tax Rate</v>
      </c>
      <c r="D204" s="124"/>
      <c r="E204" s="194"/>
      <c r="F204" s="253">
        <f>'ATT H-2A'!F214</f>
        <v>0</v>
      </c>
      <c r="G204" s="152"/>
      <c r="H204" s="152"/>
      <c r="I204" s="152"/>
      <c r="J204" s="152"/>
      <c r="K204" s="152"/>
      <c r="L204" s="152"/>
      <c r="M204" s="152"/>
      <c r="N204" s="152"/>
      <c r="O204" s="152"/>
      <c r="P204" s="152"/>
      <c r="Q204" s="337"/>
    </row>
    <row r="205" spans="1:17" ht="15.75">
      <c r="A205" s="247">
        <f>'ATT H-2A'!A215</f>
        <v>128</v>
      </c>
      <c r="B205" s="218"/>
      <c r="C205" s="288" t="str">
        <f>'ATT H-2A'!C215</f>
        <v>SIT=State Income Tax Rate or Composite</v>
      </c>
      <c r="D205" s="289"/>
      <c r="E205" s="242" t="str">
        <f>'ATT H-2A'!E215</f>
        <v>(Note I)</v>
      </c>
      <c r="F205" s="253">
        <f>'ATT H-2A'!F215</f>
        <v>0</v>
      </c>
      <c r="G205" s="152"/>
      <c r="H205" s="152"/>
      <c r="I205" s="152"/>
      <c r="J205" s="152"/>
      <c r="K205" s="152"/>
      <c r="L205" s="152"/>
      <c r="M205" s="189" t="s">
        <v>416</v>
      </c>
      <c r="N205" s="152"/>
      <c r="O205" s="152"/>
      <c r="P205" s="152"/>
      <c r="Q205" s="337"/>
    </row>
    <row r="206" spans="1:17" ht="15.75" hidden="1">
      <c r="A206" s="247">
        <f>'ATT H-2A'!A216</f>
        <v>129</v>
      </c>
      <c r="B206" s="218"/>
      <c r="C206" s="288" t="str">
        <f>'ATT H-2A'!C216</f>
        <v>p</v>
      </c>
      <c r="D206" s="288" t="str">
        <f>'ATT H-2A'!D216</f>
        <v>(percent of federal income tax deductible for state purposes)</v>
      </c>
      <c r="E206" s="194"/>
      <c r="F206" s="253" t="str">
        <f>'ATT H-2A'!F216</f>
        <v>Per State Tax Code</v>
      </c>
      <c r="G206" s="152"/>
      <c r="H206" s="152"/>
      <c r="I206" s="152"/>
      <c r="J206" s="152"/>
      <c r="K206" s="152"/>
      <c r="L206" s="152"/>
      <c r="M206" s="152"/>
      <c r="N206" s="152"/>
      <c r="O206" s="152"/>
      <c r="P206" s="152"/>
      <c r="Q206" s="337"/>
    </row>
    <row r="207" spans="1:17" ht="15.75" hidden="1">
      <c r="A207" s="247">
        <f>'ATT H-2A'!A217</f>
        <v>130</v>
      </c>
      <c r="B207" s="218"/>
      <c r="C207" s="288" t="str">
        <f>'ATT H-2A'!C217</f>
        <v>T</v>
      </c>
      <c r="D207" s="230" t="str">
        <f>'ATT H-2A'!D217</f>
        <v xml:space="preserve">     T=1 - {[(1 - SIT) * (1 - FIT)] / (1 - SIT * FIT * p)} =</v>
      </c>
      <c r="E207" s="194"/>
      <c r="F207" s="253"/>
      <c r="G207" s="152"/>
      <c r="H207" s="152"/>
      <c r="I207" s="152"/>
      <c r="J207" s="152"/>
      <c r="K207" s="152"/>
      <c r="L207" s="152"/>
      <c r="M207" s="152"/>
      <c r="N207" s="152"/>
      <c r="O207" s="152"/>
      <c r="P207" s="152"/>
      <c r="Q207" s="337"/>
    </row>
    <row r="208" spans="1:17" ht="15.75" hidden="1">
      <c r="A208" s="247">
        <f>'ATT H-2A'!A218</f>
        <v>131</v>
      </c>
      <c r="B208" s="218"/>
      <c r="C208" s="288" t="str">
        <f>'ATT H-2A'!C218</f>
        <v>T/ (1-T)</v>
      </c>
      <c r="D208" s="289"/>
      <c r="E208" s="194"/>
      <c r="F208" s="253"/>
      <c r="G208" s="152"/>
      <c r="H208" s="152"/>
      <c r="I208" s="152"/>
      <c r="J208" s="152"/>
      <c r="K208" s="152"/>
      <c r="L208" s="152"/>
      <c r="M208" s="152"/>
      <c r="N208" s="152"/>
      <c r="O208" s="152"/>
      <c r="P208" s="152"/>
      <c r="Q208" s="337"/>
    </row>
    <row r="209" spans="1:17" ht="15.75" hidden="1">
      <c r="A209" s="247"/>
      <c r="B209" s="218"/>
      <c r="C209" s="239"/>
      <c r="D209" s="203"/>
      <c r="E209" s="255"/>
      <c r="F209" s="253"/>
      <c r="G209" s="152"/>
      <c r="H209" s="152"/>
      <c r="I209" s="152"/>
      <c r="J209" s="152"/>
      <c r="K209" s="152"/>
      <c r="L209" s="152"/>
      <c r="M209" s="152"/>
      <c r="N209" s="152"/>
      <c r="O209" s="152"/>
      <c r="P209" s="152"/>
      <c r="Q209" s="337"/>
    </row>
    <row r="210" spans="1:17" ht="15.75">
      <c r="A210" s="247"/>
      <c r="B210" s="228" t="str">
        <f>'ATT H-2A'!B220</f>
        <v>ITC Adjustment</v>
      </c>
      <c r="C210" s="210"/>
      <c r="D210" s="124"/>
      <c r="E210" s="172"/>
      <c r="F210" s="246"/>
      <c r="G210" s="152"/>
      <c r="H210" s="152"/>
      <c r="I210" s="152"/>
      <c r="J210" s="152"/>
      <c r="K210" s="152"/>
      <c r="L210" s="152"/>
      <c r="M210" s="152"/>
      <c r="N210" s="152"/>
      <c r="O210" s="152"/>
      <c r="P210" s="152"/>
      <c r="Q210" s="337"/>
    </row>
    <row r="211" spans="1:17" ht="15.75">
      <c r="A211" s="247">
        <f>'ATT H-2A'!A221</f>
        <v>132</v>
      </c>
      <c r="B211" s="218"/>
      <c r="C211" s="210" t="str">
        <f>'ATT H-2A'!C221</f>
        <v>Amortized Investment Tax Credit</v>
      </c>
      <c r="D211" s="124"/>
      <c r="E211" s="285" t="str">
        <f>'ATT H-2A'!E220</f>
        <v>(Note I)</v>
      </c>
      <c r="F211" s="270" t="str">
        <f>'ATT H-2A'!F221</f>
        <v xml:space="preserve">p266.17f </v>
      </c>
      <c r="G211" s="152"/>
      <c r="H211" s="152"/>
      <c r="I211" s="152"/>
      <c r="J211" s="152"/>
      <c r="K211" s="152"/>
      <c r="L211" s="152"/>
      <c r="M211" s="189" t="s">
        <v>416</v>
      </c>
      <c r="N211" s="152"/>
      <c r="O211" s="152"/>
      <c r="P211" s="152"/>
      <c r="Q211" s="337"/>
    </row>
    <row r="212" spans="1:17" ht="15.75" hidden="1">
      <c r="A212" s="247">
        <f>'ATT H-2A'!A222</f>
        <v>133</v>
      </c>
      <c r="B212" s="218"/>
      <c r="C212" s="210" t="str">
        <f>'ATT H-2A'!C222</f>
        <v>T/(1-T)</v>
      </c>
      <c r="D212" s="124"/>
      <c r="E212" s="218"/>
      <c r="F212" s="246" t="str">
        <f>'ATT H-2A'!F222</f>
        <v>(Line 131)</v>
      </c>
      <c r="G212" s="152"/>
      <c r="H212" s="152"/>
      <c r="I212" s="152"/>
      <c r="J212" s="152"/>
      <c r="K212" s="152"/>
      <c r="L212" s="152"/>
      <c r="M212" s="152"/>
      <c r="N212" s="152"/>
      <c r="O212" s="152"/>
      <c r="P212" s="152"/>
      <c r="Q212" s="337"/>
    </row>
    <row r="213" spans="1:17" ht="15.75" hidden="1">
      <c r="A213" s="247">
        <f>'ATT H-2A'!A223</f>
        <v>134</v>
      </c>
      <c r="B213" s="218"/>
      <c r="C213" s="220" t="str">
        <f>'ATT H-2A'!C223</f>
        <v>Net Plant Allocation Factor</v>
      </c>
      <c r="D213" s="217"/>
      <c r="E213" s="218"/>
      <c r="F213" s="246" t="str">
        <f>'ATT H-2A'!F223</f>
        <v>(Line 18)</v>
      </c>
      <c r="G213" s="152"/>
      <c r="H213" s="152"/>
      <c r="I213" s="152"/>
      <c r="J213" s="152"/>
      <c r="K213" s="152"/>
      <c r="L213" s="152"/>
      <c r="M213" s="152"/>
      <c r="N213" s="152"/>
      <c r="O213" s="152"/>
      <c r="P213" s="152"/>
      <c r="Q213" s="337"/>
    </row>
    <row r="214" spans="1:17" ht="15.75" hidden="1">
      <c r="A214" s="247">
        <f>'ATT H-2A'!A224</f>
        <v>135</v>
      </c>
      <c r="B214" s="218"/>
      <c r="C214" s="233" t="str">
        <f>'ATT H-2A'!C224</f>
        <v>ITC Adjustment Allocated to Transmission</v>
      </c>
      <c r="D214" s="203"/>
      <c r="E214" s="285">
        <f>'ATT H-2A'!E224</f>
        <v>0</v>
      </c>
      <c r="F214" s="246" t="str">
        <f>'ATT H-2A'!F224</f>
        <v>[Line 129 * (1 + Line 130) * Line 131]</v>
      </c>
      <c r="G214" s="152"/>
      <c r="H214" s="152"/>
      <c r="I214" s="152"/>
      <c r="J214" s="152"/>
      <c r="K214" s="152"/>
      <c r="L214" s="152"/>
      <c r="M214" s="152"/>
      <c r="N214" s="152"/>
      <c r="O214" s="152"/>
      <c r="P214" s="152"/>
      <c r="Q214" s="337"/>
    </row>
    <row r="215" spans="1:17" ht="15.75" hidden="1">
      <c r="A215" s="247"/>
      <c r="B215" s="218"/>
      <c r="C215" s="239"/>
      <c r="D215" s="203"/>
      <c r="E215" s="255"/>
      <c r="F215" s="253"/>
      <c r="G215" s="152"/>
      <c r="H215" s="152"/>
      <c r="I215" s="152"/>
      <c r="J215" s="152"/>
      <c r="K215" s="152"/>
      <c r="L215" s="152"/>
      <c r="M215" s="152"/>
      <c r="N215" s="152"/>
      <c r="O215" s="152"/>
      <c r="P215" s="152"/>
      <c r="Q215" s="337"/>
    </row>
    <row r="216" spans="1:17" ht="15.75" hidden="1">
      <c r="A216" s="247"/>
      <c r="B216" s="218"/>
      <c r="C216" s="239"/>
      <c r="D216" s="203"/>
      <c r="E216" s="255"/>
      <c r="F216" s="253"/>
      <c r="G216" s="152"/>
      <c r="H216" s="152"/>
      <c r="I216" s="152"/>
      <c r="J216" s="152"/>
      <c r="K216" s="152"/>
      <c r="L216" s="152"/>
      <c r="M216" s="152"/>
      <c r="N216" s="152"/>
      <c r="O216" s="152"/>
      <c r="P216" s="152"/>
      <c r="Q216" s="337"/>
    </row>
    <row r="217" spans="1:17" ht="15.75" hidden="1">
      <c r="A217" s="247"/>
      <c r="B217" s="218"/>
      <c r="C217" s="239"/>
      <c r="D217" s="203"/>
      <c r="E217" s="255"/>
      <c r="F217" s="253"/>
      <c r="G217" s="152"/>
      <c r="H217" s="152"/>
      <c r="I217" s="152"/>
      <c r="J217" s="152"/>
      <c r="K217" s="152"/>
      <c r="L217" s="152"/>
      <c r="M217" s="152"/>
      <c r="N217" s="152"/>
      <c r="O217" s="152"/>
      <c r="P217" s="152"/>
      <c r="Q217" s="337"/>
    </row>
    <row r="218" spans="1:17" ht="15.75" hidden="1">
      <c r="A218" s="247">
        <f>'ATT H-2A'!A228</f>
        <v>136</v>
      </c>
      <c r="B218" s="278" t="str">
        <f>'ATT H-2A'!B228</f>
        <v xml:space="preserve">Income Tax Component = </v>
      </c>
      <c r="C218" s="229"/>
      <c r="D218" s="124" t="str">
        <f>'ATT H-2A'!D228</f>
        <v xml:space="preserve">     CIT=(T/1-T) * Investment Return * (1-(WCLTD/R)) =</v>
      </c>
      <c r="E218" s="211"/>
      <c r="F218" s="246" t="str">
        <f>'ATT H-2A'!F228</f>
        <v>[Line 131 * 126 * (1-(122 / 125))]</v>
      </c>
      <c r="G218" s="152"/>
      <c r="H218" s="152"/>
      <c r="I218" s="152"/>
      <c r="J218" s="152"/>
      <c r="K218" s="152"/>
      <c r="L218" s="152"/>
      <c r="M218" s="152"/>
      <c r="N218" s="152"/>
      <c r="O218" s="152"/>
      <c r="P218" s="152"/>
      <c r="Q218" s="337"/>
    </row>
    <row r="219" spans="1:17" ht="15.75" hidden="1">
      <c r="A219" s="247"/>
      <c r="B219" s="218"/>
      <c r="C219" s="239"/>
      <c r="D219" s="203"/>
      <c r="E219" s="255"/>
      <c r="F219" s="253"/>
      <c r="G219" s="152"/>
      <c r="H219" s="152"/>
      <c r="I219" s="152"/>
      <c r="J219" s="152"/>
      <c r="K219" s="152"/>
      <c r="L219" s="152"/>
      <c r="M219" s="152"/>
      <c r="N219" s="152"/>
      <c r="O219" s="152"/>
      <c r="P219" s="152"/>
      <c r="Q219" s="337"/>
    </row>
    <row r="220" spans="1:17" ht="15.75" hidden="1">
      <c r="A220" s="247">
        <f>'ATT H-2A'!A230</f>
        <v>137</v>
      </c>
      <c r="B220" s="228" t="str">
        <f>'ATT H-2A'!B230</f>
        <v>Total Income Taxes</v>
      </c>
      <c r="C220" s="228"/>
      <c r="D220" s="226"/>
      <c r="E220" s="227"/>
      <c r="F220" s="291" t="str">
        <f>'ATT H-2A'!F230</f>
        <v>(Line 135 + 136)</v>
      </c>
      <c r="G220" s="152"/>
      <c r="H220" s="152"/>
      <c r="I220" s="152"/>
      <c r="J220" s="152"/>
      <c r="K220" s="152"/>
      <c r="L220" s="152"/>
      <c r="M220" s="152"/>
      <c r="N220" s="152"/>
      <c r="O220" s="152"/>
      <c r="P220" s="152"/>
      <c r="Q220" s="337"/>
    </row>
    <row r="221" spans="1:17" ht="15.75" hidden="1">
      <c r="A221" s="247"/>
      <c r="B221" s="218"/>
      <c r="C221" s="239"/>
      <c r="D221" s="203"/>
      <c r="E221" s="255"/>
      <c r="F221" s="253"/>
      <c r="G221" s="152"/>
      <c r="H221" s="152"/>
      <c r="I221" s="152"/>
      <c r="J221" s="152"/>
      <c r="K221" s="152"/>
      <c r="L221" s="152"/>
      <c r="M221" s="152"/>
      <c r="N221" s="152"/>
      <c r="O221" s="152"/>
      <c r="P221" s="152"/>
      <c r="Q221" s="337"/>
    </row>
    <row r="222" spans="1:17" ht="15.75" hidden="1">
      <c r="A222" s="259" t="str">
        <f>'ATT H-2A'!A232</f>
        <v>REVENUE REQUIREMENT</v>
      </c>
      <c r="B222" s="204"/>
      <c r="C222" s="280"/>
      <c r="D222" s="205"/>
      <c r="E222" s="206"/>
      <c r="F222" s="260"/>
      <c r="G222" s="152"/>
      <c r="H222" s="152"/>
      <c r="I222" s="152"/>
      <c r="J222" s="152"/>
      <c r="K222" s="152"/>
      <c r="L222" s="152"/>
      <c r="M222" s="152"/>
      <c r="N222" s="152"/>
      <c r="O222" s="152"/>
      <c r="P222" s="152"/>
      <c r="Q222" s="337"/>
    </row>
    <row r="223" spans="1:17" ht="15.75" hidden="1">
      <c r="A223" s="247"/>
      <c r="B223" s="218"/>
      <c r="C223" s="239"/>
      <c r="D223" s="203"/>
      <c r="E223" s="255"/>
      <c r="F223" s="253"/>
      <c r="G223" s="152"/>
      <c r="H223" s="152"/>
      <c r="I223" s="152"/>
      <c r="J223" s="152"/>
      <c r="K223" s="152"/>
      <c r="L223" s="152"/>
      <c r="M223" s="152"/>
      <c r="N223" s="152"/>
      <c r="O223" s="152"/>
      <c r="P223" s="152"/>
      <c r="Q223" s="337"/>
    </row>
    <row r="224" spans="1:17" ht="15.75" hidden="1">
      <c r="A224" s="249"/>
      <c r="B224" s="278" t="str">
        <f>'ATT H-2A'!B234</f>
        <v>Summary</v>
      </c>
      <c r="C224" s="229"/>
      <c r="D224" s="229"/>
      <c r="E224" s="194"/>
      <c r="F224" s="250"/>
      <c r="G224" s="152"/>
      <c r="H224" s="152"/>
      <c r="I224" s="152"/>
      <c r="J224" s="152"/>
      <c r="K224" s="152"/>
      <c r="L224" s="152"/>
      <c r="M224" s="152"/>
      <c r="N224" s="152"/>
      <c r="O224" s="152"/>
      <c r="P224" s="152"/>
      <c r="Q224" s="337"/>
    </row>
    <row r="225" spans="1:17" ht="15.75" hidden="1">
      <c r="A225" s="249">
        <f>'ATT H-2A'!A235</f>
        <v>138</v>
      </c>
      <c r="B225" s="229"/>
      <c r="C225" s="229" t="str">
        <f>'ATT H-2A'!C235</f>
        <v>Net Property, Plant &amp; Equipment</v>
      </c>
      <c r="D225" s="229"/>
      <c r="E225" s="194"/>
      <c r="F225" s="246" t="str">
        <f>'ATT H-2A'!F235</f>
        <v>(Line 39)</v>
      </c>
      <c r="G225" s="152"/>
      <c r="H225" s="152"/>
      <c r="I225" s="152"/>
      <c r="J225" s="152"/>
      <c r="K225" s="152"/>
      <c r="L225" s="152"/>
      <c r="M225" s="152"/>
      <c r="N225" s="152"/>
      <c r="O225" s="152"/>
      <c r="P225" s="152"/>
      <c r="Q225" s="337"/>
    </row>
    <row r="226" spans="1:17" ht="15.75" hidden="1">
      <c r="A226" s="247">
        <f>'ATT H-2A'!A236</f>
        <v>139</v>
      </c>
      <c r="B226" s="229"/>
      <c r="C226" s="229" t="str">
        <f>'ATT H-2A'!C236</f>
        <v>Adjustment to Rate Base</v>
      </c>
      <c r="D226" s="229"/>
      <c r="E226" s="194"/>
      <c r="F226" s="246" t="str">
        <f>'ATT H-2A'!F236</f>
        <v>(Line 58)</v>
      </c>
      <c r="G226" s="152"/>
      <c r="H226" s="152"/>
      <c r="I226" s="152"/>
      <c r="J226" s="152"/>
      <c r="K226" s="152"/>
      <c r="L226" s="152"/>
      <c r="M226" s="152"/>
      <c r="N226" s="152"/>
      <c r="O226" s="152"/>
      <c r="P226" s="152"/>
      <c r="Q226" s="337"/>
    </row>
    <row r="227" spans="1:17" ht="15.75" hidden="1">
      <c r="A227" s="247">
        <f>'ATT H-2A'!A237</f>
        <v>140</v>
      </c>
      <c r="B227" s="218"/>
      <c r="C227" s="278" t="str">
        <f>'ATT H-2A'!C237</f>
        <v>Rate Base</v>
      </c>
      <c r="D227" s="303"/>
      <c r="E227" s="302"/>
      <c r="F227" s="246" t="str">
        <f>'ATT H-2A'!F237</f>
        <v>(Line 59)</v>
      </c>
      <c r="G227" s="152"/>
      <c r="H227" s="152"/>
      <c r="I227" s="152"/>
      <c r="J227" s="152"/>
      <c r="K227" s="152"/>
      <c r="L227" s="152"/>
      <c r="M227" s="152"/>
      <c r="N227" s="152"/>
      <c r="O227" s="152"/>
      <c r="P227" s="152"/>
      <c r="Q227" s="337"/>
    </row>
    <row r="228" spans="1:17" ht="15.75" hidden="1">
      <c r="A228" s="247"/>
      <c r="B228" s="218"/>
      <c r="C228" s="239"/>
      <c r="D228" s="203"/>
      <c r="E228" s="255"/>
      <c r="F228" s="253"/>
      <c r="G228" s="152"/>
      <c r="H228" s="152"/>
      <c r="I228" s="152"/>
      <c r="J228" s="152"/>
      <c r="K228" s="152"/>
      <c r="L228" s="152"/>
      <c r="M228" s="152"/>
      <c r="N228" s="152"/>
      <c r="O228" s="152"/>
      <c r="P228" s="152"/>
      <c r="Q228" s="337"/>
    </row>
    <row r="229" spans="1:17" ht="15.75" hidden="1">
      <c r="A229" s="247">
        <f>'ATT H-2A'!A239</f>
        <v>141</v>
      </c>
      <c r="B229" s="124"/>
      <c r="C229" s="214" t="str">
        <f>'ATT H-2A'!C239</f>
        <v>O&amp;M</v>
      </c>
      <c r="D229" s="124"/>
      <c r="E229" s="194"/>
      <c r="F229" s="246" t="str">
        <f>'ATT H-2A'!F239</f>
        <v>(Line 84)</v>
      </c>
      <c r="G229" s="152"/>
      <c r="H229" s="152"/>
      <c r="I229" s="152"/>
      <c r="J229" s="152"/>
      <c r="K229" s="152"/>
      <c r="L229" s="152"/>
      <c r="M229" s="152"/>
      <c r="N229" s="152"/>
      <c r="O229" s="152"/>
      <c r="P229" s="152"/>
      <c r="Q229" s="337"/>
    </row>
    <row r="230" spans="1:17" ht="15.75" hidden="1">
      <c r="A230" s="247">
        <f>'ATT H-2A'!A240</f>
        <v>142</v>
      </c>
      <c r="B230" s="124"/>
      <c r="C230" s="221" t="str">
        <f>'ATT H-2A'!C240</f>
        <v>Depreciation &amp; Amortization</v>
      </c>
      <c r="D230" s="124"/>
      <c r="E230" s="194"/>
      <c r="F230" s="246" t="str">
        <f>'ATT H-2A'!F240</f>
        <v>(Line 96)</v>
      </c>
      <c r="G230" s="152"/>
      <c r="H230" s="152"/>
      <c r="I230" s="152"/>
      <c r="J230" s="152"/>
      <c r="K230" s="152"/>
      <c r="L230" s="152"/>
      <c r="M230" s="152"/>
      <c r="N230" s="152"/>
      <c r="O230" s="152"/>
      <c r="P230" s="152"/>
      <c r="Q230" s="337"/>
    </row>
    <row r="231" spans="1:17" ht="15.75" hidden="1">
      <c r="A231" s="247">
        <f>'ATT H-2A'!A241</f>
        <v>143</v>
      </c>
      <c r="B231" s="218"/>
      <c r="C231" s="214" t="str">
        <f>'ATT H-2A'!C241</f>
        <v>Taxes Other than Income</v>
      </c>
      <c r="D231" s="203"/>
      <c r="E231" s="211"/>
      <c r="F231" s="246" t="str">
        <f>'ATT H-2A'!F241</f>
        <v>(Line 98)</v>
      </c>
      <c r="G231" s="152"/>
      <c r="H231" s="152"/>
      <c r="I231" s="152"/>
      <c r="J231" s="152"/>
      <c r="K231" s="152"/>
      <c r="L231" s="152"/>
      <c r="M231" s="152"/>
      <c r="N231" s="152"/>
      <c r="O231" s="152"/>
      <c r="P231" s="152"/>
      <c r="Q231" s="337"/>
    </row>
    <row r="232" spans="1:17" ht="15.75" hidden="1">
      <c r="A232" s="247">
        <f>'ATT H-2A'!A242</f>
        <v>144</v>
      </c>
      <c r="B232" s="218"/>
      <c r="C232" s="230" t="str">
        <f>'ATT H-2A'!C242</f>
        <v>Investment Return</v>
      </c>
      <c r="D232" s="203"/>
      <c r="E232" s="211"/>
      <c r="F232" s="246" t="str">
        <f>'ATT H-2A'!F242</f>
        <v>(Line 126)</v>
      </c>
      <c r="G232" s="152"/>
      <c r="H232" s="152"/>
      <c r="I232" s="152"/>
      <c r="J232" s="152"/>
      <c r="K232" s="152"/>
      <c r="L232" s="152"/>
      <c r="M232" s="152"/>
      <c r="N232" s="152"/>
      <c r="O232" s="152"/>
      <c r="P232" s="152"/>
      <c r="Q232" s="337"/>
    </row>
    <row r="233" spans="1:17" ht="15.75" hidden="1">
      <c r="A233" s="247">
        <f>'ATT H-2A'!A243</f>
        <v>145</v>
      </c>
      <c r="B233" s="218"/>
      <c r="C233" s="230" t="str">
        <f>'ATT H-2A'!C243</f>
        <v>Income Taxes</v>
      </c>
      <c r="D233" s="203"/>
      <c r="E233" s="211"/>
      <c r="F233" s="246" t="str">
        <f>'ATT H-2A'!F243</f>
        <v>(Line 137)</v>
      </c>
      <c r="G233" s="152"/>
      <c r="H233" s="152"/>
      <c r="I233" s="152"/>
      <c r="J233" s="152"/>
      <c r="K233" s="152"/>
      <c r="L233" s="152"/>
      <c r="M233" s="152"/>
      <c r="N233" s="152"/>
      <c r="O233" s="152"/>
      <c r="P233" s="152"/>
      <c r="Q233" s="337"/>
    </row>
    <row r="234" spans="1:17" ht="15.75" hidden="1">
      <c r="A234" s="247"/>
      <c r="B234" s="218"/>
      <c r="C234" s="230"/>
      <c r="D234" s="203"/>
      <c r="E234" s="211"/>
      <c r="F234" s="253"/>
      <c r="G234" s="152"/>
      <c r="H234" s="152"/>
      <c r="I234" s="152"/>
      <c r="J234" s="152"/>
      <c r="K234" s="152"/>
      <c r="L234" s="152"/>
      <c r="M234" s="152"/>
      <c r="N234" s="152"/>
      <c r="O234" s="152"/>
      <c r="P234" s="152"/>
      <c r="Q234" s="337"/>
    </row>
    <row r="235" spans="1:17" ht="18.75" hidden="1" thickBot="1">
      <c r="A235" s="231">
        <f>'ATT H-2A'!A245</f>
        <v>146</v>
      </c>
      <c r="B235" s="304"/>
      <c r="C235" s="234" t="str">
        <f>'ATT H-2A'!C245</f>
        <v>Gross Revenue Requirement</v>
      </c>
      <c r="D235" s="235"/>
      <c r="E235" s="236"/>
      <c r="F235" s="308" t="str">
        <f>'ATT H-2A'!F245</f>
        <v>(Sum Lines 141 to 145)</v>
      </c>
      <c r="G235" s="152"/>
      <c r="H235" s="152"/>
      <c r="I235" s="152"/>
      <c r="J235" s="152"/>
      <c r="K235" s="152"/>
      <c r="L235" s="152"/>
      <c r="M235" s="152"/>
      <c r="N235" s="152"/>
      <c r="O235" s="152"/>
      <c r="P235" s="152"/>
      <c r="Q235" s="337"/>
    </row>
    <row r="236" spans="1:17" ht="15.75" hidden="1">
      <c r="A236" s="247"/>
      <c r="B236" s="218"/>
      <c r="C236" s="239"/>
      <c r="D236" s="203"/>
      <c r="E236" s="255"/>
      <c r="F236" s="253"/>
      <c r="G236" s="152"/>
      <c r="H236" s="152"/>
      <c r="I236" s="152"/>
      <c r="J236" s="152"/>
      <c r="K236" s="152"/>
      <c r="L236" s="152"/>
      <c r="M236" s="152"/>
      <c r="N236" s="152"/>
      <c r="O236" s="152"/>
      <c r="P236" s="152"/>
      <c r="Q236" s="337"/>
    </row>
    <row r="237" spans="1:17" ht="18">
      <c r="A237" s="290"/>
      <c r="B237" s="190" t="str">
        <f>'ATT H-2A'!B247</f>
        <v>Adjustment to Remove Revenue Requirements Associated with Excluded Transmission Facilities</v>
      </c>
      <c r="C237" s="234"/>
      <c r="D237" s="235"/>
      <c r="E237" s="236"/>
      <c r="F237" s="291"/>
      <c r="G237" s="152"/>
      <c r="H237" s="152"/>
      <c r="I237" s="152"/>
      <c r="J237" s="152"/>
      <c r="K237" s="152"/>
      <c r="L237" s="152"/>
      <c r="M237" s="152"/>
      <c r="N237" s="152"/>
      <c r="O237" s="152"/>
      <c r="P237" s="152"/>
      <c r="Q237" s="337"/>
    </row>
    <row r="238" spans="1:17" ht="18" hidden="1">
      <c r="A238" s="256">
        <f>'ATT H-2A'!A248</f>
        <v>147</v>
      </c>
      <c r="B238" s="237"/>
      <c r="C238" s="214" t="str">
        <f>'ATT H-2A'!C248</f>
        <v>Transmission Plant In Service</v>
      </c>
      <c r="D238" s="235"/>
      <c r="E238" s="236"/>
      <c r="F238" s="246" t="str">
        <f>'ATT H-2A'!F248</f>
        <v>(Line 19)</v>
      </c>
      <c r="G238" s="152"/>
      <c r="H238" s="152"/>
      <c r="I238" s="152"/>
      <c r="J238" s="152"/>
      <c r="K238" s="152"/>
      <c r="L238" s="152"/>
      <c r="M238" s="152"/>
      <c r="N238" s="152"/>
      <c r="O238" s="152"/>
      <c r="P238" s="152"/>
      <c r="Q238" s="337"/>
    </row>
    <row r="239" spans="1:17" ht="18">
      <c r="A239" s="256">
        <f>'ATT H-2A'!A249</f>
        <v>148</v>
      </c>
      <c r="B239" s="237"/>
      <c r="C239" s="214" t="str">
        <f>'ATT H-2A'!C249</f>
        <v>Excluded Transmission Facilities</v>
      </c>
      <c r="D239" s="235"/>
      <c r="E239" s="216" t="str">
        <f>'ATT H-2A'!E249</f>
        <v>(Note M)</v>
      </c>
      <c r="F239" s="257" t="str">
        <f>'ATT H-2A'!F249</f>
        <v>Attachment 5</v>
      </c>
      <c r="G239" s="152"/>
      <c r="H239" s="152"/>
      <c r="I239" s="152"/>
      <c r="J239" s="152"/>
      <c r="K239" s="152"/>
      <c r="L239" s="152"/>
      <c r="M239" s="152"/>
      <c r="N239" s="152"/>
      <c r="O239" s="152"/>
      <c r="P239" s="189" t="s">
        <v>416</v>
      </c>
      <c r="Q239" s="337"/>
    </row>
    <row r="240" spans="1:17" ht="18" hidden="1">
      <c r="A240" s="256">
        <f>'ATT H-2A'!A250</f>
        <v>149</v>
      </c>
      <c r="B240" s="237"/>
      <c r="C240" s="214" t="str">
        <f>'ATT H-2A'!C250</f>
        <v>Included Transmission Facilities</v>
      </c>
      <c r="D240" s="235"/>
      <c r="E240" s="238"/>
      <c r="F240" s="257" t="str">
        <f>'ATT H-2A'!F250</f>
        <v>(Line 147 - 148)</v>
      </c>
      <c r="G240" s="152"/>
      <c r="H240" s="152"/>
      <c r="I240" s="152"/>
      <c r="J240" s="152"/>
      <c r="K240" s="152"/>
      <c r="L240" s="152"/>
      <c r="M240" s="152"/>
      <c r="N240" s="152"/>
      <c r="O240" s="152"/>
      <c r="P240" s="152"/>
      <c r="Q240" s="337"/>
    </row>
    <row r="241" spans="1:17" ht="18" hidden="1">
      <c r="A241" s="256">
        <f>'ATT H-2A'!A251</f>
        <v>150</v>
      </c>
      <c r="B241" s="237"/>
      <c r="C241" s="214" t="str">
        <f>'ATT H-2A'!C251</f>
        <v>Inclusion Ratio</v>
      </c>
      <c r="D241" s="235"/>
      <c r="E241" s="236"/>
      <c r="F241" s="257" t="str">
        <f>'ATT H-2A'!F251</f>
        <v>(Line 149 / 147)</v>
      </c>
      <c r="G241" s="152"/>
      <c r="H241" s="152"/>
      <c r="I241" s="152"/>
      <c r="J241" s="152"/>
      <c r="K241" s="152"/>
      <c r="L241" s="152"/>
      <c r="M241" s="152"/>
      <c r="N241" s="152"/>
      <c r="O241" s="152"/>
      <c r="P241" s="152"/>
      <c r="Q241" s="337"/>
    </row>
    <row r="242" spans="1:17" ht="18" hidden="1">
      <c r="A242" s="256">
        <f>'ATT H-2A'!A252</f>
        <v>151</v>
      </c>
      <c r="B242" s="237"/>
      <c r="C242" s="214" t="str">
        <f>'ATT H-2A'!C252</f>
        <v>Gross Revenue Requirement</v>
      </c>
      <c r="D242" s="235"/>
      <c r="E242" s="236"/>
      <c r="F242" s="257" t="str">
        <f>'ATT H-2A'!F252</f>
        <v>(Line 146)</v>
      </c>
      <c r="G242" s="152"/>
      <c r="H242" s="152"/>
      <c r="I242" s="152"/>
      <c r="J242" s="152"/>
      <c r="K242" s="152"/>
      <c r="L242" s="152"/>
      <c r="M242" s="152"/>
      <c r="N242" s="152"/>
      <c r="O242" s="152"/>
      <c r="P242" s="152"/>
      <c r="Q242" s="337"/>
    </row>
    <row r="243" spans="1:17" ht="18" hidden="1">
      <c r="A243" s="256">
        <f>'ATT H-2A'!A253</f>
        <v>152</v>
      </c>
      <c r="B243" s="237"/>
      <c r="C243" s="239" t="str">
        <f>'ATT H-2A'!C253</f>
        <v>Adjusted Gross Revenue Requirement</v>
      </c>
      <c r="D243" s="235"/>
      <c r="E243" s="236"/>
      <c r="F243" s="257" t="str">
        <f>'ATT H-2A'!F253</f>
        <v>(Line 150 * 151)</v>
      </c>
      <c r="G243" s="152"/>
      <c r="H243" s="152"/>
      <c r="I243" s="152"/>
      <c r="J243" s="152"/>
      <c r="K243" s="152"/>
      <c r="L243" s="152"/>
      <c r="M243" s="152"/>
      <c r="N243" s="152"/>
      <c r="O243" s="152"/>
      <c r="P243" s="152"/>
      <c r="Q243" s="337"/>
    </row>
    <row r="244" spans="1:17" ht="15.75" hidden="1">
      <c r="A244" s="247"/>
      <c r="B244" s="218"/>
      <c r="C244" s="239"/>
      <c r="D244" s="203"/>
      <c r="E244" s="255"/>
      <c r="F244" s="253"/>
      <c r="G244" s="152"/>
      <c r="H244" s="152"/>
      <c r="I244" s="152"/>
      <c r="J244" s="152"/>
      <c r="K244" s="152"/>
      <c r="L244" s="152"/>
      <c r="M244" s="152"/>
      <c r="N244" s="152"/>
      <c r="O244" s="152"/>
      <c r="P244" s="152"/>
      <c r="Q244" s="337"/>
    </row>
    <row r="245" spans="1:17" ht="15.75">
      <c r="A245" s="292"/>
      <c r="B245" s="233" t="str">
        <f>'ATT H-2A'!B255</f>
        <v>Revenue Credits &amp; Interest on Network Credits</v>
      </c>
      <c r="C245" s="214"/>
      <c r="D245" s="203"/>
      <c r="E245" s="211"/>
      <c r="F245" s="253"/>
      <c r="G245" s="152"/>
      <c r="H245" s="152"/>
      <c r="I245" s="152"/>
      <c r="J245" s="152"/>
      <c r="K245" s="152"/>
      <c r="L245" s="152"/>
      <c r="M245" s="152"/>
      <c r="N245" s="152"/>
      <c r="O245" s="152"/>
      <c r="P245" s="152"/>
      <c r="Q245" s="337"/>
    </row>
    <row r="246" spans="1:17" ht="15.75" hidden="1">
      <c r="A246" s="256">
        <f>'ATT H-2A'!A256</f>
        <v>153</v>
      </c>
      <c r="B246" s="229"/>
      <c r="C246" s="233" t="str">
        <f>'ATT H-2A'!C256</f>
        <v>Revenue Credits</v>
      </c>
      <c r="D246" s="203"/>
      <c r="E246" s="211"/>
      <c r="F246" s="253" t="str">
        <f>'ATT H-2A'!F256</f>
        <v>Attachment 3</v>
      </c>
      <c r="G246" s="152"/>
      <c r="H246" s="152"/>
      <c r="I246" s="152"/>
      <c r="J246" s="152"/>
      <c r="K246" s="152"/>
      <c r="L246" s="152"/>
      <c r="M246" s="152"/>
      <c r="N246" s="152"/>
      <c r="O246" s="152"/>
      <c r="P246" s="152"/>
      <c r="Q246" s="337"/>
    </row>
    <row r="247" spans="1:17" ht="15.75">
      <c r="A247" s="256">
        <f>'ATT H-2A'!A257</f>
        <v>154</v>
      </c>
      <c r="B247" s="229"/>
      <c r="C247" s="221" t="str">
        <f>'ATT H-2A'!C257</f>
        <v>Interest on Network Credits</v>
      </c>
      <c r="D247" s="203"/>
      <c r="E247" s="279" t="str">
        <f>'ATT H-2A'!E257</f>
        <v>(Note N)</v>
      </c>
      <c r="F247" s="253" t="str">
        <f>'ATT H-2A'!F257</f>
        <v>PJM Data</v>
      </c>
      <c r="G247" s="152"/>
      <c r="H247" s="152"/>
      <c r="I247" s="152"/>
      <c r="J247" s="152"/>
      <c r="K247" s="152"/>
      <c r="L247" s="152"/>
      <c r="M247" s="152"/>
      <c r="N247" s="152"/>
      <c r="O247" s="152"/>
      <c r="P247" s="152"/>
      <c r="Q247" s="358" t="s">
        <v>416</v>
      </c>
    </row>
    <row r="248" spans="1:17" ht="15.75" hidden="1">
      <c r="A248" s="247"/>
      <c r="B248" s="218"/>
      <c r="C248" s="239"/>
      <c r="D248" s="203"/>
      <c r="E248" s="255"/>
      <c r="F248" s="253"/>
      <c r="G248" s="152"/>
      <c r="H248" s="152"/>
      <c r="I248" s="152"/>
      <c r="J248" s="152"/>
      <c r="K248" s="152"/>
      <c r="L248" s="152"/>
      <c r="M248" s="152"/>
      <c r="N248" s="152"/>
      <c r="O248" s="152"/>
      <c r="P248" s="152"/>
      <c r="Q248" s="337"/>
    </row>
    <row r="249" spans="1:17" ht="18.75" hidden="1" thickBot="1">
      <c r="A249" s="231">
        <f>'ATT H-2A'!A259</f>
        <v>155</v>
      </c>
      <c r="B249" s="278"/>
      <c r="C249" s="305" t="str">
        <f>'ATT H-2A'!C259</f>
        <v>Net Revenue Requirement</v>
      </c>
      <c r="D249" s="306"/>
      <c r="E249" s="307"/>
      <c r="F249" s="308" t="str">
        <f>'ATT H-2A'!F259</f>
        <v>(Line 152 - 153 + 154)</v>
      </c>
      <c r="G249" s="152"/>
      <c r="H249" s="152"/>
      <c r="I249" s="152"/>
      <c r="J249" s="152"/>
      <c r="K249" s="152"/>
      <c r="L249" s="152"/>
      <c r="M249" s="152"/>
      <c r="N249" s="152"/>
      <c r="O249" s="152"/>
      <c r="P249" s="152"/>
      <c r="Q249" s="337"/>
    </row>
    <row r="250" spans="1:17" ht="15.75" hidden="1">
      <c r="A250" s="247"/>
      <c r="B250" s="218"/>
      <c r="C250" s="239"/>
      <c r="D250" s="203"/>
      <c r="E250" s="255"/>
      <c r="F250" s="253"/>
      <c r="G250" s="152"/>
      <c r="H250" s="152"/>
      <c r="I250" s="152"/>
      <c r="J250" s="152"/>
      <c r="K250" s="152"/>
      <c r="L250" s="152"/>
      <c r="M250" s="152"/>
      <c r="N250" s="152"/>
      <c r="O250" s="152"/>
      <c r="P250" s="152"/>
      <c r="Q250" s="337"/>
    </row>
    <row r="251" spans="1:17" ht="15.75" hidden="1">
      <c r="A251" s="247"/>
      <c r="B251" s="241" t="str">
        <f>'ATT H-2A'!B261</f>
        <v>Net Plant Carrying Charge</v>
      </c>
      <c r="C251" s="229"/>
      <c r="D251" s="193"/>
      <c r="E251" s="194"/>
      <c r="F251" s="253"/>
      <c r="G251" s="152"/>
      <c r="H251" s="152"/>
      <c r="I251" s="152"/>
      <c r="J251" s="152"/>
      <c r="K251" s="152"/>
      <c r="L251" s="152"/>
      <c r="M251" s="152"/>
      <c r="N251" s="152"/>
      <c r="O251" s="152"/>
      <c r="P251" s="152"/>
      <c r="Q251" s="337"/>
    </row>
    <row r="252" spans="1:17" ht="15.75" hidden="1">
      <c r="A252" s="267">
        <f>'ATT H-2A'!A262</f>
        <v>156</v>
      </c>
      <c r="B252" s="218"/>
      <c r="C252" s="193" t="str">
        <f>'ATT H-2A'!C262</f>
        <v>Net Revenue Requirement</v>
      </c>
      <c r="D252" s="193"/>
      <c r="E252" s="194"/>
      <c r="F252" s="253" t="str">
        <f>'ATT H-2A'!F262</f>
        <v>(Line 155)</v>
      </c>
      <c r="G252" s="152"/>
      <c r="H252" s="152"/>
      <c r="I252" s="152"/>
      <c r="J252" s="152"/>
      <c r="K252" s="152"/>
      <c r="L252" s="152"/>
      <c r="M252" s="152"/>
      <c r="N252" s="152"/>
      <c r="O252" s="152"/>
      <c r="P252" s="152"/>
      <c r="Q252" s="337"/>
    </row>
    <row r="253" spans="1:17" ht="15.75" hidden="1">
      <c r="A253" s="267">
        <f>'ATT H-2A'!A263</f>
        <v>157</v>
      </c>
      <c r="B253" s="218"/>
      <c r="C253" s="193" t="str">
        <f>'ATT H-2A'!C263</f>
        <v>Net Transmission Plant</v>
      </c>
      <c r="D253" s="193"/>
      <c r="E253" s="194"/>
      <c r="F253" s="253" t="str">
        <f>'ATT H-2A'!F263</f>
        <v>(Line 19 - 30)</v>
      </c>
      <c r="G253" s="152"/>
      <c r="H253" s="152"/>
      <c r="I253" s="152"/>
      <c r="J253" s="152"/>
      <c r="K253" s="152"/>
      <c r="L253" s="152"/>
      <c r="M253" s="152"/>
      <c r="N253" s="152"/>
      <c r="O253" s="152"/>
      <c r="P253" s="152"/>
      <c r="Q253" s="337"/>
    </row>
    <row r="254" spans="1:17" ht="15.75" hidden="1">
      <c r="A254" s="267">
        <f>'ATT H-2A'!A264</f>
        <v>158</v>
      </c>
      <c r="B254" s="218"/>
      <c r="C254" s="193" t="str">
        <f>'ATT H-2A'!C264</f>
        <v xml:space="preserve">Net Plant Carrying Charge </v>
      </c>
      <c r="D254" s="193"/>
      <c r="E254" s="194"/>
      <c r="F254" s="253" t="str">
        <f>'ATT H-2A'!F264</f>
        <v>(Line 156 / 157)</v>
      </c>
      <c r="G254" s="152"/>
      <c r="H254" s="152"/>
      <c r="I254" s="152"/>
      <c r="J254" s="152"/>
      <c r="K254" s="152"/>
      <c r="L254" s="152"/>
      <c r="M254" s="152"/>
      <c r="N254" s="152"/>
      <c r="O254" s="152"/>
      <c r="P254" s="152"/>
      <c r="Q254" s="337"/>
    </row>
    <row r="255" spans="1:17" ht="15.75" hidden="1">
      <c r="A255" s="267">
        <f>'ATT H-2A'!A265</f>
        <v>159</v>
      </c>
      <c r="B255" s="218"/>
      <c r="C255" s="193" t="str">
        <f>'ATT H-2A'!C265</f>
        <v>Net Plant Carrying Charge without Depreciation</v>
      </c>
      <c r="D255" s="193"/>
      <c r="E255" s="194"/>
      <c r="F255" s="253" t="str">
        <f>'ATT H-2A'!F265</f>
        <v>(Line 156 - 85) / 157</v>
      </c>
      <c r="G255" s="152"/>
      <c r="H255" s="152"/>
      <c r="I255" s="152"/>
      <c r="J255" s="152"/>
      <c r="K255" s="152"/>
      <c r="L255" s="152"/>
      <c r="M255" s="152"/>
      <c r="N255" s="152"/>
      <c r="O255" s="152"/>
      <c r="P255" s="152"/>
      <c r="Q255" s="337"/>
    </row>
    <row r="256" spans="1:17" ht="15.75" hidden="1">
      <c r="A256" s="267">
        <f>'ATT H-2A'!A266</f>
        <v>160</v>
      </c>
      <c r="B256" s="237"/>
      <c r="C256" s="193" t="str">
        <f>'ATT H-2A'!C266</f>
        <v>Net Plant Carrying Charge without Depreciation, Return, nor Income Taxes</v>
      </c>
      <c r="D256" s="193"/>
      <c r="E256" s="224"/>
      <c r="F256" s="281" t="str">
        <f>'ATT H-2A'!F266</f>
        <v>(Line 156 - 85 - 126 - 137) / 157</v>
      </c>
      <c r="G256" s="152"/>
      <c r="H256" s="152"/>
      <c r="I256" s="152"/>
      <c r="J256" s="152"/>
      <c r="K256" s="152"/>
      <c r="L256" s="152"/>
      <c r="M256" s="152"/>
      <c r="N256" s="152"/>
      <c r="O256" s="152"/>
      <c r="P256" s="152"/>
      <c r="Q256" s="337"/>
    </row>
    <row r="257" spans="1:17" ht="15.75" hidden="1">
      <c r="A257" s="247"/>
      <c r="B257" s="218"/>
      <c r="C257" s="239"/>
      <c r="D257" s="203"/>
      <c r="E257" s="255"/>
      <c r="F257" s="253"/>
      <c r="G257" s="152"/>
      <c r="H257" s="152"/>
      <c r="I257" s="152"/>
      <c r="J257" s="152"/>
      <c r="K257" s="152"/>
      <c r="L257" s="152"/>
      <c r="M257" s="152"/>
      <c r="N257" s="152"/>
      <c r="O257" s="152"/>
      <c r="P257" s="152"/>
      <c r="Q257" s="337"/>
    </row>
    <row r="258" spans="1:17" ht="15.75" hidden="1">
      <c r="A258" s="247"/>
      <c r="B258" s="218"/>
      <c r="C258" s="239"/>
      <c r="D258" s="203"/>
      <c r="E258" s="255"/>
      <c r="F258" s="253"/>
      <c r="G258" s="152"/>
      <c r="H258" s="152"/>
      <c r="I258" s="152"/>
      <c r="J258" s="152"/>
      <c r="K258" s="152"/>
      <c r="L258" s="152"/>
      <c r="M258" s="152"/>
      <c r="N258" s="152"/>
      <c r="O258" s="152"/>
      <c r="P258" s="152"/>
      <c r="Q258" s="337"/>
    </row>
    <row r="259" spans="1:17" ht="15.75" hidden="1">
      <c r="A259" s="256"/>
      <c r="B259" s="241" t="str">
        <f>'ATT H-2A'!B269</f>
        <v>Net Plant Carrying Charge Calculation per 100 basis point increase in ROE</v>
      </c>
      <c r="C259" s="193"/>
      <c r="D259" s="193"/>
      <c r="E259" s="194"/>
      <c r="F259" s="253"/>
      <c r="G259" s="152"/>
      <c r="H259" s="152"/>
      <c r="I259" s="152"/>
      <c r="J259" s="152"/>
      <c r="K259" s="152"/>
      <c r="L259" s="152"/>
      <c r="M259" s="152"/>
      <c r="N259" s="152"/>
      <c r="O259" s="152"/>
      <c r="P259" s="152"/>
      <c r="Q259" s="337"/>
    </row>
    <row r="260" spans="1:17" ht="15.75" hidden="1">
      <c r="A260" s="267">
        <f>'ATT H-2A'!A270</f>
        <v>161</v>
      </c>
      <c r="B260" s="218"/>
      <c r="C260" s="193" t="str">
        <f>'ATT H-2A'!C270</f>
        <v>Net Revenue Requirement Less Return and Taxes</v>
      </c>
      <c r="D260" s="193"/>
      <c r="E260" s="194"/>
      <c r="F260" s="293" t="str">
        <f>'ATT H-2A'!F270</f>
        <v>(Line 155 - 144 - 145)</v>
      </c>
      <c r="G260" s="152"/>
      <c r="H260" s="152"/>
      <c r="I260" s="152"/>
      <c r="J260" s="152"/>
      <c r="K260" s="152"/>
      <c r="L260" s="152"/>
      <c r="M260" s="152"/>
      <c r="N260" s="152"/>
      <c r="O260" s="152"/>
      <c r="P260" s="152"/>
      <c r="Q260" s="337"/>
    </row>
    <row r="261" spans="1:17" ht="15.75" hidden="1">
      <c r="A261" s="267">
        <f>'ATT H-2A'!A271</f>
        <v>162</v>
      </c>
      <c r="B261" s="218"/>
      <c r="C261" s="193" t="str">
        <f>'ATT H-2A'!C271</f>
        <v xml:space="preserve">Return and Taxes per 100 basis point increase in ROE </v>
      </c>
      <c r="D261" s="193"/>
      <c r="E261" s="194"/>
      <c r="F261" s="253" t="str">
        <f>'ATT H-2A'!F271</f>
        <v>Attachment 4</v>
      </c>
      <c r="G261" s="152"/>
      <c r="H261" s="152"/>
      <c r="I261" s="152"/>
      <c r="J261" s="152"/>
      <c r="K261" s="152"/>
      <c r="L261" s="152"/>
      <c r="M261" s="152"/>
      <c r="N261" s="152"/>
      <c r="O261" s="152"/>
      <c r="P261" s="152"/>
      <c r="Q261" s="337"/>
    </row>
    <row r="262" spans="1:17" ht="15.75" hidden="1">
      <c r="A262" s="267">
        <f>'ATT H-2A'!A272</f>
        <v>163</v>
      </c>
      <c r="B262" s="218"/>
      <c r="C262" s="193" t="str">
        <f>'ATT H-2A'!C272</f>
        <v xml:space="preserve">Net Revenue Requirement per 100 basis point increase in ROE </v>
      </c>
      <c r="D262" s="193"/>
      <c r="E262" s="194"/>
      <c r="F262" s="293" t="str">
        <f>'ATT H-2A'!F272</f>
        <v>(Line 161 + 162)</v>
      </c>
      <c r="G262" s="152"/>
      <c r="H262" s="152"/>
      <c r="I262" s="152"/>
      <c r="J262" s="152"/>
      <c r="K262" s="152"/>
      <c r="L262" s="152"/>
      <c r="M262" s="152"/>
      <c r="N262" s="152"/>
      <c r="O262" s="152"/>
      <c r="P262" s="152"/>
      <c r="Q262" s="337"/>
    </row>
    <row r="263" spans="1:17" ht="15.75" hidden="1">
      <c r="A263" s="267">
        <f>'ATT H-2A'!A273</f>
        <v>164</v>
      </c>
      <c r="B263" s="218"/>
      <c r="C263" s="193" t="str">
        <f>'ATT H-2A'!C273</f>
        <v>Net Transmission Plant</v>
      </c>
      <c r="D263" s="193"/>
      <c r="E263" s="194"/>
      <c r="F263" s="253" t="str">
        <f>'ATT H-2A'!F273</f>
        <v>(Line 19 - 30)</v>
      </c>
      <c r="G263" s="152"/>
      <c r="H263" s="152"/>
      <c r="I263" s="152"/>
      <c r="J263" s="152"/>
      <c r="K263" s="152"/>
      <c r="L263" s="152"/>
      <c r="M263" s="152"/>
      <c r="N263" s="152"/>
      <c r="O263" s="152"/>
      <c r="P263" s="152"/>
      <c r="Q263" s="337"/>
    </row>
    <row r="264" spans="1:17" ht="15.75" hidden="1">
      <c r="A264" s="267">
        <f>'ATT H-2A'!A274</f>
        <v>165</v>
      </c>
      <c r="B264" s="218"/>
      <c r="C264" s="193" t="str">
        <f>'ATT H-2A'!C274</f>
        <v xml:space="preserve">Net Plant Carrying Charge per 100 basis point increase in ROE </v>
      </c>
      <c r="D264" s="193"/>
      <c r="E264" s="194"/>
      <c r="F264" s="253" t="str">
        <f>'ATT H-2A'!F274</f>
        <v>(Line 163 / 164)</v>
      </c>
      <c r="G264" s="152"/>
      <c r="H264" s="152"/>
      <c r="I264" s="152"/>
      <c r="J264" s="152"/>
      <c r="K264" s="152"/>
      <c r="L264" s="152"/>
      <c r="M264" s="152"/>
      <c r="N264" s="152"/>
      <c r="O264" s="152"/>
      <c r="P264" s="152"/>
      <c r="Q264" s="337"/>
    </row>
    <row r="265" spans="1:17" ht="15.75" hidden="1">
      <c r="A265" s="267">
        <f>'ATT H-2A'!A275</f>
        <v>166</v>
      </c>
      <c r="B265" s="218"/>
      <c r="C265" s="193" t="str">
        <f>'ATT H-2A'!C275</f>
        <v>Net Plant Carrying Charge per 100 basis point increase in ROE without Depreciation</v>
      </c>
      <c r="D265" s="193"/>
      <c r="E265" s="194"/>
      <c r="F265" s="253" t="str">
        <f>'ATT H-2A'!F275</f>
        <v>(Line 162 - 85) / 164</v>
      </c>
      <c r="G265" s="152"/>
      <c r="H265" s="152"/>
      <c r="I265" s="152"/>
      <c r="J265" s="152"/>
      <c r="K265" s="152"/>
      <c r="L265" s="152"/>
      <c r="M265" s="152"/>
      <c r="N265" s="152"/>
      <c r="O265" s="152"/>
      <c r="P265" s="152"/>
      <c r="Q265" s="337"/>
    </row>
    <row r="266" spans="1:17" ht="15.75" hidden="1">
      <c r="A266" s="247"/>
      <c r="B266" s="218"/>
      <c r="C266" s="239"/>
      <c r="D266" s="203"/>
      <c r="E266" s="255"/>
      <c r="F266" s="253"/>
      <c r="G266" s="152"/>
      <c r="H266" s="152"/>
      <c r="I266" s="152"/>
      <c r="J266" s="152"/>
      <c r="K266" s="152"/>
      <c r="L266" s="152"/>
      <c r="M266" s="152"/>
      <c r="N266" s="152"/>
      <c r="O266" s="152"/>
      <c r="P266" s="152"/>
      <c r="Q266" s="337"/>
    </row>
    <row r="267" spans="1:17" ht="15.75" hidden="1">
      <c r="A267" s="267">
        <f>'ATT H-2A'!A277</f>
        <v>167</v>
      </c>
      <c r="B267" s="218"/>
      <c r="C267" s="241" t="str">
        <f>'ATT H-2A'!C277</f>
        <v>Net Revenue Requirement</v>
      </c>
      <c r="D267" s="193"/>
      <c r="E267" s="224"/>
      <c r="F267" s="253" t="str">
        <f>'ATT H-2A'!F277</f>
        <v>(Line 155)</v>
      </c>
      <c r="G267" s="152"/>
      <c r="H267" s="152"/>
      <c r="I267" s="152"/>
      <c r="J267" s="152"/>
      <c r="K267" s="152"/>
      <c r="L267" s="152"/>
      <c r="M267" s="152"/>
      <c r="N267" s="152"/>
      <c r="O267" s="152"/>
      <c r="P267" s="152"/>
      <c r="Q267" s="337"/>
    </row>
    <row r="268" spans="1:17" ht="15.75" hidden="1">
      <c r="A268" s="267" t="e">
        <f>'ATT H-2A'!#REF!</f>
        <v>#REF!</v>
      </c>
      <c r="B268" s="218"/>
      <c r="C268" s="124" t="e">
        <f>'ATT H-2A'!#REF!</f>
        <v>#REF!</v>
      </c>
      <c r="D268" s="193"/>
      <c r="E268" s="224"/>
      <c r="F268" s="253" t="e">
        <f>'ATT H-2A'!#REF!</f>
        <v>#REF!</v>
      </c>
      <c r="G268" s="152"/>
      <c r="H268" s="152"/>
      <c r="I268" s="152"/>
      <c r="J268" s="152"/>
      <c r="K268" s="152"/>
      <c r="L268" s="152"/>
      <c r="M268" s="152"/>
      <c r="N268" s="152"/>
      <c r="O268" s="152"/>
      <c r="P268" s="152"/>
      <c r="Q268" s="337"/>
    </row>
    <row r="269" spans="1:17" ht="15.75" hidden="1">
      <c r="A269" s="267">
        <f>'ATT H-2A'!A281</f>
        <v>171</v>
      </c>
      <c r="B269" s="218"/>
      <c r="C269" s="241" t="str">
        <f>'ATT H-2A'!C281</f>
        <v>Net Zonal Revenue Requirement</v>
      </c>
      <c r="D269" s="193"/>
      <c r="E269" s="224"/>
      <c r="F269" s="253" t="str">
        <f>'ATT H-2A'!F281</f>
        <v>(Line 167 + 168 + 169+ 170)</v>
      </c>
      <c r="G269" s="152"/>
      <c r="H269" s="152"/>
      <c r="I269" s="152"/>
      <c r="J269" s="152"/>
      <c r="K269" s="152"/>
      <c r="L269" s="152"/>
      <c r="M269" s="152"/>
      <c r="N269" s="152"/>
      <c r="O269" s="152"/>
      <c r="P269" s="152"/>
      <c r="Q269" s="337"/>
    </row>
    <row r="270" spans="1:17" ht="15.75" hidden="1">
      <c r="A270" s="247"/>
      <c r="B270" s="218"/>
      <c r="C270" s="239"/>
      <c r="D270" s="203"/>
      <c r="E270" s="255"/>
      <c r="F270" s="253"/>
      <c r="G270" s="152"/>
      <c r="H270" s="152"/>
      <c r="I270" s="152"/>
      <c r="J270" s="152"/>
      <c r="K270" s="152"/>
      <c r="L270" s="152"/>
      <c r="M270" s="152"/>
      <c r="N270" s="152"/>
      <c r="O270" s="152"/>
      <c r="P270" s="152"/>
      <c r="Q270" s="337"/>
    </row>
    <row r="271" spans="1:17" ht="15.75">
      <c r="A271" s="256"/>
      <c r="B271" s="233" t="str">
        <f>'ATT H-2A'!B283</f>
        <v>Network Zonal Service Rate</v>
      </c>
      <c r="C271" s="193"/>
      <c r="D271" s="193"/>
      <c r="E271" s="194"/>
      <c r="F271" s="253"/>
      <c r="G271" s="152"/>
      <c r="H271" s="152"/>
      <c r="I271" s="152"/>
      <c r="J271" s="152"/>
      <c r="K271" s="152"/>
      <c r="L271" s="152"/>
      <c r="M271" s="152"/>
      <c r="N271" s="152"/>
      <c r="O271" s="152"/>
      <c r="P271" s="152"/>
      <c r="Q271" s="337"/>
    </row>
    <row r="272" spans="1:17" ht="16.5" thickBot="1">
      <c r="A272" s="309">
        <f>'ATT H-2A'!A284</f>
        <v>172</v>
      </c>
      <c r="B272" s="310"/>
      <c r="C272" s="311" t="str">
        <f>'ATT H-2A'!C284</f>
        <v>1 CP Peak</v>
      </c>
      <c r="D272" s="311"/>
      <c r="E272" s="312" t="str">
        <f>'ATT H-2A'!E284</f>
        <v>(Note L)</v>
      </c>
      <c r="F272" s="313" t="str">
        <f>'ATT H-2A'!F284</f>
        <v>PJM Data</v>
      </c>
      <c r="G272" s="338"/>
      <c r="H272" s="338"/>
      <c r="I272" s="338"/>
      <c r="J272" s="338"/>
      <c r="K272" s="338"/>
      <c r="L272" s="338"/>
      <c r="M272" s="338"/>
      <c r="N272" s="338"/>
      <c r="O272" s="352" t="s">
        <v>416</v>
      </c>
      <c r="P272" s="338"/>
      <c r="Q272" s="350"/>
    </row>
    <row r="273" spans="1:17" ht="15.75" hidden="1">
      <c r="A273" s="267">
        <f>'ATT H-2A'!A285</f>
        <v>173</v>
      </c>
      <c r="B273" s="218"/>
      <c r="C273" s="124" t="str">
        <f>'ATT H-2A'!C285</f>
        <v>Rate ($/MW-Year)</v>
      </c>
      <c r="D273" s="294">
        <f>'ATT H-2A'!D285</f>
        <v>0</v>
      </c>
      <c r="E273" s="243"/>
      <c r="F273" s="246" t="str">
        <f>'ATT H-2A'!F285</f>
        <v>(Line 171 / 172)</v>
      </c>
      <c r="G273" s="150"/>
      <c r="H273" s="150"/>
      <c r="I273" s="150"/>
      <c r="J273" s="150"/>
      <c r="K273" s="150"/>
      <c r="L273" s="150"/>
      <c r="M273" s="150"/>
      <c r="N273" s="150"/>
      <c r="O273" s="150"/>
      <c r="P273" s="150"/>
      <c r="Q273" s="150"/>
    </row>
    <row r="274" spans="1:17" ht="15.75" hidden="1">
      <c r="A274" s="247"/>
      <c r="B274" s="218"/>
      <c r="C274" s="239"/>
      <c r="D274" s="203"/>
      <c r="E274" s="255"/>
      <c r="F274" s="253"/>
      <c r="G274" s="150"/>
      <c r="H274" s="150"/>
      <c r="I274" s="150"/>
      <c r="J274" s="150"/>
      <c r="K274" s="150"/>
      <c r="L274" s="150"/>
      <c r="M274" s="150"/>
      <c r="N274" s="150"/>
      <c r="O274" s="150"/>
      <c r="P274" s="150"/>
      <c r="Q274" s="150"/>
    </row>
    <row r="275" spans="1:17" ht="18.75" hidden="1" thickBot="1">
      <c r="A275" s="231">
        <f>'ATT H-2A'!A287</f>
        <v>174</v>
      </c>
      <c r="B275" s="244"/>
      <c r="C275" s="240" t="str">
        <f>'ATT H-2A'!C287</f>
        <v>Network Service Rate ($/MW/Year)</v>
      </c>
      <c r="D275" s="244"/>
      <c r="E275" s="244"/>
      <c r="F275" s="295" t="str">
        <f>'ATT H-2A'!F287</f>
        <v>(Line 173)</v>
      </c>
      <c r="G275" s="150"/>
      <c r="H275" s="150"/>
      <c r="I275" s="150"/>
      <c r="J275" s="150"/>
      <c r="K275" s="150"/>
      <c r="L275" s="150"/>
      <c r="M275" s="150"/>
      <c r="N275" s="150"/>
      <c r="O275" s="150"/>
      <c r="P275" s="150"/>
      <c r="Q275" s="150"/>
    </row>
    <row r="276" spans="1:17" ht="15.75" hidden="1">
      <c r="A276" s="192"/>
      <c r="B276" s="192"/>
      <c r="C276" s="191"/>
      <c r="D276" s="127"/>
      <c r="E276" s="201"/>
      <c r="F276" s="136"/>
      <c r="G276" s="150"/>
      <c r="H276" s="150"/>
      <c r="I276" s="150"/>
      <c r="J276" s="150"/>
      <c r="K276" s="150"/>
      <c r="L276" s="150"/>
      <c r="M276" s="150"/>
      <c r="N276" s="150"/>
      <c r="O276" s="150"/>
      <c r="P276" s="150"/>
      <c r="Q276" s="150"/>
    </row>
    <row r="277" spans="1:17" ht="21" hidden="1" customHeight="1">
      <c r="A277" s="232"/>
      <c r="B277" s="233"/>
      <c r="C277" s="124"/>
      <c r="D277" s="124"/>
      <c r="E277" s="125"/>
      <c r="F277" s="126"/>
      <c r="G277" s="150"/>
      <c r="H277" s="150"/>
      <c r="I277" s="150"/>
      <c r="J277" s="150"/>
      <c r="K277" s="150"/>
      <c r="L277" s="150"/>
      <c r="M277" s="150"/>
      <c r="N277" s="150"/>
      <c r="O277" s="150"/>
      <c r="P277" s="150"/>
      <c r="Q277" s="150"/>
    </row>
    <row r="278" spans="1:17" ht="21" hidden="1" customHeight="1">
      <c r="A278" s="232"/>
      <c r="B278" s="218"/>
      <c r="D278" s="124"/>
      <c r="E278" s="125"/>
      <c r="F278" s="126"/>
      <c r="G278" s="150"/>
      <c r="H278" s="150"/>
      <c r="I278" s="150"/>
      <c r="J278" s="150"/>
      <c r="K278" s="150"/>
      <c r="L278" s="150"/>
      <c r="M278" s="150"/>
      <c r="N278" s="150"/>
      <c r="O278" s="150"/>
      <c r="P278" s="150"/>
      <c r="Q278" s="150"/>
    </row>
    <row r="279" spans="1:17" ht="21" hidden="1" customHeight="1" thickBot="1">
      <c r="A279" s="319" t="s">
        <v>413</v>
      </c>
      <c r="B279" s="218"/>
      <c r="D279" s="124"/>
      <c r="E279" s="125"/>
      <c r="F279" s="126"/>
      <c r="G279" s="150"/>
      <c r="H279" s="150"/>
      <c r="I279" s="150"/>
      <c r="J279" s="150"/>
      <c r="K279" s="150"/>
      <c r="L279" s="150"/>
      <c r="M279" s="150"/>
      <c r="N279" s="150"/>
      <c r="O279" s="150"/>
      <c r="P279" s="150"/>
      <c r="Q279" s="150"/>
    </row>
    <row r="280" spans="1:17" ht="56.25" hidden="1" customHeight="1">
      <c r="A280" s="1075" t="s">
        <v>406</v>
      </c>
      <c r="B280" s="1076"/>
      <c r="C280" s="1076"/>
      <c r="D280" s="1076"/>
      <c r="E280" s="1076"/>
      <c r="F280" s="1076"/>
      <c r="G280" s="351" t="s">
        <v>422</v>
      </c>
      <c r="H280" s="348"/>
      <c r="I280" s="348" t="s">
        <v>407</v>
      </c>
      <c r="J280" s="1063" t="s">
        <v>345</v>
      </c>
      <c r="K280" s="1065"/>
      <c r="L280" s="1065"/>
      <c r="M280" s="1065"/>
      <c r="N280" s="1065"/>
      <c r="O280" s="1065"/>
      <c r="P280" s="1065"/>
      <c r="Q280" s="1065"/>
    </row>
    <row r="281" spans="1:17" ht="15.75" hidden="1">
      <c r="A281" s="249"/>
      <c r="B281" s="239" t="s">
        <v>215</v>
      </c>
      <c r="C281" s="124"/>
      <c r="D281" s="229"/>
      <c r="E281" s="194"/>
      <c r="F281" s="229"/>
      <c r="G281" s="339"/>
      <c r="H281" s="152"/>
      <c r="I281" s="152"/>
      <c r="J281" s="1068"/>
      <c r="K281" s="1060"/>
      <c r="L281" s="1060"/>
      <c r="M281" s="1060"/>
      <c r="N281" s="1060"/>
      <c r="O281" s="1060"/>
      <c r="P281" s="1060"/>
      <c r="Q281" s="1060"/>
    </row>
    <row r="282" spans="1:17" ht="15.75" hidden="1">
      <c r="A282" s="256">
        <v>7</v>
      </c>
      <c r="B282" s="229"/>
      <c r="C282" s="193" t="s">
        <v>107</v>
      </c>
      <c r="D282" s="124"/>
      <c r="E282" s="202" t="s">
        <v>262</v>
      </c>
      <c r="F282" s="213" t="s">
        <v>44</v>
      </c>
      <c r="G282" s="341" t="s">
        <v>425</v>
      </c>
      <c r="H282" s="189"/>
      <c r="I282" s="189" t="s">
        <v>425</v>
      </c>
      <c r="J282" s="1059" t="s">
        <v>424</v>
      </c>
      <c r="K282" s="1060"/>
      <c r="L282" s="1060"/>
      <c r="M282" s="1060"/>
      <c r="N282" s="1060"/>
      <c r="O282" s="1060"/>
      <c r="P282" s="1060"/>
      <c r="Q282" s="1060"/>
    </row>
    <row r="283" spans="1:17" ht="15.75" hidden="1">
      <c r="A283" s="256">
        <v>10</v>
      </c>
      <c r="B283" s="229"/>
      <c r="C283" s="193" t="s">
        <v>245</v>
      </c>
      <c r="D283" s="124"/>
      <c r="E283" s="202" t="s">
        <v>93</v>
      </c>
      <c r="F283" s="209" t="s">
        <v>258</v>
      </c>
      <c r="G283" s="341" t="s">
        <v>425</v>
      </c>
      <c r="H283" s="189"/>
      <c r="I283" s="189" t="s">
        <v>425</v>
      </c>
      <c r="J283" s="1059" t="s">
        <v>424</v>
      </c>
      <c r="K283" s="1060"/>
      <c r="L283" s="1060"/>
      <c r="M283" s="1060"/>
      <c r="N283" s="1060"/>
      <c r="O283" s="1060"/>
      <c r="P283" s="1060"/>
      <c r="Q283" s="1060"/>
    </row>
    <row r="284" spans="1:17" ht="15.75" hidden="1">
      <c r="A284" s="256">
        <v>11</v>
      </c>
      <c r="B284" s="229"/>
      <c r="C284" s="193" t="s">
        <v>209</v>
      </c>
      <c r="D284" s="124"/>
      <c r="E284" s="202" t="s">
        <v>226</v>
      </c>
      <c r="F284" s="209" t="s">
        <v>44</v>
      </c>
      <c r="G284" s="341" t="s">
        <v>425</v>
      </c>
      <c r="H284" s="189"/>
      <c r="I284" s="189" t="s">
        <v>425</v>
      </c>
      <c r="J284" s="1059" t="s">
        <v>424</v>
      </c>
      <c r="K284" s="1060"/>
      <c r="L284" s="1060"/>
      <c r="M284" s="1060"/>
      <c r="N284" s="1060"/>
      <c r="O284" s="1060"/>
      <c r="P284" s="1060"/>
      <c r="Q284" s="1060"/>
    </row>
    <row r="285" spans="1:17" ht="15.75" hidden="1">
      <c r="A285" s="256">
        <v>12</v>
      </c>
      <c r="B285" s="124"/>
      <c r="C285" s="203" t="s">
        <v>246</v>
      </c>
      <c r="D285" s="124"/>
      <c r="E285" s="202" t="s">
        <v>226</v>
      </c>
      <c r="F285" s="209" t="s">
        <v>44</v>
      </c>
      <c r="G285" s="341" t="s">
        <v>425</v>
      </c>
      <c r="H285" s="189"/>
      <c r="I285" s="189" t="s">
        <v>425</v>
      </c>
      <c r="J285" s="1059" t="s">
        <v>424</v>
      </c>
      <c r="K285" s="1060"/>
      <c r="L285" s="1060"/>
      <c r="M285" s="1060"/>
      <c r="N285" s="1060"/>
      <c r="O285" s="1060"/>
      <c r="P285" s="1060"/>
      <c r="Q285" s="1060"/>
    </row>
    <row r="286" spans="1:17" ht="15.75" hidden="1">
      <c r="A286" s="249"/>
      <c r="B286" s="239" t="s">
        <v>161</v>
      </c>
      <c r="C286" s="124"/>
      <c r="D286" s="124"/>
      <c r="E286" s="255"/>
      <c r="F286" s="213"/>
      <c r="G286" s="339"/>
      <c r="H286" s="152"/>
      <c r="I286" s="152"/>
      <c r="J286" s="1059"/>
      <c r="K286" s="1060"/>
      <c r="L286" s="1060"/>
      <c r="M286" s="1060"/>
      <c r="N286" s="1060"/>
      <c r="O286" s="1060"/>
      <c r="P286" s="1060"/>
      <c r="Q286" s="1060"/>
    </row>
    <row r="287" spans="1:17" ht="15.75" hidden="1">
      <c r="A287" s="256">
        <v>21</v>
      </c>
      <c r="B287" s="218"/>
      <c r="C287" s="210" t="s">
        <v>114</v>
      </c>
      <c r="D287" s="124"/>
      <c r="E287" s="202" t="s">
        <v>262</v>
      </c>
      <c r="F287" s="213" t="s">
        <v>44</v>
      </c>
      <c r="G287" s="341" t="s">
        <v>425</v>
      </c>
      <c r="H287" s="189"/>
      <c r="I287" s="189" t="s">
        <v>425</v>
      </c>
      <c r="J287" s="1059" t="s">
        <v>424</v>
      </c>
      <c r="K287" s="1060"/>
      <c r="L287" s="1060"/>
      <c r="M287" s="1060"/>
      <c r="N287" s="1060"/>
      <c r="O287" s="1060"/>
      <c r="P287" s="1060"/>
      <c r="Q287" s="1060"/>
    </row>
    <row r="288" spans="1:17" ht="15.75" hidden="1">
      <c r="A288" s="256"/>
      <c r="B288" s="239" t="s">
        <v>102</v>
      </c>
      <c r="C288" s="239"/>
      <c r="D288" s="213"/>
      <c r="E288" s="211"/>
      <c r="F288" s="209"/>
      <c r="G288" s="339"/>
      <c r="H288" s="152"/>
      <c r="I288" s="152"/>
      <c r="J288" s="1059"/>
      <c r="K288" s="1060"/>
      <c r="L288" s="1060"/>
      <c r="M288" s="1060"/>
      <c r="N288" s="1060"/>
      <c r="O288" s="1060"/>
      <c r="P288" s="1060"/>
      <c r="Q288" s="1060"/>
    </row>
    <row r="289" spans="1:17" ht="15.75" hidden="1">
      <c r="A289" s="256">
        <v>30</v>
      </c>
      <c r="B289" s="218"/>
      <c r="C289" s="210" t="s">
        <v>209</v>
      </c>
      <c r="D289" s="124"/>
      <c r="E289" s="202" t="s">
        <v>226</v>
      </c>
      <c r="F289" s="209" t="s">
        <v>420</v>
      </c>
      <c r="G289" s="341" t="s">
        <v>425</v>
      </c>
      <c r="H289" s="189"/>
      <c r="I289" s="189" t="s">
        <v>425</v>
      </c>
      <c r="J289" s="1059" t="s">
        <v>424</v>
      </c>
      <c r="K289" s="1060"/>
      <c r="L289" s="1060"/>
      <c r="M289" s="1060"/>
      <c r="N289" s="1060"/>
      <c r="O289" s="1060"/>
      <c r="P289" s="1060"/>
      <c r="Q289" s="1060"/>
    </row>
    <row r="290" spans="1:17" ht="15.75" hidden="1">
      <c r="A290" s="256">
        <v>31</v>
      </c>
      <c r="B290" s="218"/>
      <c r="C290" s="210" t="s">
        <v>158</v>
      </c>
      <c r="D290" s="124"/>
      <c r="E290" s="202" t="s">
        <v>226</v>
      </c>
      <c r="F290" s="209" t="s">
        <v>421</v>
      </c>
      <c r="G290" s="341" t="s">
        <v>425</v>
      </c>
      <c r="H290" s="189"/>
      <c r="I290" s="189" t="s">
        <v>425</v>
      </c>
      <c r="J290" s="1059" t="s">
        <v>424</v>
      </c>
      <c r="K290" s="1060"/>
      <c r="L290" s="1060"/>
      <c r="M290" s="1060"/>
      <c r="N290" s="1060"/>
      <c r="O290" s="1060"/>
      <c r="P290" s="1060"/>
      <c r="Q290" s="1060"/>
    </row>
    <row r="291" spans="1:17" ht="15.75" hidden="1">
      <c r="A291" s="262"/>
      <c r="B291" s="212" t="s">
        <v>296</v>
      </c>
      <c r="C291" s="124"/>
      <c r="D291" s="193"/>
      <c r="E291" s="263"/>
      <c r="F291" s="229"/>
      <c r="G291" s="339"/>
      <c r="H291" s="152"/>
      <c r="I291" s="152"/>
      <c r="J291" s="1059"/>
      <c r="K291" s="1060"/>
      <c r="L291" s="1060"/>
      <c r="M291" s="1060"/>
      <c r="N291" s="1060"/>
      <c r="O291" s="1060"/>
      <c r="P291" s="1060"/>
      <c r="Q291" s="1060"/>
    </row>
    <row r="292" spans="1:17" ht="15.75" hidden="1">
      <c r="A292" s="256">
        <v>40</v>
      </c>
      <c r="B292" s="193"/>
      <c r="C292" s="214" t="s">
        <v>263</v>
      </c>
      <c r="D292" s="215"/>
      <c r="E292" s="216" t="s">
        <v>79</v>
      </c>
      <c r="F292" s="213" t="s">
        <v>80</v>
      </c>
      <c r="G292" s="341" t="s">
        <v>425</v>
      </c>
      <c r="H292" s="189"/>
      <c r="I292" s="189" t="s">
        <v>425</v>
      </c>
      <c r="J292" s="1059" t="s">
        <v>424</v>
      </c>
      <c r="K292" s="1060"/>
      <c r="L292" s="1060"/>
      <c r="M292" s="1060"/>
      <c r="N292" s="1060"/>
      <c r="O292" s="1060"/>
      <c r="P292" s="1060"/>
      <c r="Q292" s="1060"/>
    </row>
    <row r="293" spans="1:17" ht="15.75" hidden="1">
      <c r="A293" s="256"/>
      <c r="B293" s="212" t="s">
        <v>103</v>
      </c>
      <c r="C293" s="220"/>
      <c r="D293" s="124"/>
      <c r="E293" s="194"/>
      <c r="F293" s="297"/>
      <c r="G293" s="339"/>
      <c r="H293" s="152"/>
      <c r="I293" s="152"/>
      <c r="J293" s="1059"/>
      <c r="K293" s="1060"/>
      <c r="L293" s="1060"/>
      <c r="M293" s="1060"/>
      <c r="N293" s="1060"/>
      <c r="O293" s="1060"/>
      <c r="P293" s="1060"/>
      <c r="Q293" s="1060"/>
    </row>
    <row r="294" spans="1:17" ht="15.75" hidden="1">
      <c r="A294" s="256">
        <v>43</v>
      </c>
      <c r="B294" s="269"/>
      <c r="C294" s="220" t="s">
        <v>231</v>
      </c>
      <c r="D294" s="202"/>
      <c r="E294" s="242" t="s">
        <v>226</v>
      </c>
      <c r="F294" s="221" t="s">
        <v>249</v>
      </c>
      <c r="G294" s="341" t="s">
        <v>425</v>
      </c>
      <c r="H294" s="189"/>
      <c r="I294" s="189" t="s">
        <v>425</v>
      </c>
      <c r="J294" s="1059" t="s">
        <v>424</v>
      </c>
      <c r="K294" s="1060"/>
      <c r="L294" s="1060"/>
      <c r="M294" s="1060"/>
      <c r="N294" s="1060"/>
      <c r="O294" s="1060"/>
      <c r="P294" s="1060"/>
      <c r="Q294" s="1060"/>
    </row>
    <row r="295" spans="1:17" ht="15.75" hidden="1">
      <c r="A295" s="256"/>
      <c r="B295" s="212" t="s">
        <v>97</v>
      </c>
      <c r="C295" s="193"/>
      <c r="D295" s="193"/>
      <c r="E295" s="272"/>
      <c r="F295" s="298"/>
      <c r="G295" s="339"/>
      <c r="H295" s="152"/>
      <c r="I295" s="152"/>
      <c r="J295" s="1059"/>
      <c r="K295" s="1060"/>
      <c r="L295" s="1060"/>
      <c r="M295" s="1060"/>
      <c r="N295" s="1060"/>
      <c r="O295" s="1060"/>
      <c r="P295" s="1060"/>
      <c r="Q295" s="1060"/>
    </row>
    <row r="296" spans="1:17" ht="15.75" hidden="1">
      <c r="A296" s="262">
        <v>46</v>
      </c>
      <c r="B296" s="193"/>
      <c r="C296" s="193" t="s">
        <v>164</v>
      </c>
      <c r="D296" s="203"/>
      <c r="E296" s="242" t="s">
        <v>226</v>
      </c>
      <c r="F296" s="220" t="s">
        <v>181</v>
      </c>
      <c r="G296" s="341" t="s">
        <v>425</v>
      </c>
      <c r="H296" s="189"/>
      <c r="I296" s="189" t="s">
        <v>425</v>
      </c>
      <c r="J296" s="1059" t="s">
        <v>424</v>
      </c>
      <c r="K296" s="1060"/>
      <c r="L296" s="1060"/>
      <c r="M296" s="1060"/>
      <c r="N296" s="1060"/>
      <c r="O296" s="1060"/>
      <c r="P296" s="1060"/>
      <c r="Q296" s="1060"/>
    </row>
    <row r="297" spans="1:17" ht="15.75" hidden="1">
      <c r="A297" s="256"/>
      <c r="B297" s="239" t="s">
        <v>86</v>
      </c>
      <c r="C297" s="203"/>
      <c r="D297" s="203"/>
      <c r="E297" s="255"/>
      <c r="F297" s="203"/>
      <c r="G297" s="339"/>
      <c r="H297" s="152"/>
      <c r="I297" s="152"/>
      <c r="J297" s="1059"/>
      <c r="K297" s="1060"/>
      <c r="L297" s="1060"/>
      <c r="M297" s="1060"/>
      <c r="N297" s="1060"/>
      <c r="O297" s="1060"/>
      <c r="P297" s="1060"/>
      <c r="Q297" s="1060"/>
    </row>
    <row r="298" spans="1:17" ht="16.5" hidden="1" thickBot="1">
      <c r="A298" s="309">
        <v>64</v>
      </c>
      <c r="B298" s="314"/>
      <c r="C298" s="315" t="s">
        <v>194</v>
      </c>
      <c r="D298" s="316"/>
      <c r="E298" s="317" t="s">
        <v>226</v>
      </c>
      <c r="F298" s="318" t="s">
        <v>44</v>
      </c>
      <c r="G298" s="346" t="s">
        <v>425</v>
      </c>
      <c r="H298" s="352"/>
      <c r="I298" s="352" t="s">
        <v>425</v>
      </c>
      <c r="J298" s="1061" t="s">
        <v>424</v>
      </c>
      <c r="K298" s="1062"/>
      <c r="L298" s="1062"/>
      <c r="M298" s="1062"/>
      <c r="N298" s="1062"/>
      <c r="O298" s="1062"/>
      <c r="P298" s="1062"/>
      <c r="Q298" s="1062"/>
    </row>
    <row r="299" spans="1:17" ht="21" hidden="1" customHeight="1">
      <c r="G299" s="150"/>
      <c r="H299" s="150"/>
      <c r="I299" s="150"/>
      <c r="J299" s="150"/>
      <c r="K299" s="150"/>
      <c r="L299" s="150"/>
      <c r="M299" s="150"/>
      <c r="N299" s="150"/>
      <c r="O299" s="150"/>
      <c r="P299" s="150"/>
      <c r="Q299" s="150"/>
    </row>
    <row r="300" spans="1:17" ht="21" hidden="1" customHeight="1">
      <c r="G300" s="150"/>
      <c r="H300" s="150"/>
      <c r="I300" s="150"/>
      <c r="J300" s="150"/>
      <c r="K300" s="150"/>
      <c r="L300" s="150"/>
      <c r="M300" s="150"/>
      <c r="N300" s="150"/>
      <c r="O300" s="150"/>
      <c r="P300" s="150"/>
      <c r="Q300" s="150"/>
    </row>
    <row r="301" spans="1:17" ht="21" hidden="1" customHeight="1" thickBot="1">
      <c r="A301" s="319" t="s">
        <v>414</v>
      </c>
      <c r="G301" s="150"/>
      <c r="H301" s="150"/>
      <c r="I301" s="150"/>
      <c r="J301" s="150"/>
      <c r="K301" s="150"/>
      <c r="L301" s="150"/>
      <c r="M301" s="150"/>
      <c r="N301" s="150"/>
      <c r="O301" s="150"/>
      <c r="P301" s="150"/>
      <c r="Q301" s="150"/>
    </row>
    <row r="302" spans="1:17" ht="55.5" hidden="1" customHeight="1">
      <c r="A302" s="1069" t="s">
        <v>406</v>
      </c>
      <c r="B302" s="1070"/>
      <c r="C302" s="1070"/>
      <c r="D302" s="1070"/>
      <c r="E302" s="1070"/>
      <c r="F302" s="1071"/>
      <c r="G302" s="351" t="s">
        <v>422</v>
      </c>
      <c r="H302" s="348"/>
      <c r="I302" s="348" t="s">
        <v>426</v>
      </c>
      <c r="J302" s="1063" t="s">
        <v>345</v>
      </c>
      <c r="K302" s="1065"/>
      <c r="L302" s="1065"/>
      <c r="M302" s="1065"/>
      <c r="N302" s="1065"/>
      <c r="O302" s="1065"/>
      <c r="P302" s="1065"/>
      <c r="Q302" s="1065"/>
    </row>
    <row r="303" spans="1:17" ht="15.75" hidden="1">
      <c r="A303" s="256">
        <v>25</v>
      </c>
      <c r="B303" s="218"/>
      <c r="C303" s="239" t="s">
        <v>337</v>
      </c>
      <c r="D303" s="296"/>
      <c r="E303" s="216" t="s">
        <v>227</v>
      </c>
      <c r="F303" s="246" t="s">
        <v>248</v>
      </c>
      <c r="G303" s="341" t="s">
        <v>425</v>
      </c>
      <c r="H303" s="189"/>
      <c r="I303" s="189" t="s">
        <v>425</v>
      </c>
      <c r="J303" s="1059" t="s">
        <v>424</v>
      </c>
      <c r="K303" s="1060"/>
      <c r="L303" s="1060"/>
      <c r="M303" s="1060"/>
      <c r="N303" s="1060"/>
      <c r="O303" s="1060"/>
      <c r="P303" s="1060"/>
      <c r="Q303" s="1060"/>
    </row>
    <row r="304" spans="1:17" ht="15.75" hidden="1">
      <c r="A304" s="256"/>
      <c r="B304" s="239" t="s">
        <v>85</v>
      </c>
      <c r="C304" s="193"/>
      <c r="D304" s="203"/>
      <c r="E304" s="211"/>
      <c r="F304" s="253"/>
      <c r="G304" s="339"/>
      <c r="H304" s="152"/>
      <c r="I304" s="152"/>
      <c r="J304" s="1059"/>
      <c r="K304" s="1060"/>
      <c r="L304" s="1060"/>
      <c r="M304" s="1060"/>
      <c r="N304" s="1060"/>
      <c r="O304" s="1060"/>
      <c r="P304" s="1060"/>
      <c r="Q304" s="1060"/>
    </row>
    <row r="305" spans="1:17" ht="15.75" hidden="1">
      <c r="A305" s="256">
        <v>73</v>
      </c>
      <c r="B305" s="271"/>
      <c r="C305" s="220" t="s">
        <v>268</v>
      </c>
      <c r="D305" s="202"/>
      <c r="E305" s="242" t="s">
        <v>227</v>
      </c>
      <c r="F305" s="274" t="s">
        <v>37</v>
      </c>
      <c r="G305" s="341" t="s">
        <v>425</v>
      </c>
      <c r="H305" s="189"/>
      <c r="I305" s="189" t="s">
        <v>425</v>
      </c>
      <c r="J305" s="1059" t="s">
        <v>424</v>
      </c>
      <c r="K305" s="1060"/>
      <c r="L305" s="1060"/>
      <c r="M305" s="1060"/>
      <c r="N305" s="1060"/>
      <c r="O305" s="1060"/>
      <c r="P305" s="1060"/>
      <c r="Q305" s="1060"/>
    </row>
    <row r="306" spans="1:17" ht="15.75" hidden="1">
      <c r="A306" s="224"/>
      <c r="B306" s="212"/>
      <c r="C306" s="193"/>
      <c r="D306" s="203"/>
      <c r="E306" s="224"/>
      <c r="F306" s="263"/>
      <c r="G306" s="152"/>
      <c r="H306" s="152"/>
      <c r="I306" s="152"/>
      <c r="J306" s="1059"/>
      <c r="K306" s="1060"/>
      <c r="L306" s="1060"/>
      <c r="M306" s="1060"/>
      <c r="N306" s="1060"/>
      <c r="O306" s="1060"/>
      <c r="P306" s="1060"/>
      <c r="Q306" s="1060"/>
    </row>
    <row r="307" spans="1:17" ht="15.75" hidden="1">
      <c r="A307" s="237"/>
      <c r="B307" s="271"/>
      <c r="C307" s="220"/>
      <c r="D307" s="203"/>
      <c r="E307" s="285"/>
      <c r="F307" s="220"/>
      <c r="G307" s="189" t="s">
        <v>425</v>
      </c>
      <c r="H307" s="189"/>
      <c r="I307" s="189" t="s">
        <v>425</v>
      </c>
      <c r="J307" s="1059" t="s">
        <v>424</v>
      </c>
      <c r="K307" s="1060"/>
      <c r="L307" s="1060"/>
      <c r="M307" s="1060"/>
      <c r="N307" s="1060"/>
      <c r="O307" s="1060"/>
      <c r="P307" s="1060"/>
      <c r="Q307" s="1060"/>
    </row>
    <row r="308" spans="1:17" ht="15.75" hidden="1">
      <c r="A308" s="237"/>
      <c r="B308" s="271"/>
      <c r="C308" s="220"/>
      <c r="D308" s="203"/>
      <c r="E308" s="285"/>
      <c r="F308" s="220"/>
      <c r="G308" s="189" t="s">
        <v>425</v>
      </c>
      <c r="H308" s="189"/>
      <c r="I308" s="189" t="s">
        <v>425</v>
      </c>
      <c r="J308" s="1059" t="s">
        <v>424</v>
      </c>
      <c r="K308" s="1060"/>
      <c r="L308" s="1060"/>
      <c r="M308" s="1060"/>
      <c r="N308" s="1060"/>
      <c r="O308" s="1060"/>
      <c r="P308" s="1060"/>
      <c r="Q308" s="1060"/>
    </row>
    <row r="309" spans="1:17" ht="16.5" hidden="1" thickBot="1">
      <c r="A309" s="237"/>
      <c r="B309" s="271"/>
      <c r="C309" s="220"/>
      <c r="D309" s="203"/>
      <c r="E309" s="285"/>
      <c r="F309" s="220"/>
      <c r="G309" s="352" t="s">
        <v>425</v>
      </c>
      <c r="H309" s="352"/>
      <c r="I309" s="352" t="s">
        <v>425</v>
      </c>
      <c r="J309" s="1061" t="s">
        <v>424</v>
      </c>
      <c r="K309" s="1062"/>
      <c r="L309" s="1062"/>
      <c r="M309" s="1062"/>
      <c r="N309" s="1062"/>
      <c r="O309" s="1062"/>
      <c r="P309" s="1062"/>
      <c r="Q309" s="1062"/>
    </row>
    <row r="310" spans="1:17" ht="21" hidden="1" customHeight="1">
      <c r="A310" s="237"/>
      <c r="B310" s="271"/>
      <c r="C310" s="220"/>
      <c r="D310" s="203"/>
      <c r="E310" s="285"/>
      <c r="F310" s="220"/>
      <c r="G310" s="152"/>
      <c r="H310" s="152"/>
      <c r="I310" s="189"/>
      <c r="J310" s="152"/>
      <c r="K310" s="152"/>
      <c r="L310" s="152"/>
      <c r="M310" s="152"/>
      <c r="N310" s="152"/>
      <c r="O310" s="152"/>
      <c r="P310" s="152"/>
      <c r="Q310" s="152"/>
    </row>
    <row r="311" spans="1:17" ht="21" hidden="1" customHeight="1">
      <c r="A311" s="413"/>
      <c r="B311" s="413"/>
      <c r="C311" s="413"/>
      <c r="D311" s="413"/>
      <c r="E311" s="413"/>
      <c r="F311" s="413"/>
      <c r="G311" s="150"/>
      <c r="H311" s="150"/>
      <c r="I311" s="150"/>
      <c r="J311" s="150"/>
      <c r="K311" s="150"/>
      <c r="L311" s="150"/>
      <c r="M311" s="150"/>
      <c r="N311" s="150"/>
      <c r="O311" s="150"/>
      <c r="P311" s="150"/>
      <c r="Q311" s="150"/>
    </row>
    <row r="312" spans="1:17" ht="21" hidden="1" customHeight="1" thickBot="1">
      <c r="A312" s="319"/>
      <c r="B312" s="413"/>
      <c r="C312" s="413"/>
      <c r="D312" s="413"/>
      <c r="E312" s="413"/>
      <c r="F312" s="413"/>
      <c r="G312" s="150"/>
      <c r="H312" s="150"/>
      <c r="I312" s="150"/>
      <c r="J312" s="150"/>
      <c r="K312" s="150"/>
      <c r="L312" s="150"/>
      <c r="M312" s="150"/>
      <c r="N312" s="150"/>
      <c r="O312" s="150"/>
      <c r="P312" s="150"/>
      <c r="Q312" s="150"/>
    </row>
    <row r="313" spans="1:17" ht="72" hidden="1" customHeight="1">
      <c r="A313" s="1077"/>
      <c r="B313" s="1077"/>
      <c r="C313" s="1077"/>
      <c r="D313" s="1077"/>
      <c r="E313" s="1077"/>
      <c r="F313" s="1077"/>
      <c r="G313" s="348" t="str">
        <f>+G302</f>
        <v>Form 1 Amount</v>
      </c>
      <c r="H313" s="348"/>
      <c r="I313" s="348" t="s">
        <v>502</v>
      </c>
      <c r="J313" s="1063" t="s">
        <v>345</v>
      </c>
      <c r="K313" s="1065"/>
      <c r="L313" s="1065"/>
      <c r="M313" s="1065"/>
      <c r="N313" s="1065"/>
      <c r="O313" s="1065"/>
      <c r="P313" s="1065"/>
      <c r="Q313" s="1065"/>
    </row>
    <row r="314" spans="1:17" ht="15.75" hidden="1">
      <c r="A314" s="224"/>
      <c r="B314" s="239"/>
      <c r="C314" s="203"/>
      <c r="D314" s="193"/>
      <c r="E314" s="224"/>
      <c r="F314" s="193"/>
      <c r="G314" s="152"/>
      <c r="H314" s="152"/>
      <c r="I314" s="152"/>
      <c r="J314" s="1059"/>
      <c r="K314" s="1060"/>
      <c r="L314" s="1060"/>
      <c r="M314" s="1060"/>
      <c r="N314" s="1060"/>
      <c r="O314" s="1060"/>
      <c r="P314" s="1060"/>
      <c r="Q314" s="1060"/>
    </row>
    <row r="315" spans="1:17" ht="15.75" hidden="1">
      <c r="A315" s="256">
        <v>6</v>
      </c>
      <c r="B315" s="229"/>
      <c r="C315" s="193" t="s">
        <v>234</v>
      </c>
      <c r="D315" s="124"/>
      <c r="E315" s="202" t="s">
        <v>299</v>
      </c>
      <c r="F315" s="251" t="s">
        <v>76</v>
      </c>
      <c r="G315" s="341" t="s">
        <v>425</v>
      </c>
      <c r="H315" s="189"/>
      <c r="I315" s="189" t="s">
        <v>425</v>
      </c>
      <c r="J315" s="1059" t="s">
        <v>424</v>
      </c>
      <c r="K315" s="1060"/>
      <c r="L315" s="1060"/>
      <c r="M315" s="1060"/>
      <c r="N315" s="1060"/>
      <c r="O315" s="1060"/>
      <c r="P315" s="1060"/>
      <c r="Q315" s="1060"/>
    </row>
    <row r="316" spans="1:17" ht="15.75" hidden="1">
      <c r="A316" s="256">
        <v>7</v>
      </c>
      <c r="B316" s="229"/>
      <c r="C316" s="193" t="s">
        <v>107</v>
      </c>
      <c r="D316" s="124"/>
      <c r="E316" s="202" t="s">
        <v>262</v>
      </c>
      <c r="F316" s="257" t="s">
        <v>44</v>
      </c>
      <c r="G316" s="341" t="s">
        <v>425</v>
      </c>
      <c r="H316" s="189"/>
      <c r="I316" s="189" t="s">
        <v>425</v>
      </c>
      <c r="J316" s="1059" t="s">
        <v>424</v>
      </c>
      <c r="K316" s="1060"/>
      <c r="L316" s="1060"/>
      <c r="M316" s="1060"/>
      <c r="N316" s="1060"/>
      <c r="O316" s="1060"/>
      <c r="P316" s="1060"/>
      <c r="Q316" s="1060"/>
    </row>
    <row r="317" spans="1:17" ht="15.75" hidden="1">
      <c r="A317" s="249"/>
      <c r="B317" s="239" t="s">
        <v>161</v>
      </c>
      <c r="C317" s="124"/>
      <c r="D317" s="124"/>
      <c r="E317" s="255"/>
      <c r="F317" s="257"/>
      <c r="G317" s="339"/>
      <c r="H317" s="152"/>
      <c r="I317" s="152"/>
      <c r="J317" s="1059"/>
      <c r="K317" s="1060"/>
      <c r="L317" s="1060"/>
      <c r="M317" s="1060"/>
      <c r="N317" s="1060"/>
      <c r="O317" s="1060"/>
      <c r="P317" s="1060"/>
      <c r="Q317" s="1060"/>
    </row>
    <row r="318" spans="1:17" ht="15.75" hidden="1">
      <c r="A318" s="256">
        <v>19</v>
      </c>
      <c r="B318" s="218"/>
      <c r="C318" s="225" t="s">
        <v>198</v>
      </c>
      <c r="D318" s="124"/>
      <c r="E318" s="202" t="s">
        <v>299</v>
      </c>
      <c r="F318" s="257" t="s">
        <v>77</v>
      </c>
      <c r="G318" s="341" t="s">
        <v>425</v>
      </c>
      <c r="H318" s="189"/>
      <c r="I318" s="189" t="s">
        <v>425</v>
      </c>
      <c r="J318" s="1059" t="s">
        <v>424</v>
      </c>
      <c r="K318" s="1060"/>
      <c r="L318" s="1060"/>
      <c r="M318" s="1060"/>
      <c r="N318" s="1060"/>
      <c r="O318" s="1060"/>
      <c r="P318" s="1060"/>
      <c r="Q318" s="1060"/>
    </row>
    <row r="319" spans="1:17" ht="16.5" hidden="1" thickBot="1">
      <c r="A319" s="309">
        <v>21</v>
      </c>
      <c r="B319" s="310"/>
      <c r="C319" s="324" t="s">
        <v>114</v>
      </c>
      <c r="D319" s="311"/>
      <c r="E319" s="325" t="s">
        <v>262</v>
      </c>
      <c r="F319" s="326" t="s">
        <v>44</v>
      </c>
      <c r="G319" s="346" t="s">
        <v>425</v>
      </c>
      <c r="H319" s="352"/>
      <c r="I319" s="352" t="s">
        <v>425</v>
      </c>
      <c r="J319" s="1061" t="s">
        <v>424</v>
      </c>
      <c r="K319" s="1062"/>
      <c r="L319" s="1062"/>
      <c r="M319" s="1062"/>
      <c r="N319" s="1062"/>
      <c r="O319" s="1062"/>
      <c r="P319" s="1062"/>
      <c r="Q319" s="1062"/>
    </row>
    <row r="320" spans="1:17" ht="21" hidden="1" customHeight="1">
      <c r="G320" s="150"/>
      <c r="H320" s="150"/>
      <c r="I320" s="150"/>
      <c r="J320" s="150"/>
      <c r="K320" s="150"/>
      <c r="L320" s="150"/>
      <c r="M320" s="150"/>
      <c r="N320" s="150"/>
      <c r="O320" s="150"/>
      <c r="P320" s="150"/>
      <c r="Q320" s="150"/>
    </row>
    <row r="321" spans="1:17" ht="21" hidden="1" customHeight="1">
      <c r="G321" s="150"/>
      <c r="H321" s="150"/>
      <c r="I321" s="150"/>
      <c r="J321" s="150"/>
      <c r="K321" s="150"/>
      <c r="L321" s="150"/>
      <c r="M321" s="150"/>
      <c r="N321" s="150"/>
      <c r="O321" s="150"/>
      <c r="P321" s="150"/>
      <c r="Q321" s="150"/>
    </row>
    <row r="322" spans="1:17" ht="21" hidden="1" customHeight="1" thickBot="1">
      <c r="A322" s="319" t="s">
        <v>412</v>
      </c>
      <c r="G322" s="150"/>
      <c r="H322" s="150"/>
      <c r="I322" s="150"/>
      <c r="J322" s="150"/>
      <c r="K322" s="150"/>
      <c r="L322" s="150"/>
      <c r="M322" s="150"/>
      <c r="N322" s="150"/>
      <c r="O322" s="150"/>
      <c r="P322" s="150"/>
      <c r="Q322" s="150"/>
    </row>
    <row r="323" spans="1:17" ht="38.25" hidden="1" customHeight="1">
      <c r="A323" s="1069" t="s">
        <v>406</v>
      </c>
      <c r="B323" s="1070"/>
      <c r="C323" s="1070"/>
      <c r="D323" s="1070"/>
      <c r="E323" s="1070"/>
      <c r="F323" s="1071"/>
      <c r="G323" s="348" t="str">
        <f>+G313</f>
        <v>Form 1 Amount</v>
      </c>
      <c r="H323" s="348"/>
      <c r="I323" s="348" t="s">
        <v>408</v>
      </c>
      <c r="J323" s="1063" t="s">
        <v>345</v>
      </c>
      <c r="K323" s="1065"/>
      <c r="L323" s="1065"/>
      <c r="M323" s="1065"/>
      <c r="N323" s="1065"/>
      <c r="O323" s="1065"/>
      <c r="P323" s="1065"/>
      <c r="Q323" s="1065"/>
    </row>
    <row r="324" spans="1:17" ht="15.75" hidden="1">
      <c r="A324" s="256"/>
      <c r="B324" s="239" t="s">
        <v>86</v>
      </c>
      <c r="C324" s="203"/>
      <c r="D324" s="203"/>
      <c r="E324" s="255"/>
      <c r="F324" s="281"/>
      <c r="G324" s="152"/>
      <c r="H324" s="152"/>
      <c r="I324" s="152"/>
      <c r="J324" s="1059"/>
      <c r="K324" s="1060"/>
      <c r="L324" s="1060"/>
      <c r="M324" s="1060"/>
      <c r="N324" s="1060"/>
      <c r="O324" s="1060"/>
      <c r="P324" s="1060"/>
      <c r="Q324" s="1060"/>
    </row>
    <row r="325" spans="1:17" ht="16.5" hidden="1" thickBot="1">
      <c r="A325" s="309">
        <v>69</v>
      </c>
      <c r="B325" s="314"/>
      <c r="C325" s="315" t="s">
        <v>238</v>
      </c>
      <c r="D325" s="327"/>
      <c r="E325" s="328" t="s">
        <v>267</v>
      </c>
      <c r="F325" s="326" t="s">
        <v>210</v>
      </c>
      <c r="G325" s="346" t="s">
        <v>425</v>
      </c>
      <c r="H325" s="352"/>
      <c r="I325" s="352" t="s">
        <v>425</v>
      </c>
      <c r="J325" s="1061" t="s">
        <v>424</v>
      </c>
      <c r="K325" s="1062"/>
      <c r="L325" s="1062"/>
      <c r="M325" s="1062"/>
      <c r="N325" s="1062"/>
      <c r="O325" s="1062"/>
      <c r="P325" s="1062"/>
      <c r="Q325" s="1062"/>
    </row>
    <row r="326" spans="1:17" ht="21" hidden="1" customHeight="1">
      <c r="G326" s="150"/>
      <c r="H326" s="150"/>
      <c r="I326" s="150"/>
      <c r="J326" s="150"/>
      <c r="K326" s="150"/>
      <c r="L326" s="150"/>
      <c r="M326" s="150"/>
      <c r="N326" s="150"/>
      <c r="O326" s="150"/>
      <c r="P326" s="150"/>
      <c r="Q326" s="150"/>
    </row>
    <row r="327" spans="1:17" ht="21" hidden="1" customHeight="1">
      <c r="G327" s="150"/>
      <c r="H327" s="150"/>
      <c r="I327" s="150"/>
      <c r="J327" s="150"/>
      <c r="K327" s="150"/>
      <c r="L327" s="150"/>
      <c r="M327" s="150"/>
      <c r="N327" s="150"/>
      <c r="O327" s="150"/>
      <c r="P327" s="150"/>
      <c r="Q327" s="150"/>
    </row>
    <row r="328" spans="1:17" ht="21" hidden="1" customHeight="1" thickBot="1">
      <c r="A328" s="319" t="s">
        <v>418</v>
      </c>
      <c r="G328" s="150"/>
      <c r="H328" s="150"/>
      <c r="I328" s="150"/>
      <c r="J328" s="150"/>
      <c r="K328" s="150"/>
      <c r="L328" s="150"/>
      <c r="M328" s="150"/>
      <c r="N328" s="150"/>
      <c r="O328" s="150"/>
      <c r="P328" s="150"/>
      <c r="Q328" s="150"/>
    </row>
    <row r="329" spans="1:17" ht="57" hidden="1" customHeight="1">
      <c r="A329" s="1069" t="s">
        <v>406</v>
      </c>
      <c r="B329" s="1070"/>
      <c r="C329" s="1070"/>
      <c r="D329" s="1070"/>
      <c r="E329" s="1070"/>
      <c r="F329" s="1071"/>
      <c r="G329" s="351" t="s">
        <v>422</v>
      </c>
      <c r="H329" s="348"/>
      <c r="I329" s="348" t="s">
        <v>426</v>
      </c>
      <c r="J329" s="1063" t="s">
        <v>345</v>
      </c>
      <c r="K329" s="1065"/>
      <c r="L329" s="1065"/>
      <c r="M329" s="1065"/>
      <c r="N329" s="1065"/>
      <c r="O329" s="1065"/>
      <c r="P329" s="1065"/>
      <c r="Q329" s="1065"/>
    </row>
    <row r="330" spans="1:17" ht="15.75" hidden="1">
      <c r="A330" s="256"/>
      <c r="B330" s="239" t="s">
        <v>86</v>
      </c>
      <c r="C330" s="203"/>
      <c r="D330" s="203"/>
      <c r="E330" s="255"/>
      <c r="F330" s="281"/>
      <c r="G330" s="152"/>
      <c r="H330" s="152"/>
      <c r="I330" s="152"/>
      <c r="J330" s="152"/>
      <c r="K330" s="152"/>
      <c r="L330" s="152"/>
      <c r="M330" s="152"/>
      <c r="N330" s="152"/>
      <c r="O330" s="152"/>
      <c r="P330" s="152"/>
      <c r="Q330" s="152"/>
    </row>
    <row r="331" spans="1:17" ht="16.5" hidden="1" thickBot="1">
      <c r="A331" s="309">
        <v>67</v>
      </c>
      <c r="B331" s="314"/>
      <c r="C331" s="315" t="s">
        <v>265</v>
      </c>
      <c r="D331" s="329"/>
      <c r="E331" s="322" t="s">
        <v>419</v>
      </c>
      <c r="F331" s="330" t="s">
        <v>37</v>
      </c>
      <c r="G331" s="346" t="s">
        <v>425</v>
      </c>
      <c r="H331" s="352"/>
      <c r="I331" s="352" t="s">
        <v>425</v>
      </c>
      <c r="J331" s="1061" t="s">
        <v>424</v>
      </c>
      <c r="K331" s="1062"/>
      <c r="L331" s="1062"/>
      <c r="M331" s="1062"/>
      <c r="N331" s="1062"/>
      <c r="O331" s="1062"/>
      <c r="P331" s="1062"/>
      <c r="Q331" s="1062"/>
    </row>
    <row r="332" spans="1:17" ht="21" hidden="1" customHeight="1">
      <c r="G332" s="150"/>
      <c r="H332" s="150"/>
      <c r="I332" s="150"/>
      <c r="J332" s="150"/>
      <c r="K332" s="150"/>
      <c r="L332" s="150"/>
      <c r="M332" s="150"/>
      <c r="N332" s="150"/>
      <c r="O332" s="150"/>
      <c r="P332" s="150"/>
      <c r="Q332" s="150"/>
    </row>
    <row r="333" spans="1:17" ht="21" hidden="1" customHeight="1">
      <c r="G333" s="150"/>
      <c r="H333" s="150"/>
      <c r="I333" s="150"/>
      <c r="J333" s="150"/>
      <c r="K333" s="150"/>
      <c r="L333" s="150"/>
      <c r="M333" s="150"/>
      <c r="N333" s="150"/>
      <c r="O333" s="150"/>
      <c r="P333" s="150"/>
      <c r="Q333" s="150"/>
    </row>
    <row r="334" spans="1:17" ht="21" hidden="1" customHeight="1" thickBot="1">
      <c r="A334" s="319" t="s">
        <v>500</v>
      </c>
      <c r="G334" s="150"/>
      <c r="H334" s="150"/>
      <c r="I334" s="150"/>
      <c r="J334" s="150"/>
      <c r="K334" s="150"/>
      <c r="L334" s="150"/>
      <c r="M334" s="150"/>
      <c r="N334" s="150"/>
      <c r="O334" s="150"/>
      <c r="P334" s="150"/>
      <c r="Q334" s="150"/>
    </row>
    <row r="335" spans="1:17" ht="35.25" hidden="1" customHeight="1">
      <c r="A335" s="1069" t="s">
        <v>406</v>
      </c>
      <c r="B335" s="1070"/>
      <c r="C335" s="1070"/>
      <c r="D335" s="1070"/>
      <c r="E335" s="1070"/>
      <c r="F335" s="1071"/>
      <c r="G335" s="351" t="s">
        <v>422</v>
      </c>
      <c r="H335" s="348"/>
      <c r="I335" s="348" t="s">
        <v>428</v>
      </c>
      <c r="J335" s="1063" t="s">
        <v>345</v>
      </c>
      <c r="K335" s="1065"/>
      <c r="L335" s="1065"/>
      <c r="M335" s="1065"/>
      <c r="N335" s="1065"/>
      <c r="O335" s="1065"/>
      <c r="P335" s="1065"/>
      <c r="Q335" s="1065"/>
    </row>
    <row r="336" spans="1:17" ht="15.75" hidden="1">
      <c r="A336" s="256"/>
      <c r="B336" s="239" t="s">
        <v>85</v>
      </c>
      <c r="C336" s="193"/>
      <c r="D336" s="203"/>
      <c r="E336" s="211"/>
      <c r="F336" s="253"/>
      <c r="G336" s="152"/>
      <c r="H336" s="152"/>
      <c r="I336" s="152"/>
      <c r="J336" s="152"/>
      <c r="K336" s="152"/>
      <c r="L336" s="152"/>
      <c r="M336" s="152"/>
      <c r="N336" s="152"/>
      <c r="O336" s="152"/>
      <c r="P336" s="152"/>
      <c r="Q336" s="152"/>
    </row>
    <row r="337" spans="1:17" ht="16.5" hidden="1" thickBot="1">
      <c r="A337" s="331">
        <v>77</v>
      </c>
      <c r="B337" s="320"/>
      <c r="C337" s="321" t="s">
        <v>269</v>
      </c>
      <c r="D337" s="316"/>
      <c r="E337" s="325" t="s">
        <v>271</v>
      </c>
      <c r="F337" s="323" t="s">
        <v>38</v>
      </c>
      <c r="G337" s="346" t="s">
        <v>425</v>
      </c>
      <c r="H337" s="352"/>
      <c r="I337" s="352" t="s">
        <v>425</v>
      </c>
      <c r="J337" s="1061" t="s">
        <v>424</v>
      </c>
      <c r="K337" s="1062"/>
      <c r="L337" s="1062"/>
      <c r="M337" s="1062"/>
      <c r="N337" s="1062"/>
      <c r="O337" s="1062"/>
      <c r="P337" s="1062"/>
      <c r="Q337" s="1062"/>
    </row>
    <row r="338" spans="1:17" ht="21" hidden="1" customHeight="1">
      <c r="A338" s="218"/>
      <c r="B338" s="271"/>
      <c r="C338" s="220"/>
      <c r="D338" s="203"/>
      <c r="E338" s="202"/>
      <c r="F338" s="220"/>
      <c r="G338" s="189"/>
      <c r="H338" s="189"/>
      <c r="I338" s="189"/>
      <c r="J338" s="343"/>
      <c r="K338" s="340"/>
      <c r="L338" s="340"/>
      <c r="M338" s="340"/>
      <c r="N338" s="340"/>
      <c r="O338" s="340"/>
      <c r="P338" s="340"/>
      <c r="Q338" s="340"/>
    </row>
    <row r="339" spans="1:17" ht="21" hidden="1" customHeight="1">
      <c r="G339" s="150"/>
      <c r="H339" s="150"/>
      <c r="I339" s="150"/>
      <c r="J339" s="150"/>
      <c r="K339" s="150"/>
      <c r="L339" s="150"/>
      <c r="M339" s="150"/>
      <c r="N339" s="150"/>
      <c r="O339" s="150"/>
      <c r="P339" s="150"/>
      <c r="Q339" s="150"/>
    </row>
    <row r="340" spans="1:17" ht="21" hidden="1" customHeight="1" thickBot="1">
      <c r="A340" s="319" t="s">
        <v>415</v>
      </c>
      <c r="G340" s="150"/>
      <c r="H340" s="150"/>
      <c r="I340" s="150"/>
      <c r="J340" s="150"/>
      <c r="K340" s="150"/>
      <c r="L340" s="150"/>
      <c r="M340" s="150"/>
      <c r="N340" s="150"/>
      <c r="O340" s="150"/>
      <c r="P340" s="150"/>
      <c r="Q340" s="150"/>
    </row>
    <row r="341" spans="1:17" ht="18" hidden="1">
      <c r="A341" s="1069" t="s">
        <v>406</v>
      </c>
      <c r="B341" s="1070"/>
      <c r="C341" s="1070"/>
      <c r="D341" s="1070"/>
      <c r="E341" s="1070"/>
      <c r="F341" s="1070"/>
      <c r="G341" s="351" t="s">
        <v>432</v>
      </c>
      <c r="H341" s="348"/>
      <c r="I341" s="348" t="s">
        <v>433</v>
      </c>
      <c r="J341" s="348" t="s">
        <v>435</v>
      </c>
      <c r="K341" s="348" t="s">
        <v>436</v>
      </c>
      <c r="L341" s="1063" t="s">
        <v>345</v>
      </c>
      <c r="M341" s="1065"/>
      <c r="N341" s="1065"/>
      <c r="O341" s="1065"/>
      <c r="P341" s="1065"/>
      <c r="Q341" s="1065"/>
    </row>
    <row r="342" spans="1:17" ht="15.75" hidden="1">
      <c r="A342" s="247" t="s">
        <v>45</v>
      </c>
      <c r="B342" s="228" t="s">
        <v>178</v>
      </c>
      <c r="C342" s="124"/>
      <c r="D342" s="124"/>
      <c r="E342" s="211"/>
      <c r="F342" s="209"/>
      <c r="G342" s="339"/>
      <c r="H342" s="152"/>
      <c r="I342" s="152"/>
      <c r="J342" s="152"/>
      <c r="K342" s="152"/>
      <c r="L342" s="152"/>
      <c r="M342" s="152"/>
      <c r="N342" s="152"/>
      <c r="O342" s="152"/>
      <c r="P342" s="152"/>
      <c r="Q342" s="152"/>
    </row>
    <row r="343" spans="1:17" ht="15.75" hidden="1">
      <c r="A343" s="247"/>
      <c r="B343" s="228"/>
      <c r="C343" s="124"/>
      <c r="D343" s="124"/>
      <c r="E343" s="211"/>
      <c r="F343" s="209"/>
      <c r="G343" s="341" t="s">
        <v>429</v>
      </c>
      <c r="H343" s="189"/>
      <c r="I343" s="189" t="s">
        <v>429</v>
      </c>
      <c r="J343" s="189" t="s">
        <v>429</v>
      </c>
      <c r="K343" s="189" t="s">
        <v>429</v>
      </c>
      <c r="L343" s="1059" t="s">
        <v>431</v>
      </c>
      <c r="M343" s="1066"/>
      <c r="N343" s="1066"/>
      <c r="O343" s="1066"/>
      <c r="P343" s="1066"/>
      <c r="Q343" s="1066"/>
    </row>
    <row r="344" spans="1:17" ht="16.5" hidden="1" thickBot="1">
      <c r="A344" s="331">
        <v>125</v>
      </c>
      <c r="B344" s="310"/>
      <c r="C344" s="332" t="s">
        <v>175</v>
      </c>
      <c r="D344" s="333"/>
      <c r="E344" s="312" t="s">
        <v>228</v>
      </c>
      <c r="F344" s="311" t="s">
        <v>391</v>
      </c>
      <c r="G344" s="346" t="s">
        <v>430</v>
      </c>
      <c r="H344" s="352"/>
      <c r="I344" s="352" t="s">
        <v>430</v>
      </c>
      <c r="J344" s="352" t="s">
        <v>430</v>
      </c>
      <c r="K344" s="352" t="s">
        <v>430</v>
      </c>
      <c r="L344" s="1061" t="s">
        <v>424</v>
      </c>
      <c r="M344" s="1067"/>
      <c r="N344" s="1067"/>
      <c r="O344" s="1067"/>
      <c r="P344" s="1067"/>
      <c r="Q344" s="1067"/>
    </row>
    <row r="345" spans="1:17" ht="21" hidden="1" customHeight="1">
      <c r="G345" s="150"/>
      <c r="H345" s="150"/>
      <c r="I345" s="150"/>
      <c r="J345" s="150"/>
      <c r="K345" s="150"/>
      <c r="L345" s="150"/>
      <c r="M345" s="150"/>
      <c r="N345" s="150"/>
      <c r="O345" s="150"/>
      <c r="P345" s="150"/>
      <c r="Q345" s="150"/>
    </row>
    <row r="346" spans="1:17" ht="21" hidden="1" customHeight="1">
      <c r="G346" s="150"/>
      <c r="H346" s="150"/>
      <c r="I346" s="150"/>
      <c r="J346" s="150"/>
      <c r="K346" s="150"/>
      <c r="L346" s="150"/>
      <c r="M346" s="150"/>
      <c r="N346" s="150"/>
      <c r="O346" s="150"/>
      <c r="P346" s="150"/>
      <c r="Q346" s="150"/>
    </row>
    <row r="347" spans="1:17" ht="21" hidden="1" customHeight="1" thickBot="1">
      <c r="A347" s="319" t="s">
        <v>410</v>
      </c>
      <c r="G347" s="150"/>
      <c r="H347" s="150"/>
      <c r="I347" s="150"/>
      <c r="J347" s="150"/>
      <c r="K347" s="150"/>
      <c r="L347" s="150"/>
      <c r="M347" s="150"/>
      <c r="N347" s="150"/>
      <c r="O347" s="150"/>
      <c r="P347" s="150"/>
      <c r="Q347" s="150"/>
    </row>
    <row r="348" spans="1:17" ht="34.5" hidden="1" customHeight="1">
      <c r="A348" s="1069" t="s">
        <v>406</v>
      </c>
      <c r="B348" s="1070"/>
      <c r="C348" s="1070"/>
      <c r="D348" s="1070"/>
      <c r="E348" s="1070"/>
      <c r="F348" s="1071"/>
      <c r="G348" s="351" t="s">
        <v>422</v>
      </c>
      <c r="H348" s="348"/>
      <c r="I348" s="348" t="s">
        <v>437</v>
      </c>
      <c r="J348" s="1063" t="s">
        <v>345</v>
      </c>
      <c r="K348" s="1065"/>
      <c r="L348" s="1065"/>
      <c r="M348" s="1065"/>
      <c r="N348" s="1065"/>
      <c r="O348" s="1065"/>
      <c r="P348" s="1065"/>
      <c r="Q348" s="1065"/>
    </row>
    <row r="349" spans="1:17" ht="15.75" hidden="1">
      <c r="A349" s="256"/>
      <c r="B349" s="239" t="s">
        <v>85</v>
      </c>
      <c r="C349" s="193"/>
      <c r="D349" s="203"/>
      <c r="E349" s="211"/>
      <c r="F349" s="253"/>
      <c r="G349" s="152"/>
      <c r="H349" s="152"/>
      <c r="I349" s="152"/>
      <c r="J349" s="152"/>
      <c r="K349" s="152"/>
      <c r="L349" s="152"/>
      <c r="M349" s="152"/>
      <c r="N349" s="152"/>
      <c r="O349" s="152"/>
      <c r="P349" s="152"/>
      <c r="Q349" s="152"/>
    </row>
    <row r="350" spans="1:17" ht="16.5" hidden="1" thickBot="1">
      <c r="A350" s="331">
        <v>74</v>
      </c>
      <c r="B350" s="320"/>
      <c r="C350" s="321" t="s">
        <v>269</v>
      </c>
      <c r="D350" s="334"/>
      <c r="E350" s="325" t="s">
        <v>17</v>
      </c>
      <c r="F350" s="323" t="s">
        <v>38</v>
      </c>
      <c r="G350" s="346" t="s">
        <v>425</v>
      </c>
      <c r="H350" s="352"/>
      <c r="I350" s="352" t="s">
        <v>425</v>
      </c>
      <c r="J350" s="1061" t="s">
        <v>424</v>
      </c>
      <c r="K350" s="1062"/>
      <c r="L350" s="1062"/>
      <c r="M350" s="1062"/>
      <c r="N350" s="1062"/>
      <c r="O350" s="1062"/>
      <c r="P350" s="1062"/>
      <c r="Q350" s="1062"/>
    </row>
    <row r="351" spans="1:17" ht="21" hidden="1" customHeight="1">
      <c r="G351" s="150"/>
      <c r="H351" s="150"/>
      <c r="I351" s="150"/>
      <c r="J351" s="150"/>
      <c r="K351" s="150"/>
      <c r="L351" s="150"/>
      <c r="M351" s="150"/>
      <c r="N351" s="150"/>
      <c r="O351" s="150"/>
      <c r="P351" s="150"/>
      <c r="Q351" s="150"/>
    </row>
    <row r="352" spans="1:17" ht="21" hidden="1" customHeight="1">
      <c r="G352" s="150"/>
      <c r="H352" s="150"/>
      <c r="I352" s="150"/>
      <c r="J352" s="150"/>
      <c r="K352" s="150"/>
      <c r="L352" s="150"/>
      <c r="M352" s="150"/>
      <c r="N352" s="150"/>
      <c r="O352" s="150"/>
      <c r="P352" s="150"/>
      <c r="Q352" s="150"/>
    </row>
    <row r="353" spans="1:17" ht="21" hidden="1" customHeight="1" thickBot="1">
      <c r="A353" s="319" t="s">
        <v>411</v>
      </c>
      <c r="G353" s="150"/>
      <c r="H353" s="150"/>
      <c r="I353" s="150"/>
      <c r="J353" s="150"/>
      <c r="K353" s="150"/>
      <c r="L353" s="150"/>
      <c r="M353" s="150"/>
      <c r="N353" s="150"/>
      <c r="O353" s="150"/>
      <c r="P353" s="150"/>
      <c r="Q353" s="150"/>
    </row>
    <row r="354" spans="1:17" ht="71.25" hidden="1" customHeight="1">
      <c r="A354" s="1069" t="s">
        <v>406</v>
      </c>
      <c r="B354" s="1070"/>
      <c r="C354" s="1070"/>
      <c r="D354" s="1070"/>
      <c r="E354" s="1070"/>
      <c r="F354" s="1071"/>
      <c r="G354" s="351" t="str">
        <f>+C356</f>
        <v>Excluded Transmission Facilities</v>
      </c>
      <c r="H354" s="348"/>
      <c r="I354" s="1063" t="s">
        <v>440</v>
      </c>
      <c r="J354" s="1064"/>
      <c r="K354" s="1064"/>
      <c r="L354" s="1064"/>
      <c r="M354" s="1064"/>
      <c r="N354" s="1064"/>
      <c r="O354" s="1064"/>
      <c r="P354" s="1064"/>
      <c r="Q354" s="1064"/>
    </row>
    <row r="355" spans="1:17" ht="18" hidden="1">
      <c r="A355" s="290"/>
      <c r="B355" s="233" t="s">
        <v>88</v>
      </c>
      <c r="C355" s="234"/>
      <c r="D355" s="235"/>
      <c r="E355" s="236"/>
      <c r="F355" s="291"/>
      <c r="G355" s="339"/>
      <c r="H355" s="152"/>
      <c r="I355" s="152"/>
      <c r="J355" s="152"/>
      <c r="K355" s="152"/>
      <c r="L355" s="152"/>
      <c r="M355" s="152"/>
      <c r="N355" s="152"/>
      <c r="O355" s="152"/>
      <c r="P355" s="152"/>
      <c r="Q355" s="152"/>
    </row>
    <row r="356" spans="1:17" ht="18" hidden="1">
      <c r="A356" s="256">
        <v>145</v>
      </c>
      <c r="B356" s="237"/>
      <c r="C356" s="214" t="s">
        <v>89</v>
      </c>
      <c r="D356" s="235"/>
      <c r="E356" s="216" t="s">
        <v>221</v>
      </c>
      <c r="F356" s="257" t="s">
        <v>99</v>
      </c>
      <c r="G356" s="342" t="s">
        <v>441</v>
      </c>
      <c r="H356" s="357"/>
      <c r="I356" s="1059" t="s">
        <v>443</v>
      </c>
      <c r="J356" s="1060"/>
      <c r="K356" s="1060"/>
      <c r="L356" s="1060"/>
      <c r="M356" s="1060"/>
      <c r="N356" s="1060"/>
      <c r="O356" s="1060"/>
      <c r="P356" s="1060"/>
      <c r="Q356" s="1060"/>
    </row>
    <row r="357" spans="1:17" ht="18" hidden="1">
      <c r="A357" s="256"/>
      <c r="B357" s="237"/>
      <c r="C357" s="214"/>
      <c r="D357" s="235"/>
      <c r="E357" s="216"/>
      <c r="F357" s="257"/>
      <c r="G357" s="339"/>
      <c r="H357" s="152"/>
      <c r="I357" s="152"/>
      <c r="J357" s="152"/>
      <c r="K357" s="152"/>
      <c r="L357" s="152"/>
      <c r="M357" s="152"/>
      <c r="N357" s="152"/>
      <c r="O357" s="152"/>
      <c r="P357" s="189"/>
      <c r="Q357" s="152"/>
    </row>
    <row r="358" spans="1:17" ht="18" hidden="1" customHeight="1">
      <c r="A358" s="256"/>
      <c r="B358" s="237"/>
      <c r="C358" s="214"/>
      <c r="D358" s="235"/>
      <c r="E358" s="216"/>
      <c r="F358" s="257"/>
      <c r="G358" s="341" t="s">
        <v>439</v>
      </c>
      <c r="H358" s="189"/>
      <c r="I358" s="1059" t="s">
        <v>444</v>
      </c>
      <c r="J358" s="1060"/>
      <c r="K358" s="1060"/>
      <c r="L358" s="1060"/>
      <c r="M358" s="1060"/>
      <c r="N358" s="1060"/>
      <c r="O358" s="1060"/>
      <c r="P358" s="1060"/>
      <c r="Q358" s="1060"/>
    </row>
    <row r="359" spans="1:17" ht="18" hidden="1" customHeight="1">
      <c r="A359" s="256"/>
      <c r="B359" s="237"/>
      <c r="C359" s="214"/>
      <c r="D359" s="235"/>
      <c r="E359" s="216"/>
      <c r="F359" s="257"/>
      <c r="G359" s="341" t="s">
        <v>439</v>
      </c>
      <c r="H359" s="189"/>
      <c r="I359" s="1059" t="s">
        <v>444</v>
      </c>
      <c r="J359" s="1060"/>
      <c r="K359" s="1060"/>
      <c r="L359" s="1060"/>
      <c r="M359" s="1060"/>
      <c r="N359" s="1060"/>
      <c r="O359" s="1060"/>
      <c r="P359" s="1060"/>
      <c r="Q359" s="1060"/>
    </row>
    <row r="360" spans="1:17" ht="18" hidden="1" customHeight="1">
      <c r="A360" s="256"/>
      <c r="B360" s="237"/>
      <c r="C360" s="214"/>
      <c r="D360" s="235"/>
      <c r="E360" s="216"/>
      <c r="F360" s="257"/>
      <c r="G360" s="341" t="s">
        <v>439</v>
      </c>
      <c r="H360" s="189"/>
      <c r="I360" s="1059" t="s">
        <v>444</v>
      </c>
      <c r="J360" s="1060"/>
      <c r="K360" s="1060"/>
      <c r="L360" s="1060"/>
      <c r="M360" s="1060"/>
      <c r="N360" s="1060"/>
      <c r="O360" s="1060"/>
      <c r="P360" s="1060"/>
      <c r="Q360" s="1060"/>
    </row>
    <row r="361" spans="1:17" ht="18" hidden="1" customHeight="1">
      <c r="A361" s="256"/>
      <c r="B361" s="237"/>
      <c r="C361" s="214"/>
      <c r="D361" s="235"/>
      <c r="E361" s="216"/>
      <c r="F361" s="257"/>
      <c r="G361" s="341" t="s">
        <v>439</v>
      </c>
      <c r="H361" s="189"/>
      <c r="I361" s="1059" t="s">
        <v>444</v>
      </c>
      <c r="J361" s="1060"/>
      <c r="K361" s="1060"/>
      <c r="L361" s="1060"/>
      <c r="M361" s="1060"/>
      <c r="N361" s="1060"/>
      <c r="O361" s="1060"/>
      <c r="P361" s="1060"/>
      <c r="Q361" s="1060"/>
    </row>
    <row r="362" spans="1:17" ht="18" hidden="1" customHeight="1">
      <c r="A362" s="171"/>
      <c r="B362" s="172"/>
      <c r="C362" s="172"/>
      <c r="D362" s="172"/>
      <c r="E362" s="172"/>
      <c r="F362" s="173"/>
      <c r="G362" s="341" t="s">
        <v>439</v>
      </c>
      <c r="H362" s="189"/>
      <c r="I362" s="1059" t="s">
        <v>444</v>
      </c>
      <c r="J362" s="1060"/>
      <c r="K362" s="1060"/>
      <c r="L362" s="1060"/>
      <c r="M362" s="1060"/>
      <c r="N362" s="1060"/>
      <c r="O362" s="1060"/>
      <c r="P362" s="1060"/>
      <c r="Q362" s="1060"/>
    </row>
    <row r="363" spans="1:17" ht="18" hidden="1" customHeight="1">
      <c r="A363" s="171"/>
      <c r="B363" s="172"/>
      <c r="C363" s="172"/>
      <c r="D363" s="172"/>
      <c r="E363" s="172"/>
      <c r="F363" s="173"/>
      <c r="G363" s="341" t="s">
        <v>439</v>
      </c>
      <c r="H363" s="189"/>
      <c r="I363" s="1059" t="s">
        <v>444</v>
      </c>
      <c r="J363" s="1060"/>
      <c r="K363" s="1060"/>
      <c r="L363" s="1060"/>
      <c r="M363" s="1060"/>
      <c r="N363" s="1060"/>
      <c r="O363" s="1060"/>
      <c r="P363" s="1060"/>
      <c r="Q363" s="1060"/>
    </row>
    <row r="364" spans="1:17" ht="18" hidden="1" customHeight="1">
      <c r="A364" s="171"/>
      <c r="B364" s="172"/>
      <c r="C364" s="172"/>
      <c r="D364" s="172"/>
      <c r="E364" s="172"/>
      <c r="F364" s="173"/>
      <c r="G364" s="341" t="s">
        <v>439</v>
      </c>
      <c r="H364" s="189"/>
      <c r="I364" s="1059" t="s">
        <v>444</v>
      </c>
      <c r="J364" s="1060"/>
      <c r="K364" s="1060"/>
      <c r="L364" s="1060"/>
      <c r="M364" s="1060"/>
      <c r="N364" s="1060"/>
      <c r="O364" s="1060"/>
      <c r="P364" s="1060"/>
      <c r="Q364" s="1060"/>
    </row>
    <row r="365" spans="1:17" ht="18" hidden="1" customHeight="1">
      <c r="A365" s="171"/>
      <c r="B365" s="172"/>
      <c r="C365" s="172"/>
      <c r="D365" s="172"/>
      <c r="E365" s="172"/>
      <c r="F365" s="173"/>
      <c r="G365" s="341" t="s">
        <v>439</v>
      </c>
      <c r="H365" s="189"/>
      <c r="I365" s="1059" t="s">
        <v>444</v>
      </c>
      <c r="J365" s="1060"/>
      <c r="K365" s="1060"/>
      <c r="L365" s="1060"/>
      <c r="M365" s="1060"/>
      <c r="N365" s="1060"/>
      <c r="O365" s="1060"/>
      <c r="P365" s="1060"/>
      <c r="Q365" s="1060"/>
    </row>
    <row r="366" spans="1:17" ht="18" hidden="1" customHeight="1">
      <c r="A366" s="171"/>
      <c r="B366" s="172"/>
      <c r="C366" s="172"/>
      <c r="D366" s="172"/>
      <c r="E366" s="172"/>
      <c r="F366" s="173"/>
      <c r="G366" s="341" t="s">
        <v>439</v>
      </c>
      <c r="H366" s="189"/>
      <c r="I366" s="1059" t="s">
        <v>444</v>
      </c>
      <c r="J366" s="1060"/>
      <c r="K366" s="1060"/>
      <c r="L366" s="1060"/>
      <c r="M366" s="1060"/>
      <c r="N366" s="1060"/>
      <c r="O366" s="1060"/>
      <c r="P366" s="1060"/>
      <c r="Q366" s="1060"/>
    </row>
    <row r="367" spans="1:17" ht="18" hidden="1" customHeight="1">
      <c r="A367" s="171"/>
      <c r="B367" s="172"/>
      <c r="C367" s="172"/>
      <c r="D367" s="172"/>
      <c r="E367" s="172"/>
      <c r="F367" s="173"/>
      <c r="G367" s="341" t="s">
        <v>439</v>
      </c>
      <c r="H367" s="189"/>
      <c r="I367" s="1059" t="s">
        <v>444</v>
      </c>
      <c r="J367" s="1060"/>
      <c r="K367" s="1060"/>
      <c r="L367" s="1060"/>
      <c r="M367" s="1060"/>
      <c r="N367" s="1060"/>
      <c r="O367" s="1060"/>
      <c r="P367" s="1060"/>
      <c r="Q367" s="1060"/>
    </row>
    <row r="368" spans="1:17" ht="18" hidden="1" customHeight="1" thickBot="1">
      <c r="A368" s="174"/>
      <c r="B368" s="175"/>
      <c r="C368" s="175"/>
      <c r="D368" s="175"/>
      <c r="E368" s="175"/>
      <c r="F368" s="176"/>
      <c r="G368" s="344"/>
      <c r="H368" s="338"/>
      <c r="I368" s="338"/>
      <c r="J368" s="338"/>
      <c r="K368" s="353" t="s">
        <v>442</v>
      </c>
      <c r="L368" s="338"/>
      <c r="M368" s="338"/>
      <c r="N368" s="338"/>
      <c r="O368" s="338"/>
      <c r="P368" s="338"/>
      <c r="Q368" s="338"/>
    </row>
    <row r="369" spans="1:17" ht="21" hidden="1" customHeight="1">
      <c r="A369" s="172"/>
      <c r="B369" s="172"/>
      <c r="C369" s="172"/>
      <c r="D369" s="172"/>
      <c r="E369" s="172"/>
      <c r="F369" s="172"/>
      <c r="G369" s="152"/>
      <c r="H369" s="152"/>
      <c r="I369" s="152"/>
      <c r="J369" s="152"/>
      <c r="K369" s="153"/>
      <c r="L369" s="152"/>
      <c r="M369" s="152"/>
      <c r="N369" s="152"/>
      <c r="O369" s="152"/>
      <c r="P369" s="152"/>
      <c r="Q369" s="152"/>
    </row>
    <row r="370" spans="1:17" ht="21" hidden="1" customHeight="1">
      <c r="A370" s="172"/>
      <c r="B370" s="172"/>
      <c r="C370" s="172"/>
      <c r="D370" s="172"/>
      <c r="E370" s="172"/>
      <c r="F370" s="172"/>
      <c r="G370" s="152"/>
      <c r="H370" s="152"/>
      <c r="I370" s="152"/>
      <c r="J370" s="152"/>
      <c r="K370" s="153"/>
      <c r="L370" s="152"/>
      <c r="M370" s="152"/>
      <c r="N370" s="152"/>
      <c r="O370" s="152"/>
      <c r="P370" s="152"/>
      <c r="Q370" s="152"/>
    </row>
    <row r="371" spans="1:17" ht="21" hidden="1" customHeight="1" thickBot="1">
      <c r="A371" s="319" t="s">
        <v>409</v>
      </c>
      <c r="G371" s="150"/>
      <c r="H371" s="150"/>
      <c r="I371" s="150"/>
      <c r="J371" s="150"/>
      <c r="K371" s="150"/>
      <c r="L371" s="150"/>
      <c r="M371" s="150"/>
      <c r="N371" s="150"/>
      <c r="O371" s="150"/>
      <c r="P371" s="150"/>
      <c r="Q371" s="150"/>
    </row>
    <row r="372" spans="1:17" ht="51.75" hidden="1" customHeight="1">
      <c r="A372" s="1069" t="s">
        <v>406</v>
      </c>
      <c r="B372" s="1070"/>
      <c r="C372" s="1070"/>
      <c r="D372" s="1070"/>
      <c r="E372" s="1070"/>
      <c r="F372" s="1071"/>
      <c r="G372" s="351" t="str">
        <f>+C374</f>
        <v>Outstanding Network Credits</v>
      </c>
      <c r="H372" s="348"/>
      <c r="I372" s="1063" t="s">
        <v>447</v>
      </c>
      <c r="J372" s="1064"/>
      <c r="K372" s="1064"/>
      <c r="L372" s="1064"/>
      <c r="M372" s="1064"/>
      <c r="N372" s="1064"/>
      <c r="O372" s="1064"/>
      <c r="P372" s="1064"/>
      <c r="Q372" s="1064"/>
    </row>
    <row r="373" spans="1:17" ht="15.75" hidden="1">
      <c r="A373" s="277"/>
      <c r="B373" s="212" t="s">
        <v>393</v>
      </c>
      <c r="C373" s="278"/>
      <c r="D373" s="219"/>
      <c r="E373" s="279"/>
      <c r="F373" s="246"/>
      <c r="G373" s="339"/>
      <c r="H373" s="152"/>
      <c r="I373" s="152"/>
      <c r="J373" s="152"/>
      <c r="K373" s="152"/>
      <c r="L373" s="152"/>
      <c r="M373" s="152"/>
      <c r="N373" s="152"/>
      <c r="O373" s="152"/>
      <c r="P373" s="152"/>
      <c r="Q373" s="152"/>
    </row>
    <row r="374" spans="1:17" ht="15.75" hidden="1">
      <c r="A374" s="256">
        <f>+A94</f>
        <v>55</v>
      </c>
      <c r="B374" s="237"/>
      <c r="C374" s="237" t="str">
        <f>+C94</f>
        <v>Outstanding Network Credits</v>
      </c>
      <c r="D374" s="237"/>
      <c r="E374" s="285" t="str">
        <f>+E94</f>
        <v>(Note N)</v>
      </c>
      <c r="F374" s="335" t="str">
        <f>+F94</f>
        <v>From PJM</v>
      </c>
      <c r="G374" s="342" t="s">
        <v>441</v>
      </c>
      <c r="H374" s="357"/>
      <c r="I374" s="1059" t="s">
        <v>445</v>
      </c>
      <c r="J374" s="1060"/>
      <c r="K374" s="1060"/>
      <c r="L374" s="1060"/>
      <c r="M374" s="1060"/>
      <c r="N374" s="1060"/>
      <c r="O374" s="1060"/>
      <c r="P374" s="1060"/>
      <c r="Q374" s="1060"/>
    </row>
    <row r="375" spans="1:17" ht="15.75" hidden="1">
      <c r="A375" s="256"/>
      <c r="B375" s="237"/>
      <c r="C375" s="237"/>
      <c r="D375" s="237"/>
      <c r="E375" s="285"/>
      <c r="F375" s="335"/>
      <c r="G375" s="339"/>
      <c r="H375" s="152"/>
      <c r="I375" s="152"/>
      <c r="J375" s="152"/>
      <c r="K375" s="152"/>
      <c r="L375" s="152"/>
      <c r="M375" s="152"/>
      <c r="N375" s="152"/>
      <c r="O375" s="152"/>
      <c r="P375" s="189"/>
      <c r="Q375" s="152"/>
    </row>
    <row r="376" spans="1:17" ht="15.75" hidden="1">
      <c r="A376" s="256"/>
      <c r="B376" s="237"/>
      <c r="C376" s="237"/>
      <c r="D376" s="237"/>
      <c r="E376" s="285"/>
      <c r="F376" s="335"/>
      <c r="G376" s="341" t="s">
        <v>439</v>
      </c>
      <c r="H376" s="189"/>
      <c r="I376" s="1059" t="s">
        <v>446</v>
      </c>
      <c r="J376" s="1060"/>
      <c r="K376" s="1060"/>
      <c r="L376" s="1060"/>
      <c r="M376" s="1060"/>
      <c r="N376" s="1060"/>
      <c r="O376" s="1060"/>
      <c r="P376" s="1060"/>
      <c r="Q376" s="1060"/>
    </row>
    <row r="377" spans="1:17" ht="15.75" hidden="1" customHeight="1">
      <c r="A377" s="256"/>
      <c r="B377" s="237"/>
      <c r="C377" s="237"/>
      <c r="D377" s="237"/>
      <c r="E377" s="285"/>
      <c r="F377" s="335"/>
      <c r="G377" s="341" t="s">
        <v>439</v>
      </c>
      <c r="H377" s="189"/>
      <c r="I377" s="1059" t="s">
        <v>446</v>
      </c>
      <c r="J377" s="1060"/>
      <c r="K377" s="1060"/>
      <c r="L377" s="1060"/>
      <c r="M377" s="1060"/>
      <c r="N377" s="1060"/>
      <c r="O377" s="1060"/>
      <c r="P377" s="1060"/>
      <c r="Q377" s="1060"/>
    </row>
    <row r="378" spans="1:17" ht="15.75" hidden="1" customHeight="1">
      <c r="A378" s="256"/>
      <c r="B378" s="237"/>
      <c r="C378" s="237"/>
      <c r="D378" s="237"/>
      <c r="E378" s="285"/>
      <c r="F378" s="335"/>
      <c r="G378" s="341" t="s">
        <v>439</v>
      </c>
      <c r="H378" s="189"/>
      <c r="I378" s="1059" t="s">
        <v>446</v>
      </c>
      <c r="J378" s="1060"/>
      <c r="K378" s="1060"/>
      <c r="L378" s="1060"/>
      <c r="M378" s="1060"/>
      <c r="N378" s="1060"/>
      <c r="O378" s="1060"/>
      <c r="P378" s="1060"/>
      <c r="Q378" s="1060"/>
    </row>
    <row r="379" spans="1:17" ht="15.75" hidden="1" customHeight="1">
      <c r="A379" s="256"/>
      <c r="B379" s="237"/>
      <c r="C379" s="237"/>
      <c r="D379" s="237"/>
      <c r="E379" s="285"/>
      <c r="F379" s="335"/>
      <c r="G379" s="341" t="s">
        <v>439</v>
      </c>
      <c r="H379" s="189"/>
      <c r="I379" s="1059" t="s">
        <v>446</v>
      </c>
      <c r="J379" s="1060"/>
      <c r="K379" s="1060"/>
      <c r="L379" s="1060"/>
      <c r="M379" s="1060"/>
      <c r="N379" s="1060"/>
      <c r="O379" s="1060"/>
      <c r="P379" s="1060"/>
      <c r="Q379" s="1060"/>
    </row>
    <row r="380" spans="1:17" ht="15.75" hidden="1" customHeight="1">
      <c r="A380" s="256"/>
      <c r="B380" s="237"/>
      <c r="C380" s="237"/>
      <c r="D380" s="237"/>
      <c r="E380" s="285"/>
      <c r="F380" s="335"/>
      <c r="G380" s="341" t="s">
        <v>439</v>
      </c>
      <c r="H380" s="189"/>
      <c r="I380" s="1059" t="s">
        <v>446</v>
      </c>
      <c r="J380" s="1060"/>
      <c r="K380" s="1060"/>
      <c r="L380" s="1060"/>
      <c r="M380" s="1060"/>
      <c r="N380" s="1060"/>
      <c r="O380" s="1060"/>
      <c r="P380" s="1060"/>
      <c r="Q380" s="1060"/>
    </row>
    <row r="381" spans="1:17" ht="15.75" hidden="1" customHeight="1">
      <c r="A381" s="256"/>
      <c r="B381" s="237"/>
      <c r="C381" s="237"/>
      <c r="D381" s="237"/>
      <c r="E381" s="285"/>
      <c r="F381" s="335"/>
      <c r="G381" s="341" t="s">
        <v>439</v>
      </c>
      <c r="H381" s="189"/>
      <c r="I381" s="1059" t="s">
        <v>446</v>
      </c>
      <c r="J381" s="1060"/>
      <c r="K381" s="1060"/>
      <c r="L381" s="1060"/>
      <c r="M381" s="1060"/>
      <c r="N381" s="1060"/>
      <c r="O381" s="1060"/>
      <c r="P381" s="1060"/>
      <c r="Q381" s="1060"/>
    </row>
    <row r="382" spans="1:17" ht="15.75" hidden="1" customHeight="1">
      <c r="A382" s="256"/>
      <c r="B382" s="237"/>
      <c r="C382" s="237"/>
      <c r="D382" s="237"/>
      <c r="E382" s="285"/>
      <c r="F382" s="335"/>
      <c r="G382" s="341" t="s">
        <v>439</v>
      </c>
      <c r="H382" s="189"/>
      <c r="I382" s="1059" t="s">
        <v>446</v>
      </c>
      <c r="J382" s="1060"/>
      <c r="K382" s="1060"/>
      <c r="L382" s="1060"/>
      <c r="M382" s="1060"/>
      <c r="N382" s="1060"/>
      <c r="O382" s="1060"/>
      <c r="P382" s="1060"/>
      <c r="Q382" s="1060"/>
    </row>
    <row r="383" spans="1:17" ht="16.5" hidden="1" thickBot="1">
      <c r="A383" s="309"/>
      <c r="B383" s="314"/>
      <c r="C383" s="314"/>
      <c r="D383" s="314"/>
      <c r="E383" s="322"/>
      <c r="F383" s="336"/>
      <c r="G383" s="344"/>
      <c r="H383" s="338"/>
      <c r="I383" s="338"/>
      <c r="J383" s="338"/>
      <c r="K383" s="353" t="s">
        <v>442</v>
      </c>
      <c r="L383" s="338"/>
      <c r="M383" s="338"/>
      <c r="N383" s="338"/>
      <c r="O383" s="338"/>
      <c r="P383" s="338"/>
      <c r="Q383" s="338"/>
    </row>
    <row r="384" spans="1:17" ht="21" hidden="1" customHeight="1">
      <c r="A384" s="237"/>
      <c r="B384" s="237"/>
      <c r="C384" s="237"/>
      <c r="D384" s="237"/>
      <c r="E384" s="285"/>
      <c r="F384" s="237"/>
      <c r="G384" s="152"/>
      <c r="H384" s="152"/>
      <c r="I384" s="152"/>
      <c r="J384" s="152"/>
      <c r="K384" s="153"/>
      <c r="L384" s="152"/>
      <c r="M384" s="152"/>
      <c r="N384" s="152"/>
      <c r="O384" s="152"/>
      <c r="P384" s="152"/>
      <c r="Q384" s="152"/>
    </row>
    <row r="385" spans="1:17" ht="21" hidden="1" customHeight="1">
      <c r="A385" s="237"/>
      <c r="B385" s="237"/>
      <c r="C385" s="237"/>
      <c r="D385" s="237"/>
      <c r="E385" s="285"/>
      <c r="F385" s="237"/>
      <c r="G385" s="152"/>
      <c r="H385" s="152"/>
      <c r="I385" s="152"/>
      <c r="J385" s="152"/>
      <c r="K385" s="153"/>
      <c r="L385" s="152"/>
      <c r="M385" s="152"/>
      <c r="N385" s="152"/>
      <c r="O385" s="152"/>
      <c r="P385" s="152"/>
      <c r="Q385" s="152"/>
    </row>
    <row r="386" spans="1:17" ht="21" hidden="1" customHeight="1">
      <c r="A386" s="237"/>
      <c r="B386" s="237"/>
      <c r="C386" s="237"/>
      <c r="D386" s="237"/>
      <c r="E386" s="285"/>
      <c r="F386" s="237"/>
      <c r="G386" s="152"/>
      <c r="H386" s="152"/>
      <c r="I386" s="152"/>
      <c r="J386" s="152"/>
      <c r="K386" s="153"/>
      <c r="L386" s="152"/>
      <c r="M386" s="152"/>
      <c r="N386" s="152"/>
      <c r="O386" s="152"/>
      <c r="P386" s="152"/>
      <c r="Q386" s="152"/>
    </row>
    <row r="387" spans="1:17" ht="21" hidden="1" customHeight="1" thickBot="1">
      <c r="A387" s="319" t="s">
        <v>449</v>
      </c>
      <c r="G387" s="150"/>
      <c r="H387" s="150"/>
      <c r="I387" s="150"/>
      <c r="J387" s="150"/>
      <c r="K387" s="150"/>
      <c r="L387" s="150"/>
      <c r="M387" s="150"/>
      <c r="N387" s="150"/>
      <c r="O387" s="150"/>
      <c r="P387" s="150"/>
      <c r="Q387" s="150"/>
    </row>
    <row r="388" spans="1:17" ht="50.25" hidden="1" customHeight="1">
      <c r="A388" s="1069" t="s">
        <v>406</v>
      </c>
      <c r="B388" s="1070"/>
      <c r="C388" s="1070"/>
      <c r="D388" s="1070"/>
      <c r="E388" s="1070"/>
      <c r="F388" s="1071"/>
      <c r="G388" s="351" t="str">
        <f>+C390</f>
        <v>Interest on Network Credits</v>
      </c>
      <c r="H388" s="348"/>
      <c r="I388" s="1063" t="s">
        <v>450</v>
      </c>
      <c r="J388" s="1064"/>
      <c r="K388" s="1064"/>
      <c r="L388" s="1064"/>
      <c r="M388" s="1064"/>
      <c r="N388" s="1064"/>
      <c r="O388" s="1064"/>
      <c r="P388" s="1064"/>
      <c r="Q388" s="1064"/>
    </row>
    <row r="389" spans="1:17" ht="21" hidden="1" customHeight="1">
      <c r="A389" s="256"/>
      <c r="B389" s="212" t="str">
        <f>+B245</f>
        <v>Revenue Credits &amp; Interest on Network Credits</v>
      </c>
      <c r="C389" s="237"/>
      <c r="D389" s="237"/>
      <c r="E389" s="237"/>
      <c r="F389" s="335"/>
      <c r="G389" s="339"/>
      <c r="H389" s="152"/>
      <c r="I389" s="152"/>
      <c r="J389" s="152"/>
      <c r="K389" s="152"/>
      <c r="L389" s="152"/>
      <c r="M389" s="152"/>
      <c r="N389" s="152"/>
      <c r="O389" s="152"/>
      <c r="P389" s="152"/>
      <c r="Q389" s="152"/>
    </row>
    <row r="390" spans="1:17" ht="21" hidden="1" customHeight="1">
      <c r="A390" s="256">
        <f>+A247</f>
        <v>154</v>
      </c>
      <c r="B390" s="237"/>
      <c r="C390" s="237" t="str">
        <f>+C247</f>
        <v>Interest on Network Credits</v>
      </c>
      <c r="D390" s="237"/>
      <c r="E390" s="285" t="str">
        <f>+E247</f>
        <v>(Note N)</v>
      </c>
      <c r="F390" s="335" t="str">
        <f>+F247</f>
        <v>PJM Data</v>
      </c>
      <c r="G390" s="342" t="s">
        <v>441</v>
      </c>
      <c r="H390" s="357"/>
      <c r="I390" s="1059" t="s">
        <v>445</v>
      </c>
      <c r="J390" s="1060"/>
      <c r="K390" s="1060"/>
      <c r="L390" s="1060"/>
      <c r="M390" s="1060"/>
      <c r="N390" s="1060"/>
      <c r="O390" s="1060"/>
      <c r="P390" s="1060"/>
      <c r="Q390" s="1060"/>
    </row>
    <row r="391" spans="1:17" ht="21" hidden="1" customHeight="1">
      <c r="A391" s="256"/>
      <c r="B391" s="237"/>
      <c r="C391" s="237"/>
      <c r="D391" s="237"/>
      <c r="E391" s="285"/>
      <c r="F391" s="335"/>
      <c r="G391" s="339"/>
      <c r="H391" s="152"/>
      <c r="I391" s="152"/>
      <c r="J391" s="152"/>
      <c r="K391" s="152"/>
      <c r="L391" s="152"/>
      <c r="M391" s="152"/>
      <c r="N391" s="152"/>
      <c r="O391" s="152"/>
      <c r="P391" s="189"/>
      <c r="Q391" s="152"/>
    </row>
    <row r="392" spans="1:17" ht="21" hidden="1" customHeight="1">
      <c r="A392" s="256"/>
      <c r="B392" s="237"/>
      <c r="C392" s="237"/>
      <c r="D392" s="237"/>
      <c r="E392" s="285"/>
      <c r="F392" s="335"/>
      <c r="G392" s="341" t="s">
        <v>439</v>
      </c>
      <c r="H392" s="189"/>
      <c r="I392" s="1059" t="s">
        <v>451</v>
      </c>
      <c r="J392" s="1060"/>
      <c r="K392" s="1060"/>
      <c r="L392" s="1060"/>
      <c r="M392" s="1060"/>
      <c r="N392" s="1060"/>
      <c r="O392" s="1060"/>
      <c r="P392" s="1060"/>
      <c r="Q392" s="1060"/>
    </row>
    <row r="393" spans="1:17" ht="21" hidden="1" customHeight="1">
      <c r="A393" s="256"/>
      <c r="B393" s="237"/>
      <c r="C393" s="237"/>
      <c r="D393" s="237"/>
      <c r="E393" s="285"/>
      <c r="F393" s="335"/>
      <c r="G393" s="341" t="s">
        <v>439</v>
      </c>
      <c r="H393" s="189"/>
      <c r="I393" s="1059" t="s">
        <v>451</v>
      </c>
      <c r="J393" s="1060"/>
      <c r="K393" s="1060"/>
      <c r="L393" s="1060"/>
      <c r="M393" s="1060"/>
      <c r="N393" s="1060"/>
      <c r="O393" s="1060"/>
      <c r="P393" s="1060"/>
      <c r="Q393" s="1060"/>
    </row>
    <row r="394" spans="1:17" ht="21" hidden="1" customHeight="1">
      <c r="A394" s="256"/>
      <c r="B394" s="237"/>
      <c r="C394" s="237"/>
      <c r="D394" s="237"/>
      <c r="E394" s="285"/>
      <c r="F394" s="335"/>
      <c r="G394" s="341" t="s">
        <v>439</v>
      </c>
      <c r="H394" s="189"/>
      <c r="I394" s="1059" t="s">
        <v>451</v>
      </c>
      <c r="J394" s="1060"/>
      <c r="K394" s="1060"/>
      <c r="L394" s="1060"/>
      <c r="M394" s="1060"/>
      <c r="N394" s="1060"/>
      <c r="O394" s="1060"/>
      <c r="P394" s="1060"/>
      <c r="Q394" s="1060"/>
    </row>
    <row r="395" spans="1:17" ht="21" hidden="1" customHeight="1">
      <c r="A395" s="256"/>
      <c r="B395" s="237"/>
      <c r="C395" s="237"/>
      <c r="D395" s="237"/>
      <c r="E395" s="285"/>
      <c r="F395" s="335"/>
      <c r="G395" s="341" t="s">
        <v>439</v>
      </c>
      <c r="H395" s="189"/>
      <c r="I395" s="1059" t="s">
        <v>451</v>
      </c>
      <c r="J395" s="1060"/>
      <c r="K395" s="1060"/>
      <c r="L395" s="1060"/>
      <c r="M395" s="1060"/>
      <c r="N395" s="1060"/>
      <c r="O395" s="1060"/>
      <c r="P395" s="1060"/>
      <c r="Q395" s="1060"/>
    </row>
    <row r="396" spans="1:17" ht="21" hidden="1" customHeight="1">
      <c r="A396" s="256"/>
      <c r="B396" s="237"/>
      <c r="C396" s="237"/>
      <c r="D396" s="237"/>
      <c r="E396" s="285"/>
      <c r="F396" s="335"/>
      <c r="G396" s="341" t="s">
        <v>439</v>
      </c>
      <c r="H396" s="189"/>
      <c r="I396" s="1059" t="s">
        <v>451</v>
      </c>
      <c r="J396" s="1060"/>
      <c r="K396" s="1060"/>
      <c r="L396" s="1060"/>
      <c r="M396" s="1060"/>
      <c r="N396" s="1060"/>
      <c r="O396" s="1060"/>
      <c r="P396" s="1060"/>
      <c r="Q396" s="1060"/>
    </row>
    <row r="397" spans="1:17" ht="21" hidden="1" customHeight="1">
      <c r="A397" s="256"/>
      <c r="B397" s="237"/>
      <c r="C397" s="237"/>
      <c r="D397" s="237"/>
      <c r="E397" s="285"/>
      <c r="F397" s="335"/>
      <c r="G397" s="341" t="s">
        <v>439</v>
      </c>
      <c r="H397" s="189"/>
      <c r="I397" s="1059" t="s">
        <v>451</v>
      </c>
      <c r="J397" s="1060"/>
      <c r="K397" s="1060"/>
      <c r="L397" s="1060"/>
      <c r="M397" s="1060"/>
      <c r="N397" s="1060"/>
      <c r="O397" s="1060"/>
      <c r="P397" s="1060"/>
      <c r="Q397" s="1060"/>
    </row>
    <row r="398" spans="1:17" ht="21" hidden="1" customHeight="1">
      <c r="A398" s="256"/>
      <c r="B398" s="237"/>
      <c r="C398" s="237"/>
      <c r="D398" s="237"/>
      <c r="E398" s="285"/>
      <c r="F398" s="335"/>
      <c r="G398" s="341" t="s">
        <v>439</v>
      </c>
      <c r="H398" s="189"/>
      <c r="I398" s="1059" t="s">
        <v>451</v>
      </c>
      <c r="J398" s="1060"/>
      <c r="K398" s="1060"/>
      <c r="L398" s="1060"/>
      <c r="M398" s="1060"/>
      <c r="N398" s="1060"/>
      <c r="O398" s="1060"/>
      <c r="P398" s="1060"/>
      <c r="Q398" s="1060"/>
    </row>
    <row r="399" spans="1:17" ht="21" hidden="1" customHeight="1">
      <c r="A399" s="256"/>
      <c r="B399" s="237"/>
      <c r="C399" s="237"/>
      <c r="D399" s="237"/>
      <c r="E399" s="285"/>
      <c r="F399" s="335"/>
      <c r="G399" s="341" t="s">
        <v>439</v>
      </c>
      <c r="H399" s="189"/>
      <c r="I399" s="1059" t="s">
        <v>451</v>
      </c>
      <c r="J399" s="1060"/>
      <c r="K399" s="1060"/>
      <c r="L399" s="1060"/>
      <c r="M399" s="1060"/>
      <c r="N399" s="1060"/>
      <c r="O399" s="1060"/>
      <c r="P399" s="1060"/>
      <c r="Q399" s="1060"/>
    </row>
    <row r="400" spans="1:17" ht="21" hidden="1" customHeight="1">
      <c r="A400" s="256"/>
      <c r="B400" s="237"/>
      <c r="C400" s="237"/>
      <c r="D400" s="237"/>
      <c r="E400" s="285"/>
      <c r="F400" s="335"/>
      <c r="G400" s="341" t="s">
        <v>439</v>
      </c>
      <c r="H400" s="189"/>
      <c r="I400" s="1059" t="s">
        <v>451</v>
      </c>
      <c r="J400" s="1060"/>
      <c r="K400" s="1060"/>
      <c r="L400" s="1060"/>
      <c r="M400" s="1060"/>
      <c r="N400" s="1060"/>
      <c r="O400" s="1060"/>
      <c r="P400" s="1060"/>
      <c r="Q400" s="1060"/>
    </row>
    <row r="401" spans="1:17" ht="21" hidden="1" customHeight="1">
      <c r="A401" s="256"/>
      <c r="B401" s="237"/>
      <c r="C401" s="237"/>
      <c r="D401" s="237"/>
      <c r="E401" s="285"/>
      <c r="F401" s="335"/>
      <c r="G401" s="341" t="s">
        <v>439</v>
      </c>
      <c r="H401" s="189"/>
      <c r="I401" s="1059" t="s">
        <v>451</v>
      </c>
      <c r="J401" s="1060"/>
      <c r="K401" s="1060"/>
      <c r="L401" s="1060"/>
      <c r="M401" s="1060"/>
      <c r="N401" s="1060"/>
      <c r="O401" s="1060"/>
      <c r="P401" s="1060"/>
      <c r="Q401" s="1060"/>
    </row>
    <row r="402" spans="1:17" ht="21" hidden="1" customHeight="1" thickBot="1">
      <c r="A402" s="309"/>
      <c r="B402" s="314"/>
      <c r="C402" s="314"/>
      <c r="D402" s="314"/>
      <c r="E402" s="322"/>
      <c r="F402" s="336"/>
      <c r="G402" s="344"/>
      <c r="H402" s="338"/>
      <c r="I402" s="338"/>
      <c r="J402" s="338"/>
      <c r="K402" s="353" t="s">
        <v>442</v>
      </c>
      <c r="L402" s="338"/>
      <c r="M402" s="338"/>
      <c r="N402" s="338"/>
      <c r="O402" s="338"/>
      <c r="P402" s="338"/>
      <c r="Q402" s="338"/>
    </row>
    <row r="403" spans="1:17" ht="21" hidden="1" customHeight="1">
      <c r="A403" s="237"/>
      <c r="B403" s="237"/>
      <c r="C403" s="237"/>
      <c r="D403" s="237"/>
      <c r="E403" s="285"/>
      <c r="F403" s="237"/>
      <c r="G403" s="152"/>
      <c r="H403" s="152"/>
      <c r="I403" s="152"/>
      <c r="J403" s="152"/>
      <c r="K403" s="153"/>
      <c r="L403" s="152"/>
      <c r="M403" s="152"/>
      <c r="N403" s="152"/>
      <c r="O403" s="152"/>
      <c r="P403" s="152"/>
      <c r="Q403" s="152"/>
    </row>
    <row r="404" spans="1:17" ht="21" hidden="1" customHeight="1">
      <c r="G404" s="150"/>
      <c r="H404" s="150"/>
      <c r="I404" s="150"/>
      <c r="J404" s="150"/>
      <c r="K404" s="150"/>
      <c r="L404" s="150"/>
      <c r="M404" s="150"/>
      <c r="N404" s="150"/>
      <c r="O404" s="150"/>
      <c r="P404" s="150"/>
      <c r="Q404" s="150"/>
    </row>
    <row r="405" spans="1:17" ht="21" hidden="1" customHeight="1" thickBot="1">
      <c r="A405" s="319" t="s">
        <v>417</v>
      </c>
      <c r="G405" s="150"/>
      <c r="H405" s="150"/>
      <c r="I405" s="150"/>
      <c r="J405" s="150"/>
      <c r="K405" s="150"/>
      <c r="L405" s="150"/>
      <c r="M405" s="150"/>
      <c r="N405" s="150"/>
      <c r="O405" s="150"/>
      <c r="P405" s="150"/>
      <c r="Q405" s="150"/>
    </row>
    <row r="406" spans="1:17" ht="21" hidden="1" customHeight="1">
      <c r="A406" s="1069" t="s">
        <v>406</v>
      </c>
      <c r="B406" s="1070"/>
      <c r="C406" s="1070"/>
      <c r="D406" s="1070"/>
      <c r="E406" s="1070"/>
      <c r="F406" s="1071"/>
      <c r="G406" s="351" t="str">
        <f>+C408</f>
        <v>1 CP Peak</v>
      </c>
      <c r="H406" s="348"/>
      <c r="I406" s="1063" t="s">
        <v>448</v>
      </c>
      <c r="J406" s="1064"/>
      <c r="K406" s="1064"/>
      <c r="L406" s="1064"/>
      <c r="M406" s="1064"/>
      <c r="N406" s="1064"/>
      <c r="O406" s="1064"/>
      <c r="P406" s="1064"/>
      <c r="Q406" s="1064"/>
    </row>
    <row r="407" spans="1:17" ht="15.75" hidden="1">
      <c r="A407" s="256"/>
      <c r="B407" s="233" t="s">
        <v>403</v>
      </c>
      <c r="C407" s="193"/>
      <c r="D407" s="193"/>
      <c r="E407" s="194"/>
      <c r="F407" s="253"/>
      <c r="G407" s="339"/>
      <c r="H407" s="152"/>
      <c r="I407" s="152"/>
      <c r="J407" s="152"/>
      <c r="K407" s="152"/>
      <c r="L407" s="152"/>
      <c r="M407" s="152"/>
      <c r="N407" s="152"/>
      <c r="O407" s="152"/>
      <c r="P407" s="152"/>
      <c r="Q407" s="152"/>
    </row>
    <row r="408" spans="1:17" ht="16.5" hidden="1" thickBot="1">
      <c r="A408" s="309">
        <v>167</v>
      </c>
      <c r="B408" s="310"/>
      <c r="C408" s="311" t="s">
        <v>184</v>
      </c>
      <c r="D408" s="311"/>
      <c r="E408" s="312" t="s">
        <v>253</v>
      </c>
      <c r="F408" s="313" t="s">
        <v>405</v>
      </c>
      <c r="G408" s="346" t="s">
        <v>425</v>
      </c>
      <c r="H408" s="352"/>
      <c r="I408" s="1061" t="str">
        <f>+I406</f>
        <v xml:space="preserve">Description &amp; PJM Documentation </v>
      </c>
      <c r="J408" s="1062"/>
      <c r="K408" s="1062"/>
      <c r="L408" s="1062"/>
      <c r="M408" s="1062"/>
      <c r="N408" s="1062"/>
      <c r="O408" s="1062"/>
      <c r="P408" s="1062"/>
      <c r="Q408" s="1062"/>
    </row>
    <row r="409" spans="1:17" hidden="1">
      <c r="G409" s="150"/>
      <c r="H409" s="150"/>
      <c r="I409" s="150"/>
      <c r="J409" s="150"/>
      <c r="K409" s="150"/>
      <c r="L409" s="150"/>
      <c r="M409" s="150"/>
      <c r="N409" s="150"/>
      <c r="O409" s="150"/>
      <c r="P409" s="150"/>
      <c r="Q409" s="150"/>
    </row>
    <row r="410" spans="1:17" hidden="1">
      <c r="G410" s="150"/>
      <c r="H410" s="150"/>
      <c r="I410" s="150"/>
      <c r="J410" s="150"/>
      <c r="K410" s="150"/>
      <c r="L410" s="150"/>
      <c r="M410" s="150"/>
      <c r="N410" s="150"/>
      <c r="O410" s="150"/>
      <c r="P410" s="150"/>
      <c r="Q410" s="150"/>
    </row>
    <row r="411" spans="1:17" hidden="1">
      <c r="G411" s="150"/>
      <c r="H411" s="150"/>
      <c r="I411" s="150"/>
      <c r="J411" s="150"/>
      <c r="K411" s="150"/>
      <c r="L411" s="150"/>
      <c r="M411" s="150"/>
      <c r="N411" s="150"/>
      <c r="O411" s="150"/>
      <c r="P411" s="150"/>
      <c r="Q411" s="150"/>
    </row>
    <row r="412" spans="1:17" hidden="1">
      <c r="G412" s="150"/>
      <c r="H412" s="150"/>
      <c r="I412" s="150"/>
      <c r="J412" s="150"/>
      <c r="K412" s="150"/>
      <c r="L412" s="150"/>
      <c r="M412" s="150"/>
      <c r="N412" s="150"/>
      <c r="O412" s="150"/>
      <c r="P412" s="150"/>
      <c r="Q412" s="150"/>
    </row>
    <row r="413" spans="1:17" hidden="1">
      <c r="G413" s="150"/>
      <c r="H413" s="150"/>
      <c r="I413" s="150"/>
      <c r="J413" s="150"/>
      <c r="K413" s="150"/>
      <c r="L413" s="150"/>
      <c r="M413" s="150"/>
      <c r="N413" s="150"/>
      <c r="O413" s="150"/>
      <c r="P413" s="150"/>
      <c r="Q413" s="150"/>
    </row>
    <row r="414" spans="1:17" hidden="1">
      <c r="G414" s="150"/>
      <c r="H414" s="150"/>
      <c r="I414" s="150"/>
      <c r="J414" s="150"/>
      <c r="K414" s="150"/>
      <c r="L414" s="150"/>
      <c r="M414" s="150"/>
      <c r="N414" s="150"/>
      <c r="O414" s="150"/>
      <c r="P414" s="150"/>
      <c r="Q414" s="150"/>
    </row>
    <row r="415" spans="1:17" hidden="1">
      <c r="G415" s="150"/>
      <c r="H415" s="150"/>
      <c r="I415" s="150"/>
      <c r="J415" s="150"/>
      <c r="K415" s="150"/>
      <c r="L415" s="150"/>
      <c r="M415" s="150"/>
      <c r="N415" s="150"/>
      <c r="O415" s="150"/>
      <c r="P415" s="150"/>
      <c r="Q415" s="150"/>
    </row>
    <row r="416" spans="1:17" hidden="1">
      <c r="G416" s="150"/>
      <c r="H416" s="150"/>
      <c r="I416" s="150"/>
      <c r="J416" s="150"/>
      <c r="K416" s="150"/>
      <c r="L416" s="150"/>
      <c r="M416" s="150"/>
      <c r="N416" s="150"/>
      <c r="O416" s="150"/>
      <c r="P416" s="150"/>
      <c r="Q416" s="150"/>
    </row>
    <row r="417" spans="3:17">
      <c r="G417" s="150"/>
      <c r="H417" s="150"/>
      <c r="I417" s="150"/>
      <c r="J417" s="150"/>
      <c r="K417" s="150"/>
      <c r="L417" s="150"/>
      <c r="M417" s="150"/>
      <c r="N417" s="150"/>
      <c r="O417" s="150"/>
      <c r="P417" s="150"/>
      <c r="Q417" s="150"/>
    </row>
    <row r="418" spans="3:17">
      <c r="G418" s="150"/>
      <c r="H418" s="150"/>
      <c r="I418" s="150"/>
      <c r="J418" s="150"/>
      <c r="K418" s="150"/>
      <c r="L418" s="150"/>
      <c r="M418" s="150"/>
      <c r="N418" s="150"/>
      <c r="O418" s="150"/>
      <c r="P418" s="150"/>
      <c r="Q418" s="150"/>
    </row>
    <row r="419" spans="3:17" ht="20.25">
      <c r="C419" s="354"/>
      <c r="G419" s="150"/>
      <c r="H419" s="150"/>
      <c r="I419" s="150"/>
      <c r="J419" s="150"/>
      <c r="K419" s="150"/>
      <c r="L419" s="150"/>
      <c r="M419" s="150"/>
      <c r="N419" s="150"/>
      <c r="O419" s="150"/>
      <c r="P419" s="150"/>
      <c r="Q419" s="150"/>
    </row>
    <row r="420" spans="3:17" ht="20.25">
      <c r="C420" s="354"/>
      <c r="G420" s="150"/>
      <c r="H420" s="150"/>
      <c r="I420" s="150"/>
      <c r="J420" s="150"/>
      <c r="K420" s="150"/>
      <c r="L420" s="150"/>
      <c r="M420" s="150"/>
      <c r="N420" s="150"/>
      <c r="O420" s="150"/>
      <c r="P420" s="150"/>
      <c r="Q420" s="150"/>
    </row>
    <row r="421" spans="3:17">
      <c r="G421" s="150"/>
      <c r="H421" s="150"/>
      <c r="I421" s="150"/>
      <c r="J421" s="150"/>
      <c r="K421" s="150"/>
      <c r="L421" s="150"/>
      <c r="M421" s="150"/>
      <c r="N421" s="150"/>
      <c r="O421" s="150"/>
      <c r="P421" s="150"/>
      <c r="Q421" s="150"/>
    </row>
    <row r="422" spans="3:17">
      <c r="G422" s="150"/>
      <c r="H422" s="150"/>
      <c r="I422" s="150"/>
      <c r="J422" s="150"/>
      <c r="K422" s="150"/>
      <c r="L422" s="150"/>
      <c r="M422" s="150"/>
      <c r="N422" s="150"/>
      <c r="O422" s="150"/>
      <c r="P422" s="150"/>
      <c r="Q422" s="150"/>
    </row>
    <row r="423" spans="3:17">
      <c r="G423" s="150"/>
      <c r="H423" s="150"/>
      <c r="I423" s="150"/>
      <c r="J423" s="150"/>
      <c r="K423" s="150"/>
      <c r="L423" s="150"/>
      <c r="M423" s="150"/>
      <c r="N423" s="150"/>
      <c r="O423" s="150"/>
      <c r="P423" s="150"/>
      <c r="Q423" s="150"/>
    </row>
    <row r="424" spans="3:17">
      <c r="G424" s="150"/>
      <c r="H424" s="150"/>
      <c r="I424" s="150"/>
      <c r="J424" s="150"/>
      <c r="K424" s="150"/>
      <c r="L424" s="150"/>
      <c r="M424" s="150"/>
      <c r="N424" s="150"/>
      <c r="O424" s="150"/>
      <c r="P424" s="150"/>
      <c r="Q424" s="150"/>
    </row>
    <row r="425" spans="3:17">
      <c r="G425" s="150"/>
      <c r="H425" s="150"/>
      <c r="I425" s="150"/>
      <c r="J425" s="150"/>
      <c r="K425" s="150"/>
      <c r="L425" s="150"/>
      <c r="M425" s="150"/>
      <c r="N425" s="150"/>
      <c r="O425" s="150"/>
      <c r="P425" s="150"/>
      <c r="Q425" s="150"/>
    </row>
    <row r="426" spans="3:17">
      <c r="G426" s="150"/>
      <c r="H426" s="150"/>
      <c r="I426" s="150"/>
      <c r="J426" s="150"/>
      <c r="K426" s="150"/>
      <c r="L426" s="150"/>
      <c r="M426" s="150"/>
      <c r="N426" s="150"/>
      <c r="O426" s="150"/>
      <c r="P426" s="150"/>
      <c r="Q426" s="150"/>
    </row>
    <row r="427" spans="3:17">
      <c r="G427" s="150"/>
      <c r="H427" s="150"/>
      <c r="I427" s="150"/>
      <c r="J427" s="150"/>
      <c r="K427" s="150"/>
      <c r="L427" s="150"/>
      <c r="M427" s="150"/>
      <c r="N427" s="150"/>
      <c r="O427" s="150"/>
      <c r="P427" s="150"/>
      <c r="Q427" s="150"/>
    </row>
    <row r="428" spans="3:17">
      <c r="G428" s="150"/>
      <c r="H428" s="150"/>
      <c r="I428" s="150"/>
      <c r="J428" s="150"/>
      <c r="K428" s="150"/>
      <c r="L428" s="150"/>
      <c r="M428" s="150"/>
      <c r="N428" s="150"/>
      <c r="O428" s="150"/>
      <c r="P428" s="150"/>
      <c r="Q428" s="150"/>
    </row>
    <row r="429" spans="3:17">
      <c r="G429" s="150"/>
      <c r="H429" s="150"/>
      <c r="I429" s="150"/>
      <c r="J429" s="150"/>
      <c r="K429" s="150"/>
      <c r="L429" s="150"/>
      <c r="M429" s="150"/>
      <c r="N429" s="150"/>
      <c r="O429" s="150"/>
      <c r="P429" s="150"/>
      <c r="Q429" s="150"/>
    </row>
    <row r="430" spans="3:17">
      <c r="G430" s="150"/>
      <c r="H430" s="150"/>
      <c r="I430" s="150"/>
      <c r="J430" s="150"/>
      <c r="K430" s="150"/>
      <c r="L430" s="150"/>
      <c r="M430" s="150"/>
      <c r="N430" s="150"/>
      <c r="O430" s="150"/>
      <c r="P430" s="150"/>
      <c r="Q430" s="150"/>
    </row>
    <row r="431" spans="3:17">
      <c r="G431" s="150"/>
      <c r="H431" s="150"/>
      <c r="I431" s="150"/>
      <c r="J431" s="150"/>
      <c r="K431" s="150"/>
      <c r="L431" s="150"/>
      <c r="M431" s="150"/>
      <c r="N431" s="150"/>
      <c r="O431" s="150"/>
      <c r="P431" s="150"/>
      <c r="Q431" s="150"/>
    </row>
    <row r="432" spans="3:17">
      <c r="G432" s="150"/>
      <c r="H432" s="150"/>
      <c r="I432" s="150"/>
      <c r="J432" s="150"/>
      <c r="K432" s="150"/>
      <c r="L432" s="150"/>
      <c r="M432" s="150"/>
      <c r="N432" s="150"/>
      <c r="O432" s="150"/>
      <c r="P432" s="150"/>
      <c r="Q432" s="150"/>
    </row>
    <row r="433" spans="7:17">
      <c r="G433" s="150"/>
      <c r="H433" s="150"/>
      <c r="I433" s="150"/>
      <c r="J433" s="150"/>
      <c r="K433" s="150"/>
      <c r="L433" s="150"/>
      <c r="M433" s="150"/>
      <c r="N433" s="150"/>
      <c r="O433" s="150"/>
      <c r="P433" s="150"/>
      <c r="Q433" s="150"/>
    </row>
    <row r="434" spans="7:17">
      <c r="G434" s="150"/>
      <c r="H434" s="150"/>
      <c r="I434" s="150"/>
      <c r="J434" s="150"/>
      <c r="K434" s="150"/>
      <c r="L434" s="150"/>
      <c r="M434" s="150"/>
      <c r="N434" s="150"/>
      <c r="O434" s="150"/>
      <c r="P434" s="150"/>
      <c r="Q434" s="150"/>
    </row>
    <row r="435" spans="7:17">
      <c r="G435" s="150"/>
      <c r="H435" s="150"/>
      <c r="I435" s="150"/>
      <c r="J435" s="150"/>
      <c r="K435" s="150"/>
      <c r="L435" s="150"/>
      <c r="M435" s="150"/>
      <c r="N435" s="150"/>
      <c r="O435" s="150"/>
      <c r="P435" s="150"/>
      <c r="Q435" s="150"/>
    </row>
    <row r="436" spans="7:17">
      <c r="G436" s="150"/>
      <c r="H436" s="150"/>
      <c r="I436" s="150"/>
      <c r="J436" s="150"/>
      <c r="K436" s="150"/>
      <c r="L436" s="150"/>
      <c r="M436" s="150"/>
      <c r="N436" s="150"/>
      <c r="O436" s="150"/>
      <c r="P436" s="150"/>
      <c r="Q436" s="150"/>
    </row>
    <row r="437" spans="7:17">
      <c r="G437" s="150"/>
      <c r="H437" s="150"/>
      <c r="I437" s="150"/>
      <c r="J437" s="150"/>
      <c r="K437" s="150"/>
      <c r="L437" s="150"/>
      <c r="M437" s="150"/>
      <c r="N437" s="150"/>
      <c r="O437" s="150"/>
      <c r="P437" s="150"/>
      <c r="Q437" s="150"/>
    </row>
    <row r="438" spans="7:17">
      <c r="G438" s="150"/>
      <c r="H438" s="150"/>
      <c r="I438" s="150"/>
      <c r="J438" s="150"/>
      <c r="K438" s="150"/>
      <c r="L438" s="150"/>
      <c r="M438" s="150"/>
      <c r="N438" s="150"/>
      <c r="O438" s="150"/>
      <c r="P438" s="150"/>
      <c r="Q438" s="150"/>
    </row>
    <row r="439" spans="7:17">
      <c r="G439" s="150"/>
      <c r="H439" s="150"/>
      <c r="I439" s="150"/>
      <c r="J439" s="150"/>
      <c r="K439" s="150"/>
      <c r="L439" s="150"/>
      <c r="M439" s="150"/>
      <c r="N439" s="150"/>
      <c r="O439" s="150"/>
      <c r="P439" s="150"/>
      <c r="Q439" s="150"/>
    </row>
    <row r="440" spans="7:17" ht="16.5">
      <c r="G440" s="347"/>
      <c r="H440" s="347"/>
      <c r="I440" s="347"/>
      <c r="J440" s="347"/>
      <c r="K440" s="347"/>
      <c r="L440" s="347"/>
      <c r="M440" s="347"/>
      <c r="N440" s="347"/>
      <c r="O440" s="347"/>
      <c r="P440" s="347"/>
      <c r="Q440" s="347"/>
    </row>
    <row r="441" spans="7:17" ht="16.5">
      <c r="G441" s="347"/>
      <c r="H441" s="347"/>
      <c r="I441" s="347"/>
      <c r="J441" s="347"/>
      <c r="K441" s="347"/>
      <c r="L441" s="347"/>
      <c r="M441" s="347"/>
      <c r="N441" s="347"/>
      <c r="O441" s="347"/>
      <c r="P441" s="347"/>
      <c r="Q441" s="347"/>
    </row>
    <row r="442" spans="7:17" ht="16.5">
      <c r="G442" s="347"/>
      <c r="H442" s="347"/>
      <c r="I442" s="347"/>
      <c r="J442" s="347"/>
      <c r="K442" s="347"/>
      <c r="L442" s="347"/>
      <c r="M442" s="347"/>
      <c r="N442" s="347"/>
      <c r="O442" s="347"/>
      <c r="P442" s="347"/>
      <c r="Q442" s="347"/>
    </row>
    <row r="443" spans="7:17" ht="16.5">
      <c r="G443" s="347"/>
      <c r="H443" s="347"/>
      <c r="I443" s="347"/>
      <c r="J443" s="347"/>
      <c r="K443" s="347"/>
      <c r="L443" s="347"/>
      <c r="M443" s="347"/>
      <c r="N443" s="347"/>
      <c r="O443" s="347"/>
      <c r="P443" s="347"/>
      <c r="Q443" s="347"/>
    </row>
    <row r="444" spans="7:17" ht="16.5">
      <c r="G444" s="347"/>
      <c r="H444" s="347"/>
      <c r="I444" s="347"/>
      <c r="J444" s="347"/>
      <c r="K444" s="347"/>
      <c r="L444" s="347"/>
      <c r="M444" s="347"/>
      <c r="N444" s="347"/>
      <c r="O444" s="347"/>
      <c r="P444" s="347"/>
      <c r="Q444" s="347"/>
    </row>
    <row r="445" spans="7:17" ht="16.5">
      <c r="G445" s="347"/>
      <c r="H445" s="347"/>
      <c r="I445" s="347"/>
      <c r="J445" s="347"/>
      <c r="K445" s="347"/>
      <c r="L445" s="347"/>
      <c r="M445" s="347"/>
      <c r="N445" s="347"/>
      <c r="O445" s="347"/>
      <c r="P445" s="347"/>
      <c r="Q445" s="347"/>
    </row>
    <row r="446" spans="7:17" ht="16.5">
      <c r="G446" s="347"/>
      <c r="H446" s="347"/>
      <c r="I446" s="347"/>
      <c r="J446" s="347"/>
      <c r="K446" s="347"/>
      <c r="L446" s="347"/>
      <c r="M446" s="347"/>
      <c r="N446" s="347"/>
      <c r="O446" s="347"/>
      <c r="P446" s="347"/>
      <c r="Q446" s="347"/>
    </row>
    <row r="447" spans="7:17" ht="16.5">
      <c r="G447" s="347"/>
      <c r="H447" s="347"/>
      <c r="I447" s="347"/>
      <c r="J447" s="347"/>
      <c r="K447" s="347"/>
      <c r="L447" s="347"/>
      <c r="M447" s="347"/>
      <c r="N447" s="347"/>
      <c r="O447" s="347"/>
      <c r="P447" s="347"/>
      <c r="Q447" s="347"/>
    </row>
    <row r="448" spans="7:17" ht="16.5">
      <c r="G448" s="347"/>
      <c r="H448" s="347"/>
      <c r="I448" s="347"/>
      <c r="J448" s="347"/>
      <c r="K448" s="347"/>
      <c r="L448" s="347"/>
      <c r="M448" s="347"/>
      <c r="N448" s="347"/>
      <c r="O448" s="347"/>
      <c r="P448" s="347"/>
      <c r="Q448" s="347"/>
    </row>
    <row r="449" spans="7:17" ht="16.5">
      <c r="G449" s="347"/>
      <c r="H449" s="347"/>
      <c r="I449" s="347"/>
      <c r="J449" s="347"/>
      <c r="K449" s="347"/>
      <c r="L449" s="347"/>
      <c r="M449" s="347"/>
      <c r="N449" s="347"/>
      <c r="O449" s="347"/>
      <c r="P449" s="347"/>
      <c r="Q449" s="347"/>
    </row>
    <row r="450" spans="7:17" ht="16.5">
      <c r="G450" s="347"/>
      <c r="H450" s="347"/>
      <c r="I450" s="347"/>
      <c r="J450" s="347"/>
      <c r="K450" s="347"/>
      <c r="L450" s="347"/>
      <c r="M450" s="347"/>
      <c r="N450" s="347"/>
      <c r="O450" s="347"/>
      <c r="P450" s="347"/>
      <c r="Q450" s="347"/>
    </row>
    <row r="451" spans="7:17" ht="16.5">
      <c r="G451" s="347"/>
      <c r="H451" s="347"/>
      <c r="I451" s="347"/>
      <c r="J451" s="347"/>
      <c r="K451" s="347"/>
      <c r="L451" s="347"/>
      <c r="M451" s="347"/>
      <c r="N451" s="347"/>
      <c r="O451" s="347"/>
      <c r="P451" s="347"/>
      <c r="Q451" s="347"/>
    </row>
    <row r="452" spans="7:17" ht="16.5">
      <c r="G452" s="347"/>
      <c r="H452" s="347"/>
      <c r="I452" s="347"/>
      <c r="J452" s="347"/>
      <c r="K452" s="347"/>
      <c r="L452" s="347"/>
      <c r="M452" s="347"/>
      <c r="N452" s="347"/>
      <c r="O452" s="347"/>
      <c r="P452" s="347"/>
      <c r="Q452" s="347"/>
    </row>
    <row r="453" spans="7:17" ht="16.5">
      <c r="G453" s="347"/>
      <c r="H453" s="347"/>
      <c r="I453" s="347"/>
      <c r="J453" s="347"/>
      <c r="K453" s="347"/>
      <c r="L453" s="347"/>
      <c r="M453" s="347"/>
      <c r="N453" s="347"/>
      <c r="O453" s="347"/>
      <c r="P453" s="347"/>
      <c r="Q453" s="347"/>
    </row>
    <row r="454" spans="7:17" ht="16.5">
      <c r="G454" s="347"/>
      <c r="H454" s="347"/>
      <c r="I454" s="347"/>
      <c r="J454" s="347"/>
      <c r="K454" s="347"/>
      <c r="L454" s="347"/>
      <c r="M454" s="347"/>
      <c r="N454" s="347"/>
      <c r="O454" s="347"/>
      <c r="P454" s="347"/>
      <c r="Q454" s="347"/>
    </row>
    <row r="455" spans="7:17" ht="16.5">
      <c r="G455" s="347"/>
      <c r="H455" s="347"/>
      <c r="I455" s="347"/>
      <c r="J455" s="347"/>
      <c r="K455" s="347"/>
      <c r="L455" s="347"/>
      <c r="M455" s="347"/>
      <c r="N455" s="347"/>
      <c r="O455" s="347"/>
      <c r="P455" s="347"/>
      <c r="Q455" s="347"/>
    </row>
    <row r="456" spans="7:17" ht="16.5">
      <c r="G456" s="347"/>
      <c r="H456" s="347"/>
      <c r="I456" s="347"/>
      <c r="J456" s="347"/>
      <c r="K456" s="347"/>
      <c r="L456" s="347"/>
      <c r="M456" s="347"/>
      <c r="N456" s="347"/>
      <c r="O456" s="347"/>
      <c r="P456" s="347"/>
      <c r="Q456" s="347"/>
    </row>
    <row r="457" spans="7:17" ht="16.5">
      <c r="G457" s="347"/>
      <c r="H457" s="347"/>
      <c r="I457" s="347"/>
      <c r="J457" s="347"/>
      <c r="K457" s="347"/>
      <c r="L457" s="347"/>
      <c r="M457" s="347"/>
      <c r="N457" s="347"/>
      <c r="O457" s="347"/>
      <c r="P457" s="347"/>
      <c r="Q457" s="347"/>
    </row>
    <row r="458" spans="7:17" ht="16.5">
      <c r="G458" s="347"/>
      <c r="H458" s="347"/>
      <c r="I458" s="347"/>
      <c r="J458" s="347"/>
      <c r="K458" s="347"/>
      <c r="L458" s="347"/>
      <c r="M458" s="347"/>
      <c r="N458" s="347"/>
      <c r="O458" s="347"/>
      <c r="P458" s="347"/>
      <c r="Q458" s="347"/>
    </row>
    <row r="459" spans="7:17" ht="16.5">
      <c r="G459" s="347"/>
      <c r="H459" s="347"/>
      <c r="I459" s="347"/>
      <c r="J459" s="347"/>
      <c r="K459" s="347"/>
      <c r="L459" s="347"/>
      <c r="M459" s="347"/>
      <c r="N459" s="347"/>
      <c r="O459" s="347"/>
      <c r="P459" s="347"/>
      <c r="Q459" s="347"/>
    </row>
    <row r="460" spans="7:17" ht="16.5">
      <c r="G460" s="347"/>
      <c r="H460" s="347"/>
      <c r="I460" s="347"/>
      <c r="J460" s="347"/>
      <c r="K460" s="347"/>
      <c r="L460" s="347"/>
      <c r="M460" s="347"/>
      <c r="N460" s="347"/>
      <c r="O460" s="347"/>
      <c r="P460" s="347"/>
      <c r="Q460" s="347"/>
    </row>
    <row r="461" spans="7:17" ht="16.5">
      <c r="G461" s="347"/>
      <c r="H461" s="347"/>
      <c r="I461" s="347"/>
      <c r="J461" s="347"/>
      <c r="K461" s="347"/>
      <c r="L461" s="347"/>
      <c r="M461" s="347"/>
      <c r="N461" s="347"/>
      <c r="O461" s="347"/>
      <c r="P461" s="347"/>
      <c r="Q461" s="347"/>
    </row>
    <row r="462" spans="7:17" ht="16.5">
      <c r="G462" s="347"/>
      <c r="H462" s="347"/>
      <c r="I462" s="347"/>
      <c r="J462" s="347"/>
      <c r="K462" s="347"/>
      <c r="L462" s="347"/>
      <c r="M462" s="347"/>
      <c r="N462" s="347"/>
      <c r="O462" s="347"/>
      <c r="P462" s="347"/>
      <c r="Q462" s="347"/>
    </row>
    <row r="463" spans="7:17" ht="16.5">
      <c r="G463" s="347"/>
      <c r="H463" s="347"/>
      <c r="I463" s="347"/>
      <c r="J463" s="347"/>
      <c r="K463" s="347"/>
      <c r="L463" s="347"/>
      <c r="M463" s="347"/>
      <c r="N463" s="347"/>
      <c r="O463" s="347"/>
      <c r="P463" s="347"/>
      <c r="Q463" s="347"/>
    </row>
    <row r="464" spans="7:17" ht="16.5">
      <c r="G464" s="347"/>
      <c r="H464" s="347"/>
      <c r="I464" s="347"/>
      <c r="J464" s="347"/>
      <c r="K464" s="347"/>
      <c r="L464" s="347"/>
      <c r="M464" s="347"/>
      <c r="N464" s="347"/>
      <c r="O464" s="347"/>
      <c r="P464" s="347"/>
      <c r="Q464" s="347"/>
    </row>
    <row r="465" spans="7:17" ht="16.5">
      <c r="G465" s="347"/>
      <c r="H465" s="347"/>
      <c r="I465" s="347"/>
      <c r="J465" s="347"/>
      <c r="K465" s="347"/>
      <c r="L465" s="347"/>
      <c r="M465" s="347"/>
      <c r="N465" s="347"/>
      <c r="O465" s="347"/>
      <c r="P465" s="347"/>
      <c r="Q465" s="347"/>
    </row>
    <row r="466" spans="7:17" ht="16.5">
      <c r="G466" s="347"/>
      <c r="H466" s="347"/>
      <c r="I466" s="347"/>
      <c r="J466" s="347"/>
      <c r="K466" s="347"/>
      <c r="L466" s="347"/>
      <c r="M466" s="347"/>
      <c r="N466" s="347"/>
      <c r="O466" s="347"/>
      <c r="P466" s="347"/>
      <c r="Q466" s="347"/>
    </row>
    <row r="467" spans="7:17" ht="16.5">
      <c r="G467" s="347"/>
      <c r="H467" s="347"/>
      <c r="I467" s="347"/>
      <c r="J467" s="347"/>
      <c r="K467" s="347"/>
      <c r="L467" s="347"/>
      <c r="M467" s="347"/>
      <c r="N467" s="347"/>
      <c r="O467" s="347"/>
      <c r="P467" s="347"/>
      <c r="Q467" s="347"/>
    </row>
    <row r="468" spans="7:17" ht="16.5">
      <c r="G468" s="347"/>
      <c r="H468" s="347"/>
      <c r="I468" s="347"/>
      <c r="J468" s="347"/>
      <c r="K468" s="347"/>
      <c r="L468" s="347"/>
      <c r="M468" s="347"/>
      <c r="N468" s="347"/>
      <c r="O468" s="347"/>
      <c r="P468" s="347"/>
      <c r="Q468" s="347"/>
    </row>
    <row r="469" spans="7:17" ht="16.5">
      <c r="G469" s="347"/>
      <c r="H469" s="347"/>
      <c r="I469" s="347"/>
      <c r="J469" s="347"/>
      <c r="K469" s="347"/>
      <c r="L469" s="347"/>
      <c r="M469" s="347"/>
      <c r="N469" s="347"/>
      <c r="O469" s="347"/>
      <c r="P469" s="347"/>
      <c r="Q469" s="347"/>
    </row>
    <row r="470" spans="7:17" ht="16.5">
      <c r="G470" s="347"/>
      <c r="H470" s="347"/>
      <c r="I470" s="347"/>
      <c r="J470" s="347"/>
      <c r="K470" s="347"/>
      <c r="L470" s="347"/>
      <c r="M470" s="347"/>
      <c r="N470" s="347"/>
      <c r="O470" s="347"/>
      <c r="P470" s="347"/>
      <c r="Q470" s="347"/>
    </row>
    <row r="471" spans="7:17" ht="16.5">
      <c r="G471" s="347"/>
      <c r="H471" s="347"/>
      <c r="I471" s="347"/>
      <c r="J471" s="347"/>
      <c r="K471" s="347"/>
      <c r="L471" s="347"/>
      <c r="M471" s="347"/>
      <c r="N471" s="347"/>
      <c r="O471" s="347"/>
      <c r="P471" s="347"/>
      <c r="Q471" s="347"/>
    </row>
    <row r="472" spans="7:17" ht="16.5">
      <c r="G472" s="347"/>
      <c r="H472" s="347"/>
      <c r="I472" s="347"/>
      <c r="J472" s="347"/>
      <c r="K472" s="347"/>
      <c r="L472" s="347"/>
      <c r="M472" s="347"/>
      <c r="N472" s="347"/>
      <c r="O472" s="347"/>
      <c r="P472" s="347"/>
      <c r="Q472" s="347"/>
    </row>
    <row r="473" spans="7:17" ht="16.5">
      <c r="G473" s="347"/>
      <c r="H473" s="347"/>
      <c r="I473" s="347"/>
      <c r="J473" s="347"/>
      <c r="K473" s="347"/>
      <c r="L473" s="347"/>
      <c r="M473" s="347"/>
      <c r="N473" s="347"/>
      <c r="O473" s="347"/>
      <c r="P473" s="347"/>
      <c r="Q473" s="347"/>
    </row>
    <row r="474" spans="7:17" ht="16.5">
      <c r="G474" s="347"/>
      <c r="H474" s="347"/>
      <c r="I474" s="347"/>
      <c r="J474" s="347"/>
      <c r="K474" s="347"/>
      <c r="L474" s="347"/>
      <c r="M474" s="347"/>
      <c r="N474" s="347"/>
      <c r="O474" s="347"/>
      <c r="P474" s="347"/>
      <c r="Q474" s="347"/>
    </row>
    <row r="475" spans="7:17" ht="16.5">
      <c r="G475" s="347"/>
      <c r="H475" s="347"/>
      <c r="I475" s="347"/>
      <c r="J475" s="347"/>
      <c r="K475" s="347"/>
      <c r="L475" s="347"/>
      <c r="M475" s="347"/>
      <c r="N475" s="347"/>
      <c r="O475" s="347"/>
      <c r="P475" s="347"/>
      <c r="Q475" s="347"/>
    </row>
    <row r="476" spans="7:17" ht="16.5">
      <c r="G476" s="347"/>
      <c r="H476" s="347"/>
      <c r="I476" s="347"/>
      <c r="J476" s="347"/>
      <c r="K476" s="347"/>
      <c r="L476" s="347"/>
      <c r="M476" s="347"/>
      <c r="N476" s="347"/>
      <c r="O476" s="347"/>
      <c r="P476" s="347"/>
      <c r="Q476" s="347"/>
    </row>
    <row r="477" spans="7:17" ht="16.5">
      <c r="G477" s="347"/>
      <c r="H477" s="347"/>
      <c r="I477" s="347"/>
      <c r="J477" s="347"/>
      <c r="K477" s="347"/>
      <c r="L477" s="347"/>
      <c r="M477" s="347"/>
      <c r="N477" s="347"/>
      <c r="O477" s="347"/>
      <c r="P477" s="347"/>
      <c r="Q477" s="347"/>
    </row>
    <row r="478" spans="7:17" ht="16.5">
      <c r="G478" s="347"/>
      <c r="H478" s="347"/>
      <c r="I478" s="347"/>
      <c r="J478" s="347"/>
      <c r="K478" s="347"/>
      <c r="L478" s="347"/>
      <c r="M478" s="347"/>
      <c r="N478" s="347"/>
      <c r="O478" s="347"/>
      <c r="P478" s="347"/>
      <c r="Q478" s="347"/>
    </row>
    <row r="479" spans="7:17" ht="16.5">
      <c r="G479" s="347"/>
      <c r="H479" s="347"/>
      <c r="I479" s="347"/>
      <c r="J479" s="347"/>
      <c r="K479" s="347"/>
      <c r="L479" s="347"/>
      <c r="M479" s="347"/>
      <c r="N479" s="347"/>
      <c r="O479" s="347"/>
      <c r="P479" s="347"/>
      <c r="Q479" s="347"/>
    </row>
    <row r="480" spans="7:17" ht="16.5">
      <c r="G480" s="347"/>
      <c r="H480" s="347"/>
      <c r="I480" s="347"/>
      <c r="J480" s="347"/>
      <c r="K480" s="347"/>
      <c r="L480" s="347"/>
      <c r="M480" s="347"/>
      <c r="N480" s="347"/>
      <c r="O480" s="347"/>
      <c r="P480" s="347"/>
      <c r="Q480" s="347"/>
    </row>
    <row r="481" spans="7:17" ht="16.5">
      <c r="G481" s="347"/>
      <c r="H481" s="347"/>
      <c r="I481" s="347"/>
      <c r="J481" s="347"/>
      <c r="K481" s="347"/>
      <c r="L481" s="347"/>
      <c r="M481" s="347"/>
      <c r="N481" s="347"/>
      <c r="O481" s="347"/>
      <c r="P481" s="347"/>
      <c r="Q481" s="347"/>
    </row>
    <row r="482" spans="7:17" ht="16.5">
      <c r="G482" s="347"/>
      <c r="H482" s="347"/>
      <c r="I482" s="347"/>
      <c r="J482" s="347"/>
      <c r="K482" s="347"/>
      <c r="L482" s="347"/>
      <c r="M482" s="347"/>
      <c r="N482" s="347"/>
      <c r="O482" s="347"/>
      <c r="P482" s="347"/>
      <c r="Q482" s="347"/>
    </row>
    <row r="483" spans="7:17" ht="16.5">
      <c r="G483" s="347"/>
      <c r="H483" s="347"/>
      <c r="I483" s="347"/>
      <c r="J483" s="347"/>
      <c r="K483" s="347"/>
      <c r="L483" s="347"/>
      <c r="M483" s="347"/>
      <c r="N483" s="347"/>
      <c r="O483" s="347"/>
      <c r="P483" s="347"/>
      <c r="Q483" s="347"/>
    </row>
    <row r="484" spans="7:17" ht="16.5">
      <c r="G484" s="347"/>
      <c r="H484" s="347"/>
      <c r="I484" s="347"/>
      <c r="J484" s="347"/>
      <c r="K484" s="347"/>
      <c r="L484" s="347"/>
      <c r="M484" s="347"/>
      <c r="N484" s="347"/>
      <c r="O484" s="347"/>
      <c r="P484" s="347"/>
      <c r="Q484" s="347"/>
    </row>
    <row r="485" spans="7:17" ht="16.5">
      <c r="G485" s="347"/>
      <c r="H485" s="347"/>
      <c r="I485" s="347"/>
      <c r="J485" s="347"/>
      <c r="K485" s="347"/>
      <c r="L485" s="347"/>
      <c r="M485" s="347"/>
      <c r="N485" s="347"/>
      <c r="O485" s="347"/>
      <c r="P485" s="347"/>
      <c r="Q485" s="347"/>
    </row>
    <row r="486" spans="7:17" ht="16.5">
      <c r="G486" s="347"/>
      <c r="H486" s="347"/>
      <c r="I486" s="347"/>
      <c r="J486" s="347"/>
      <c r="K486" s="347"/>
      <c r="L486" s="347"/>
      <c r="M486" s="347"/>
      <c r="N486" s="347"/>
      <c r="O486" s="347"/>
      <c r="P486" s="347"/>
      <c r="Q486" s="347"/>
    </row>
    <row r="487" spans="7:17" ht="16.5">
      <c r="G487" s="347"/>
      <c r="H487" s="347"/>
      <c r="I487" s="347"/>
      <c r="J487" s="347"/>
      <c r="K487" s="347"/>
      <c r="L487" s="347"/>
      <c r="M487" s="347"/>
      <c r="N487" s="347"/>
      <c r="O487" s="347"/>
      <c r="P487" s="347"/>
      <c r="Q487" s="347"/>
    </row>
    <row r="488" spans="7:17" ht="16.5">
      <c r="G488" s="347"/>
      <c r="H488" s="347"/>
      <c r="I488" s="347"/>
      <c r="J488" s="347"/>
      <c r="K488" s="347"/>
      <c r="L488" s="347"/>
      <c r="M488" s="347"/>
      <c r="N488" s="347"/>
      <c r="O488" s="347"/>
      <c r="P488" s="347"/>
      <c r="Q488" s="347"/>
    </row>
    <row r="489" spans="7:17" ht="16.5">
      <c r="G489" s="347"/>
      <c r="H489" s="347"/>
      <c r="I489" s="347"/>
      <c r="J489" s="347"/>
      <c r="K489" s="347"/>
      <c r="L489" s="347"/>
      <c r="M489" s="347"/>
      <c r="N489" s="347"/>
      <c r="O489" s="347"/>
      <c r="P489" s="347"/>
      <c r="Q489" s="347"/>
    </row>
    <row r="490" spans="7:17" ht="16.5">
      <c r="G490" s="347"/>
      <c r="H490" s="347"/>
      <c r="I490" s="347"/>
      <c r="J490" s="347"/>
      <c r="K490" s="347"/>
      <c r="L490" s="347"/>
      <c r="M490" s="347"/>
      <c r="N490" s="347"/>
      <c r="O490" s="347"/>
      <c r="P490" s="347"/>
      <c r="Q490" s="347"/>
    </row>
    <row r="491" spans="7:17" ht="16.5">
      <c r="G491" s="347"/>
      <c r="H491" s="347"/>
      <c r="I491" s="347"/>
      <c r="J491" s="347"/>
      <c r="K491" s="347"/>
      <c r="L491" s="347"/>
      <c r="M491" s="347"/>
      <c r="N491" s="347"/>
      <c r="O491" s="347"/>
      <c r="P491" s="347"/>
      <c r="Q491" s="347"/>
    </row>
    <row r="492" spans="7:17" ht="16.5">
      <c r="G492" s="347"/>
      <c r="H492" s="347"/>
      <c r="I492" s="347"/>
      <c r="J492" s="347"/>
      <c r="K492" s="347"/>
      <c r="L492" s="347"/>
      <c r="M492" s="347"/>
      <c r="N492" s="347"/>
      <c r="O492" s="347"/>
      <c r="P492" s="347"/>
      <c r="Q492" s="347"/>
    </row>
    <row r="493" spans="7:17" ht="16.5">
      <c r="G493" s="347"/>
      <c r="H493" s="347"/>
      <c r="I493" s="347"/>
      <c r="J493" s="347"/>
      <c r="K493" s="347"/>
      <c r="L493" s="347"/>
      <c r="M493" s="347"/>
      <c r="N493" s="347"/>
      <c r="O493" s="347"/>
      <c r="P493" s="347"/>
      <c r="Q493" s="347"/>
    </row>
    <row r="494" spans="7:17" ht="16.5">
      <c r="G494" s="347"/>
      <c r="H494" s="347"/>
      <c r="I494" s="347"/>
      <c r="J494" s="347"/>
      <c r="K494" s="347"/>
      <c r="L494" s="347"/>
      <c r="M494" s="347"/>
      <c r="N494" s="347"/>
      <c r="O494" s="347"/>
      <c r="P494" s="347"/>
      <c r="Q494" s="347"/>
    </row>
    <row r="495" spans="7:17" ht="16.5">
      <c r="G495" s="347"/>
      <c r="H495" s="347"/>
      <c r="I495" s="347"/>
      <c r="J495" s="347"/>
      <c r="K495" s="347"/>
      <c r="L495" s="347"/>
      <c r="M495" s="347"/>
      <c r="N495" s="347"/>
      <c r="O495" s="347"/>
      <c r="P495" s="347"/>
      <c r="Q495" s="347"/>
    </row>
    <row r="496" spans="7:17" ht="16.5">
      <c r="G496" s="347"/>
      <c r="H496" s="347"/>
      <c r="I496" s="347"/>
      <c r="J496" s="347"/>
      <c r="K496" s="347"/>
      <c r="L496" s="347"/>
      <c r="M496" s="347"/>
      <c r="N496" s="347"/>
      <c r="O496" s="347"/>
      <c r="P496" s="347"/>
      <c r="Q496" s="347"/>
    </row>
  </sheetData>
  <mergeCells count="94">
    <mergeCell ref="A4:F4"/>
    <mergeCell ref="A280:F280"/>
    <mergeCell ref="A302:F302"/>
    <mergeCell ref="A313:F313"/>
    <mergeCell ref="A406:F406"/>
    <mergeCell ref="A323:F323"/>
    <mergeCell ref="A329:F329"/>
    <mergeCell ref="A335:F335"/>
    <mergeCell ref="A341:F341"/>
    <mergeCell ref="A348:F348"/>
    <mergeCell ref="A354:F354"/>
    <mergeCell ref="A388:F388"/>
    <mergeCell ref="J280:Q280"/>
    <mergeCell ref="J281:Q281"/>
    <mergeCell ref="J282:Q282"/>
    <mergeCell ref="J283:Q283"/>
    <mergeCell ref="A372:F372"/>
    <mergeCell ref="J297:Q297"/>
    <mergeCell ref="J298:Q298"/>
    <mergeCell ref="J302:Q302"/>
    <mergeCell ref="J284:Q284"/>
    <mergeCell ref="J285:Q285"/>
    <mergeCell ref="J286:Q286"/>
    <mergeCell ref="J287:Q287"/>
    <mergeCell ref="J288:Q288"/>
    <mergeCell ref="J289:Q289"/>
    <mergeCell ref="J290:Q290"/>
    <mergeCell ref="J291:Q291"/>
    <mergeCell ref="J292:Q292"/>
    <mergeCell ref="J293:Q293"/>
    <mergeCell ref="J294:Q294"/>
    <mergeCell ref="J295:Q295"/>
    <mergeCell ref="J296:Q296"/>
    <mergeCell ref="J319:Q319"/>
    <mergeCell ref="J323:Q323"/>
    <mergeCell ref="J324:Q324"/>
    <mergeCell ref="J303:Q303"/>
    <mergeCell ref="J304:Q304"/>
    <mergeCell ref="J305:Q305"/>
    <mergeCell ref="J307:Q307"/>
    <mergeCell ref="J308:Q308"/>
    <mergeCell ref="J309:Q309"/>
    <mergeCell ref="J306:Q306"/>
    <mergeCell ref="J313:Q313"/>
    <mergeCell ref="J314:Q314"/>
    <mergeCell ref="J315:Q315"/>
    <mergeCell ref="J316:Q316"/>
    <mergeCell ref="J317:Q317"/>
    <mergeCell ref="J318:Q318"/>
    <mergeCell ref="J337:Q337"/>
    <mergeCell ref="I395:Q395"/>
    <mergeCell ref="I396:Q396"/>
    <mergeCell ref="J325:Q325"/>
    <mergeCell ref="J329:Q329"/>
    <mergeCell ref="J331:Q331"/>
    <mergeCell ref="J335:Q335"/>
    <mergeCell ref="L341:Q341"/>
    <mergeCell ref="L343:Q343"/>
    <mergeCell ref="L344:Q344"/>
    <mergeCell ref="I366:Q366"/>
    <mergeCell ref="I367:Q367"/>
    <mergeCell ref="I372:Q372"/>
    <mergeCell ref="J348:Q348"/>
    <mergeCell ref="I359:Q359"/>
    <mergeCell ref="I360:Q360"/>
    <mergeCell ref="J350:Q350"/>
    <mergeCell ref="I356:Q356"/>
    <mergeCell ref="I354:Q354"/>
    <mergeCell ref="I358:Q358"/>
    <mergeCell ref="I361:Q361"/>
    <mergeCell ref="I362:Q362"/>
    <mergeCell ref="I363:Q363"/>
    <mergeCell ref="I364:Q364"/>
    <mergeCell ref="I365:Q365"/>
    <mergeCell ref="I377:Q377"/>
    <mergeCell ref="I374:Q374"/>
    <mergeCell ref="I376:Q376"/>
    <mergeCell ref="I408:Q408"/>
    <mergeCell ref="I388:Q388"/>
    <mergeCell ref="I390:Q390"/>
    <mergeCell ref="I392:Q392"/>
    <mergeCell ref="I393:Q393"/>
    <mergeCell ref="I394:Q394"/>
    <mergeCell ref="I401:Q401"/>
    <mergeCell ref="I406:Q406"/>
    <mergeCell ref="I397:Q397"/>
    <mergeCell ref="I398:Q398"/>
    <mergeCell ref="I399:Q399"/>
    <mergeCell ref="I400:Q400"/>
    <mergeCell ref="I378:Q378"/>
    <mergeCell ref="I379:Q379"/>
    <mergeCell ref="I380:Q380"/>
    <mergeCell ref="I381:Q381"/>
    <mergeCell ref="I382:Q382"/>
  </mergeCells>
  <phoneticPr fontId="0" type="noConversion"/>
  <printOptions horizontalCentered="1"/>
  <pageMargins left="0.25" right="0.25" top="0.75" bottom="0.75" header="0.5" footer="0.5"/>
  <pageSetup scale="46" orientation="landscape" r:id="rId1"/>
  <headerFooter alignWithMargins="0">
    <oddHeader>&amp;C&amp;16Cost Support Matrix</oddHeader>
    <oddFooter>Page &amp;P of &amp;N</oddFooter>
  </headerFooter>
  <rowBreaks count="2" manualBreakCount="2">
    <brk id="276" max="16" man="1"/>
    <brk id="310"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5"/>
  <sheetViews>
    <sheetView topLeftCell="A243" zoomScale="75" zoomScaleNormal="75" zoomScaleSheetLayoutView="50" workbookViewId="0">
      <selection sqref="A1:A1048576"/>
    </sheetView>
  </sheetViews>
  <sheetFormatPr defaultRowHeight="12.75"/>
  <cols>
    <col min="1" max="1" width="10.7109375" style="465" customWidth="1"/>
    <col min="2" max="2" width="4.28515625" style="465" customWidth="1"/>
    <col min="3" max="3" width="58" style="465" customWidth="1"/>
    <col min="4" max="4" width="18" style="465" customWidth="1"/>
    <col min="5" max="5" width="14.140625" style="465" customWidth="1"/>
    <col min="6" max="6" width="41.140625" style="465" customWidth="1"/>
    <col min="7" max="7" width="16.28515625" style="465" customWidth="1"/>
    <col min="8" max="8" width="15.28515625" style="465" customWidth="1"/>
    <col min="9" max="9" width="15.85546875" style="465" customWidth="1"/>
    <col min="10" max="10" width="13.7109375" style="465" customWidth="1"/>
    <col min="11" max="11" width="11.7109375" style="465" customWidth="1"/>
    <col min="12" max="13" width="9.7109375" style="465" customWidth="1"/>
    <col min="14" max="14" width="13.28515625" style="465" bestFit="1" customWidth="1"/>
    <col min="15" max="17" width="9.7109375" style="465" customWidth="1"/>
    <col min="18" max="18" width="4.7109375" style="465" customWidth="1"/>
    <col min="19" max="19" width="4.85546875" style="465" customWidth="1"/>
    <col min="20" max="16384" width="9.140625" style="465"/>
  </cols>
  <sheetData>
    <row r="1" spans="1:20" ht="21" customHeight="1">
      <c r="A1" s="102"/>
      <c r="B1" s="43"/>
      <c r="D1" s="33"/>
      <c r="E1" s="656"/>
      <c r="F1" s="654"/>
      <c r="G1" s="466" t="str">
        <f>+'ATT H-2A'!A4</f>
        <v>Baltimore Gas and Electric Company</v>
      </c>
    </row>
    <row r="2" spans="1:20" ht="10.5" customHeight="1">
      <c r="A2" s="366"/>
      <c r="B2" s="43"/>
      <c r="D2" s="33"/>
      <c r="E2" s="656"/>
      <c r="F2" s="654"/>
      <c r="Q2" s="769"/>
    </row>
    <row r="3" spans="1:20" ht="21" customHeight="1">
      <c r="A3" s="366"/>
      <c r="B3" s="43"/>
      <c r="D3" s="33"/>
      <c r="E3" s="656"/>
      <c r="F3" s="654"/>
      <c r="G3" s="770" t="s">
        <v>639</v>
      </c>
      <c r="Q3" s="769"/>
    </row>
    <row r="4" spans="1:20" ht="21" customHeight="1">
      <c r="A4" s="366"/>
      <c r="B4" s="43"/>
      <c r="D4" s="33"/>
      <c r="E4" s="656"/>
      <c r="F4" s="654"/>
      <c r="G4" s="770"/>
      <c r="J4" s="1031"/>
      <c r="Q4" s="771"/>
    </row>
    <row r="5" spans="1:20" ht="21" customHeight="1" thickBot="1">
      <c r="A5" s="319" t="s">
        <v>507</v>
      </c>
      <c r="B5" s="43"/>
      <c r="D5" s="33"/>
      <c r="E5" s="656"/>
      <c r="F5" s="654"/>
    </row>
    <row r="6" spans="1:20" ht="26.25" customHeight="1">
      <c r="A6" s="1069" t="s">
        <v>594</v>
      </c>
      <c r="B6" s="1070"/>
      <c r="C6" s="1070"/>
      <c r="D6" s="1070"/>
      <c r="E6" s="1070"/>
      <c r="F6" s="1071"/>
      <c r="G6" s="772" t="s">
        <v>422</v>
      </c>
      <c r="H6" s="773" t="s">
        <v>407</v>
      </c>
      <c r="I6" s="773" t="s">
        <v>423</v>
      </c>
      <c r="J6" s="1078" t="s">
        <v>345</v>
      </c>
      <c r="K6" s="1094"/>
      <c r="L6" s="1094"/>
      <c r="M6" s="1094"/>
      <c r="N6" s="1094"/>
      <c r="O6" s="1094"/>
      <c r="P6" s="1094"/>
      <c r="Q6" s="1095"/>
    </row>
    <row r="7" spans="1:20" ht="15.75" customHeight="1">
      <c r="A7" s="774"/>
      <c r="B7" s="19" t="s">
        <v>215</v>
      </c>
      <c r="C7" s="33"/>
      <c r="D7" s="46"/>
      <c r="E7" s="108"/>
      <c r="F7" s="775"/>
      <c r="G7" s="514"/>
      <c r="H7" s="543"/>
      <c r="I7" s="543"/>
      <c r="J7" s="1108"/>
      <c r="K7" s="1081"/>
      <c r="L7" s="1081"/>
      <c r="M7" s="1081"/>
      <c r="N7" s="1081"/>
      <c r="O7" s="1081"/>
      <c r="P7" s="1081"/>
      <c r="Q7" s="1082"/>
    </row>
    <row r="8" spans="1:20" ht="15.75" hidden="1" customHeight="1">
      <c r="A8" s="776">
        <f>'Exh F - AA-BL Items'!A17</f>
        <v>7</v>
      </c>
      <c r="B8" s="46"/>
      <c r="C8" s="62" t="str">
        <f>'Exh F - AA-BL Items'!C17</f>
        <v>Common Plant In Service - Electric</v>
      </c>
      <c r="D8" s="33"/>
      <c r="E8" s="123" t="str">
        <f>'Exh F - AA-BL Items'!E17</f>
        <v>(Note A)</v>
      </c>
      <c r="F8" s="777" t="str">
        <f>'Exh F - AA-BL Items'!F17</f>
        <v>(Line 24)</v>
      </c>
      <c r="G8" s="778">
        <v>467649847</v>
      </c>
      <c r="H8" s="779">
        <v>380199326</v>
      </c>
      <c r="I8" s="779">
        <v>87450521</v>
      </c>
      <c r="J8" s="1109" t="s">
        <v>620</v>
      </c>
      <c r="K8" s="1110"/>
      <c r="L8" s="1110"/>
      <c r="M8" s="1110"/>
      <c r="N8" s="1110"/>
      <c r="O8" s="1110"/>
      <c r="P8" s="1110"/>
      <c r="Q8" s="1111"/>
    </row>
    <row r="9" spans="1:20" ht="24.75" customHeight="1">
      <c r="A9" s="776">
        <f>'Exh F - AA-BL Items'!A16</f>
        <v>6</v>
      </c>
      <c r="B9" s="33"/>
      <c r="C9" s="45" t="str">
        <f>'Exh F - AA-BL Items'!C16</f>
        <v>Electric Plant in Service</v>
      </c>
      <c r="D9" s="108"/>
      <c r="E9" s="123"/>
      <c r="F9" s="780" t="s">
        <v>57</v>
      </c>
      <c r="G9" s="778">
        <v>6099881141</v>
      </c>
      <c r="H9" s="779">
        <f>+G9-I9</f>
        <v>6092814981</v>
      </c>
      <c r="I9" s="779">
        <f>6886461+179699</f>
        <v>7066160</v>
      </c>
      <c r="J9" s="1089" t="s">
        <v>860</v>
      </c>
      <c r="K9" s="1089"/>
      <c r="L9" s="1089"/>
      <c r="M9" s="1089"/>
      <c r="N9" s="1089"/>
      <c r="O9" s="1089"/>
      <c r="P9" s="1089"/>
      <c r="Q9" s="1090"/>
      <c r="R9" s="463"/>
      <c r="S9" s="463"/>
      <c r="T9" s="463"/>
    </row>
    <row r="10" spans="1:20" ht="24.75" customHeight="1">
      <c r="A10" s="776">
        <f>'Exh F - AA-BL Items'!A20</f>
        <v>9</v>
      </c>
      <c r="B10" s="33"/>
      <c r="C10" s="45" t="str">
        <f>'Exh F - AA-BL Items'!C20</f>
        <v>Accumulated Depreciation (Total Electric Plant)</v>
      </c>
      <c r="D10" s="108"/>
      <c r="E10" s="123"/>
      <c r="F10" s="780" t="s">
        <v>58</v>
      </c>
      <c r="G10" s="778">
        <v>2276740320</v>
      </c>
      <c r="H10" s="779">
        <f>+G10-I10</f>
        <v>2276736635</v>
      </c>
      <c r="I10" s="779">
        <v>3685</v>
      </c>
      <c r="J10" s="1089" t="s">
        <v>861</v>
      </c>
      <c r="K10" s="1089"/>
      <c r="L10" s="1089"/>
      <c r="M10" s="1089"/>
      <c r="N10" s="1089"/>
      <c r="O10" s="1089"/>
      <c r="P10" s="1089"/>
      <c r="Q10" s="1090"/>
      <c r="R10" s="463"/>
      <c r="S10" s="463"/>
      <c r="T10" s="463"/>
    </row>
    <row r="11" spans="1:20" ht="24.75" customHeight="1">
      <c r="A11" s="776">
        <f>'Exh F - AA-BL Items'!A21</f>
        <v>10</v>
      </c>
      <c r="B11" s="33"/>
      <c r="C11" s="45" t="str">
        <f>'Exh F - AA-BL Items'!C21</f>
        <v>Accumulated Intangible Amortization</v>
      </c>
      <c r="D11" s="108"/>
      <c r="E11" s="123" t="str">
        <f>'Exh F - AA-BL Items'!E21</f>
        <v>(Note A)</v>
      </c>
      <c r="F11" s="780" t="s">
        <v>853</v>
      </c>
      <c r="G11" s="778">
        <v>35256793</v>
      </c>
      <c r="H11" s="779">
        <f>+G11-I11</f>
        <v>34420098</v>
      </c>
      <c r="I11" s="779">
        <v>836695</v>
      </c>
      <c r="J11" s="1089" t="s">
        <v>862</v>
      </c>
      <c r="K11" s="1089"/>
      <c r="L11" s="1089"/>
      <c r="M11" s="1089"/>
      <c r="N11" s="1089"/>
      <c r="O11" s="1089"/>
      <c r="P11" s="1089"/>
      <c r="Q11" s="1090"/>
      <c r="R11" s="463"/>
      <c r="S11" s="463"/>
      <c r="T11" s="463"/>
    </row>
    <row r="12" spans="1:20" ht="18.75" customHeight="1">
      <c r="A12" s="776">
        <f>'Exh F - AA-BL Items'!A22</f>
        <v>11</v>
      </c>
      <c r="B12" s="46"/>
      <c r="C12" s="62" t="str">
        <f>'Exh F - AA-BL Items'!C22</f>
        <v>Accumulated Common Amortization - Electric</v>
      </c>
      <c r="D12" s="108"/>
      <c r="E12" s="123" t="str">
        <f>'Exh F - AA-BL Items'!E22</f>
        <v>(Note A)</v>
      </c>
      <c r="F12" s="780" t="str">
        <f>'Exh F - AA-BL Items'!F22</f>
        <v>p356</v>
      </c>
      <c r="G12" s="778">
        <v>0</v>
      </c>
      <c r="H12" s="779">
        <v>0</v>
      </c>
      <c r="I12" s="779">
        <v>0</v>
      </c>
      <c r="J12" s="1089"/>
      <c r="K12" s="1089"/>
      <c r="L12" s="1089"/>
      <c r="M12" s="1089"/>
      <c r="N12" s="1089"/>
      <c r="O12" s="1089"/>
      <c r="P12" s="1089"/>
      <c r="Q12" s="1090"/>
    </row>
    <row r="13" spans="1:20" ht="24.75" customHeight="1">
      <c r="A13" s="776">
        <f>'[1]Exh F - AA-BL Items'!A23</f>
        <v>12</v>
      </c>
      <c r="B13" s="33"/>
      <c r="C13" s="45" t="s">
        <v>246</v>
      </c>
      <c r="D13" s="108"/>
      <c r="E13" s="123" t="str">
        <f>'[1]Exh F - AA-BL Items'!E23</f>
        <v>(Note A)</v>
      </c>
      <c r="F13" s="780" t="s">
        <v>44</v>
      </c>
      <c r="G13" s="778">
        <v>96049640</v>
      </c>
      <c r="H13" s="779">
        <f>+G13-I13</f>
        <v>95990067</v>
      </c>
      <c r="I13" s="779">
        <v>59573</v>
      </c>
      <c r="J13" s="1089" t="s">
        <v>863</v>
      </c>
      <c r="K13" s="1089"/>
      <c r="L13" s="1089"/>
      <c r="M13" s="1089"/>
      <c r="N13" s="1089"/>
      <c r="O13" s="1089"/>
      <c r="P13" s="1089"/>
      <c r="Q13" s="1090"/>
      <c r="R13" s="463"/>
      <c r="S13" s="463"/>
      <c r="T13" s="463"/>
    </row>
    <row r="14" spans="1:20" ht="15.75" customHeight="1">
      <c r="A14" s="774"/>
      <c r="B14" s="19" t="s">
        <v>161</v>
      </c>
      <c r="C14" s="33"/>
      <c r="D14" s="33"/>
      <c r="E14" s="781"/>
      <c r="F14" s="777"/>
      <c r="G14" s="514"/>
      <c r="H14" s="543"/>
      <c r="I14" s="543"/>
      <c r="J14" s="1089"/>
      <c r="K14" s="1089"/>
      <c r="L14" s="1089"/>
      <c r="M14" s="1089"/>
      <c r="N14" s="1089"/>
      <c r="O14" s="1089"/>
      <c r="P14" s="1089"/>
      <c r="Q14" s="1090"/>
    </row>
    <row r="15" spans="1:20" ht="30" customHeight="1">
      <c r="A15" s="785">
        <v>19</v>
      </c>
      <c r="B15" s="19"/>
      <c r="C15" s="486" t="s">
        <v>198</v>
      </c>
      <c r="D15" s="9"/>
      <c r="E15" s="123"/>
      <c r="F15" s="498" t="s">
        <v>77</v>
      </c>
      <c r="G15" s="778">
        <v>1005961926</v>
      </c>
      <c r="H15" s="779">
        <f>+G15-I15</f>
        <v>1011607962.04</v>
      </c>
      <c r="I15" s="779">
        <f>-5825735.04+179699</f>
        <v>-5646036.04</v>
      </c>
      <c r="J15" s="1089" t="s">
        <v>839</v>
      </c>
      <c r="K15" s="1089"/>
      <c r="L15" s="1089"/>
      <c r="M15" s="1089"/>
      <c r="N15" s="1089"/>
      <c r="O15" s="1089"/>
      <c r="P15" s="1089"/>
      <c r="Q15" s="1090"/>
    </row>
    <row r="16" spans="1:20" ht="25.5" customHeight="1">
      <c r="A16" s="785">
        <v>23</v>
      </c>
      <c r="B16" s="19"/>
      <c r="C16" s="33" t="s">
        <v>561</v>
      </c>
      <c r="D16" s="108"/>
      <c r="E16" s="781"/>
      <c r="F16" s="498" t="s">
        <v>59</v>
      </c>
      <c r="G16" s="778">
        <f>52788027+109095458</f>
        <v>161883485</v>
      </c>
      <c r="H16" s="779">
        <f>+G16-I16</f>
        <v>134894088.00999999</v>
      </c>
      <c r="I16" s="782">
        <f>14277200.95+5825735.04+6886461</f>
        <v>26989396.989999998</v>
      </c>
      <c r="J16" s="1089" t="s">
        <v>841</v>
      </c>
      <c r="K16" s="1089"/>
      <c r="L16" s="1089"/>
      <c r="M16" s="1089"/>
      <c r="N16" s="1089"/>
      <c r="O16" s="1089"/>
      <c r="P16" s="1089"/>
      <c r="Q16" s="1090"/>
    </row>
    <row r="17" spans="1:20" ht="25.5" customHeight="1">
      <c r="A17" s="776">
        <f>'Exh F - AA-BL Items'!A40</f>
        <v>24</v>
      </c>
      <c r="B17" s="43"/>
      <c r="C17" s="489" t="str">
        <f>'Exh F - AA-BL Items'!C40</f>
        <v>Common Plant (Electric Only)</v>
      </c>
      <c r="D17" s="108"/>
      <c r="E17" s="123" t="str">
        <f>'Exh F - AA-BL Items'!E40</f>
        <v>(Notes A)</v>
      </c>
      <c r="F17" s="780" t="s">
        <v>44</v>
      </c>
      <c r="G17" s="778">
        <v>444754387</v>
      </c>
      <c r="H17" s="779">
        <f>+G17-I17</f>
        <v>444006494</v>
      </c>
      <c r="I17" s="782">
        <v>747893</v>
      </c>
      <c r="J17" s="1089" t="s">
        <v>838</v>
      </c>
      <c r="K17" s="1089"/>
      <c r="L17" s="1089"/>
      <c r="M17" s="1089"/>
      <c r="N17" s="1089"/>
      <c r="O17" s="1089"/>
      <c r="P17" s="1089"/>
      <c r="Q17" s="1090"/>
      <c r="R17" s="463"/>
      <c r="S17" s="463"/>
      <c r="T17" s="463"/>
    </row>
    <row r="18" spans="1:20" ht="15.75" hidden="1" customHeight="1">
      <c r="A18" s="776"/>
      <c r="B18" s="19" t="s">
        <v>102</v>
      </c>
      <c r="C18" s="19"/>
      <c r="D18" s="593"/>
      <c r="E18" s="591"/>
      <c r="F18" s="780"/>
      <c r="G18" s="514"/>
      <c r="H18" s="543"/>
      <c r="I18" s="543"/>
      <c r="J18" s="1089" t="s">
        <v>631</v>
      </c>
      <c r="K18" s="1089"/>
      <c r="L18" s="1089"/>
      <c r="M18" s="1089"/>
      <c r="N18" s="1089"/>
      <c r="O18" s="1089"/>
      <c r="P18" s="1089"/>
      <c r="Q18" s="1090"/>
    </row>
    <row r="19" spans="1:20" ht="15.75" hidden="1" customHeight="1">
      <c r="A19" s="776">
        <f>'Exh F - AA-BL Items'!A55</f>
        <v>33</v>
      </c>
      <c r="B19" s="43"/>
      <c r="C19" s="489" t="str">
        <f>'Exh F - AA-BL Items'!C55</f>
        <v>Accumulated Common Amortization - Electric</v>
      </c>
      <c r="D19" s="33"/>
      <c r="E19" s="123">
        <f>'Exh F - AA-BL Items'!E55</f>
        <v>0</v>
      </c>
      <c r="F19" s="780" t="str">
        <f>'Exh F - AA-BL Items'!F55</f>
        <v>(Line 11)</v>
      </c>
      <c r="G19" s="778">
        <v>0</v>
      </c>
      <c r="H19" s="779">
        <v>0</v>
      </c>
      <c r="I19" s="779">
        <v>0</v>
      </c>
      <c r="J19" s="1089" t="s">
        <v>622</v>
      </c>
      <c r="K19" s="1089"/>
      <c r="L19" s="1089"/>
      <c r="M19" s="1089"/>
      <c r="N19" s="1089"/>
      <c r="O19" s="1089"/>
      <c r="P19" s="1089"/>
      <c r="Q19" s="1090"/>
    </row>
    <row r="20" spans="1:20" ht="15.75" hidden="1" customHeight="1">
      <c r="A20" s="776">
        <f>'Exh F - AA-BL Items'!A56</f>
        <v>34</v>
      </c>
      <c r="B20" s="43"/>
      <c r="C20" s="489" t="str">
        <f>'Exh F - AA-BL Items'!C56</f>
        <v>Common Plant Accumulated Depreciation (Electric Only)</v>
      </c>
      <c r="D20" s="33"/>
      <c r="E20" s="123" t="str">
        <f>'Exh F - AA-BL Items'!E56</f>
        <v>(Notes A)</v>
      </c>
      <c r="F20" s="780" t="str">
        <f>'Exh F - AA-BL Items'!F56</f>
        <v>(Line 12)</v>
      </c>
      <c r="G20" s="778">
        <v>142681235</v>
      </c>
      <c r="H20" s="779">
        <v>134765292</v>
      </c>
      <c r="I20" s="779">
        <v>7915943</v>
      </c>
      <c r="J20" s="1089" t="s">
        <v>623</v>
      </c>
      <c r="K20" s="1089"/>
      <c r="L20" s="1089"/>
      <c r="M20" s="1089"/>
      <c r="N20" s="1089"/>
      <c r="O20" s="1089"/>
      <c r="P20" s="1089"/>
      <c r="Q20" s="1090"/>
    </row>
    <row r="21" spans="1:20" ht="15.75" customHeight="1">
      <c r="A21" s="776"/>
      <c r="B21" s="43"/>
      <c r="C21" s="489"/>
      <c r="D21" s="33"/>
      <c r="E21" s="123"/>
      <c r="F21" s="780"/>
      <c r="G21" s="778"/>
      <c r="H21" s="779"/>
      <c r="I21" s="779"/>
      <c r="J21" s="783"/>
      <c r="K21" s="783"/>
      <c r="L21" s="783"/>
      <c r="M21" s="783"/>
      <c r="N21" s="783"/>
      <c r="O21" s="783"/>
      <c r="P21" s="783"/>
      <c r="Q21" s="784"/>
    </row>
    <row r="22" spans="1:20" ht="15.75" customHeight="1">
      <c r="A22" s="776"/>
      <c r="B22" s="19" t="s">
        <v>102</v>
      </c>
      <c r="C22" s="489"/>
      <c r="D22" s="33"/>
      <c r="E22" s="123"/>
      <c r="F22" s="780"/>
      <c r="G22" s="778"/>
      <c r="H22" s="779"/>
      <c r="I22" s="779"/>
      <c r="J22" s="783"/>
      <c r="K22" s="783"/>
      <c r="L22" s="783"/>
      <c r="M22" s="783"/>
      <c r="N22" s="783"/>
      <c r="O22" s="783"/>
      <c r="P22" s="783"/>
      <c r="Q22" s="784"/>
    </row>
    <row r="23" spans="1:20" ht="32.25" customHeight="1">
      <c r="A23" s="776">
        <v>30</v>
      </c>
      <c r="B23" s="19"/>
      <c r="C23" s="486" t="s">
        <v>233</v>
      </c>
      <c r="D23" s="9"/>
      <c r="E23" s="123"/>
      <c r="F23" s="498" t="s">
        <v>78</v>
      </c>
      <c r="G23" s="778">
        <v>349640127</v>
      </c>
      <c r="H23" s="779">
        <f>+G23-I23</f>
        <v>353502771.81</v>
      </c>
      <c r="I23" s="779">
        <f>-3866329.81+3685</f>
        <v>-3862644.81</v>
      </c>
      <c r="J23" s="1089" t="s">
        <v>840</v>
      </c>
      <c r="K23" s="1089"/>
      <c r="L23" s="1089"/>
      <c r="M23" s="1089"/>
      <c r="N23" s="1089"/>
      <c r="O23" s="1089"/>
      <c r="P23" s="1089"/>
      <c r="Q23" s="1090"/>
    </row>
    <row r="24" spans="1:20" ht="26.25" customHeight="1">
      <c r="A24" s="776">
        <v>32</v>
      </c>
      <c r="B24" s="46"/>
      <c r="C24" s="62" t="s">
        <v>245</v>
      </c>
      <c r="D24" s="108"/>
      <c r="E24" s="123" t="s">
        <v>226</v>
      </c>
      <c r="F24" s="780" t="s">
        <v>258</v>
      </c>
      <c r="G24" s="778">
        <v>35256793</v>
      </c>
      <c r="H24" s="779">
        <f>+G24-I24</f>
        <v>26998535.52</v>
      </c>
      <c r="I24" s="779">
        <f>3555232.67+3866329.81+836695</f>
        <v>8258257.4800000004</v>
      </c>
      <c r="J24" s="1089" t="s">
        <v>842</v>
      </c>
      <c r="K24" s="1089"/>
      <c r="L24" s="1089"/>
      <c r="M24" s="1089"/>
      <c r="N24" s="1089"/>
      <c r="O24" s="1089"/>
      <c r="P24" s="1089"/>
      <c r="Q24" s="1090"/>
    </row>
    <row r="25" spans="1:20" ht="15.75" customHeight="1">
      <c r="A25" s="776"/>
      <c r="B25" s="43"/>
      <c r="C25" s="489"/>
      <c r="D25" s="33"/>
      <c r="E25" s="123"/>
      <c r="F25" s="780"/>
      <c r="G25" s="778"/>
      <c r="H25" s="779"/>
      <c r="I25" s="779"/>
      <c r="J25" s="1089"/>
      <c r="K25" s="1089"/>
      <c r="L25" s="1089"/>
      <c r="M25" s="1089"/>
      <c r="N25" s="1089"/>
      <c r="O25" s="1089"/>
      <c r="P25" s="1089"/>
      <c r="Q25" s="1090"/>
    </row>
    <row r="26" spans="1:20" ht="15.75" customHeight="1">
      <c r="A26" s="785"/>
      <c r="B26" s="411" t="s">
        <v>296</v>
      </c>
      <c r="C26" s="33"/>
      <c r="D26" s="62"/>
      <c r="E26" s="786"/>
      <c r="F26" s="775"/>
      <c r="G26" s="514"/>
      <c r="H26" s="543"/>
      <c r="I26" s="543"/>
      <c r="J26" s="1089"/>
      <c r="K26" s="1089"/>
      <c r="L26" s="1089"/>
      <c r="M26" s="1089"/>
      <c r="N26" s="1089"/>
      <c r="O26" s="1089"/>
      <c r="P26" s="1089"/>
      <c r="Q26" s="1090"/>
    </row>
    <row r="27" spans="1:20" ht="15.75" customHeight="1">
      <c r="A27" s="776">
        <f>'Exh F - AA-BL Items'!A71</f>
        <v>41</v>
      </c>
      <c r="B27" s="62"/>
      <c r="C27" s="490" t="str">
        <f>'Exh F - AA-BL Items'!C71</f>
        <v>Accumulated Investment Tax Credit Account No. 255</v>
      </c>
      <c r="D27" s="123"/>
      <c r="E27" s="787" t="str">
        <f>'Exh F - AA-BL Items'!E71</f>
        <v>(Notes A &amp; I)</v>
      </c>
      <c r="F27" s="777" t="str">
        <f>'Exh F - AA-BL Items'!F71</f>
        <v>p266.h</v>
      </c>
      <c r="G27" s="778">
        <v>0</v>
      </c>
      <c r="H27" s="779">
        <v>0</v>
      </c>
      <c r="I27" s="782">
        <v>0</v>
      </c>
      <c r="J27" s="1089" t="s">
        <v>624</v>
      </c>
      <c r="K27" s="1089"/>
      <c r="L27" s="1089"/>
      <c r="M27" s="1089"/>
      <c r="N27" s="1089"/>
      <c r="O27" s="1089"/>
      <c r="P27" s="1089"/>
      <c r="Q27" s="1090"/>
    </row>
    <row r="28" spans="1:20" ht="15.75" customHeight="1">
      <c r="A28" s="776"/>
      <c r="B28" s="62"/>
      <c r="C28" s="490"/>
      <c r="D28" s="161"/>
      <c r="E28" s="787"/>
      <c r="F28" s="777"/>
      <c r="G28" s="778"/>
      <c r="H28" s="779"/>
      <c r="I28" s="782"/>
      <c r="J28" s="1089" t="s">
        <v>632</v>
      </c>
      <c r="K28" s="1089"/>
      <c r="L28" s="1089"/>
      <c r="M28" s="1089"/>
      <c r="N28" s="1089"/>
      <c r="O28" s="1089"/>
      <c r="P28" s="1089"/>
      <c r="Q28" s="1090"/>
    </row>
    <row r="29" spans="1:20" ht="15.75">
      <c r="A29" s="776"/>
      <c r="B29" s="411" t="s">
        <v>97</v>
      </c>
      <c r="C29" s="62"/>
      <c r="D29" s="62"/>
      <c r="E29" s="788"/>
      <c r="F29" s="789"/>
      <c r="G29" s="514"/>
      <c r="H29" s="543"/>
      <c r="I29" s="543"/>
      <c r="J29" s="1089"/>
      <c r="K29" s="1089"/>
      <c r="L29" s="1089"/>
      <c r="M29" s="1089"/>
      <c r="N29" s="1089"/>
      <c r="O29" s="1089"/>
      <c r="P29" s="1089"/>
      <c r="Q29" s="1090"/>
    </row>
    <row r="30" spans="1:20" ht="19.5" customHeight="1">
      <c r="A30" s="790">
        <f>'Exh F - AA-BL Items'!A82</f>
        <v>47</v>
      </c>
      <c r="B30" s="62"/>
      <c r="C30" s="535" t="str">
        <f>'Exh F - AA-BL Items'!C82</f>
        <v>Undistributed Stores Exp</v>
      </c>
      <c r="D30" s="791"/>
      <c r="E30" s="792" t="str">
        <f>'Exh F - AA-BL Items'!E82</f>
        <v>(Note A)</v>
      </c>
      <c r="F30" s="793" t="s">
        <v>751</v>
      </c>
      <c r="G30" s="794">
        <v>0</v>
      </c>
      <c r="H30" s="795">
        <f>G30*0.774</f>
        <v>0</v>
      </c>
      <c r="I30" s="795">
        <f>G30*0.226</f>
        <v>0</v>
      </c>
      <c r="J30" s="1112"/>
      <c r="K30" s="1112"/>
      <c r="L30" s="1112"/>
      <c r="M30" s="1112"/>
      <c r="N30" s="1112"/>
      <c r="O30" s="1112"/>
      <c r="P30" s="1112"/>
      <c r="Q30" s="1113"/>
    </row>
    <row r="31" spans="1:20" ht="6.75" customHeight="1">
      <c r="A31" s="785"/>
      <c r="B31" s="62"/>
      <c r="C31" s="62"/>
      <c r="D31" s="45"/>
      <c r="E31" s="796"/>
      <c r="F31" s="797"/>
      <c r="G31" s="778"/>
      <c r="H31" s="779"/>
      <c r="I31" s="779"/>
      <c r="J31" s="1089"/>
      <c r="K31" s="1089"/>
      <c r="L31" s="1089"/>
      <c r="M31" s="1089"/>
      <c r="N31" s="1089"/>
      <c r="O31" s="1089"/>
      <c r="P31" s="1089"/>
      <c r="Q31" s="1090"/>
    </row>
    <row r="32" spans="1:20" ht="15.75">
      <c r="A32" s="776"/>
      <c r="B32" s="19" t="s">
        <v>86</v>
      </c>
      <c r="C32" s="45"/>
      <c r="D32" s="45"/>
      <c r="E32" s="781"/>
      <c r="F32" s="798"/>
      <c r="G32" s="514"/>
      <c r="H32" s="543"/>
      <c r="I32" s="543"/>
      <c r="Q32" s="784"/>
    </row>
    <row r="33" spans="1:20" ht="15.75">
      <c r="A33" s="776">
        <f>+'ATT H-2A'!A116</f>
        <v>65</v>
      </c>
      <c r="B33" s="19"/>
      <c r="C33" s="490" t="str">
        <f>'ATT H-2A'!C116</f>
        <v xml:space="preserve">     Plus Transmission Lease Payments</v>
      </c>
      <c r="D33" s="45"/>
      <c r="E33" s="799" t="str">
        <f>+'ATT H-2A'!E116</f>
        <v>(Note A)</v>
      </c>
      <c r="F33" s="800" t="str">
        <f>+'ATT H-2A'!F116</f>
        <v>P200.4.c</v>
      </c>
      <c r="G33" s="514"/>
      <c r="H33" s="543"/>
      <c r="I33" s="543"/>
      <c r="J33" s="1089"/>
      <c r="K33" s="1089"/>
      <c r="L33" s="1089"/>
      <c r="M33" s="1089"/>
      <c r="N33" s="1089"/>
      <c r="O33" s="1089"/>
      <c r="P33" s="1089"/>
      <c r="Q33" s="1090"/>
    </row>
    <row r="34" spans="1:20" ht="30.75" customHeight="1">
      <c r="A34" s="801">
        <f>'Exh F - AA-BL Items'!A111</f>
        <v>67</v>
      </c>
      <c r="B34" s="119"/>
      <c r="C34" s="536" t="str">
        <f>'Exh F - AA-BL Items'!C111</f>
        <v>Common Plant O&amp;M</v>
      </c>
      <c r="D34" s="791"/>
      <c r="E34" s="802" t="str">
        <f>'Exh F - AA-BL Items'!E111</f>
        <v>(Note A)</v>
      </c>
      <c r="F34" s="803" t="s">
        <v>665</v>
      </c>
      <c r="G34" s="804">
        <v>0</v>
      </c>
      <c r="H34" s="805">
        <v>0</v>
      </c>
      <c r="I34" s="805">
        <v>0</v>
      </c>
      <c r="J34" s="1112" t="s">
        <v>663</v>
      </c>
      <c r="K34" s="1112"/>
      <c r="L34" s="1112"/>
      <c r="M34" s="1112"/>
      <c r="N34" s="1112"/>
      <c r="O34" s="1112"/>
      <c r="P34" s="1112"/>
      <c r="Q34" s="1113"/>
    </row>
    <row r="35" spans="1:20" ht="8.25" customHeight="1">
      <c r="A35" s="776"/>
      <c r="B35" s="119"/>
      <c r="C35" s="490"/>
      <c r="D35" s="45"/>
      <c r="E35" s="806"/>
      <c r="F35" s="780"/>
      <c r="G35" s="778"/>
      <c r="H35" s="779"/>
      <c r="I35" s="779"/>
      <c r="J35" s="807"/>
      <c r="K35" s="783"/>
      <c r="L35" s="783"/>
      <c r="M35" s="783"/>
      <c r="N35" s="783"/>
      <c r="O35" s="783"/>
      <c r="P35" s="783"/>
      <c r="Q35" s="784"/>
    </row>
    <row r="36" spans="1:20" ht="15.75">
      <c r="A36" s="774"/>
      <c r="B36" s="104" t="s">
        <v>39</v>
      </c>
      <c r="C36" s="46"/>
      <c r="D36" s="33"/>
      <c r="E36" s="108"/>
      <c r="F36" s="808"/>
      <c r="G36" s="514"/>
      <c r="H36" s="543"/>
      <c r="I36" s="543"/>
      <c r="L36" s="783"/>
      <c r="M36" s="783"/>
      <c r="N36" s="783"/>
      <c r="O36" s="783"/>
      <c r="P36" s="783"/>
      <c r="Q36" s="784"/>
    </row>
    <row r="37" spans="1:20" ht="28.5" customHeight="1">
      <c r="A37" s="785">
        <v>85</v>
      </c>
      <c r="B37" s="104"/>
      <c r="C37" s="46" t="s">
        <v>773</v>
      </c>
      <c r="D37" s="33"/>
      <c r="E37" s="108"/>
      <c r="F37" s="22" t="s">
        <v>211</v>
      </c>
      <c r="G37" s="778">
        <v>20757711</v>
      </c>
      <c r="H37" s="782">
        <f>+G37-I37</f>
        <v>21920966.079999998</v>
      </c>
      <c r="I37" s="779">
        <f>-1166940.08+3685</f>
        <v>-1163255.08</v>
      </c>
      <c r="J37" s="1089" t="s">
        <v>844</v>
      </c>
      <c r="K37" s="1089"/>
      <c r="L37" s="1089"/>
      <c r="M37" s="1089"/>
      <c r="N37" s="1089"/>
      <c r="O37" s="1089"/>
      <c r="P37" s="1089"/>
      <c r="Q37" s="1090"/>
    </row>
    <row r="38" spans="1:20" ht="29.25" customHeight="1">
      <c r="A38" s="785">
        <v>86</v>
      </c>
      <c r="B38" s="104"/>
      <c r="C38" s="46" t="s">
        <v>220</v>
      </c>
      <c r="D38" s="108"/>
      <c r="E38" s="108"/>
      <c r="F38" s="44" t="s">
        <v>67</v>
      </c>
      <c r="G38" s="778">
        <v>4812059</v>
      </c>
      <c r="H38" s="782">
        <f>+G38-I38</f>
        <v>4812059</v>
      </c>
      <c r="I38" s="782">
        <v>0</v>
      </c>
      <c r="J38" s="1089" t="s">
        <v>756</v>
      </c>
      <c r="K38" s="1089"/>
      <c r="L38" s="1089"/>
      <c r="M38" s="1089"/>
      <c r="N38" s="1089"/>
      <c r="O38" s="1089"/>
      <c r="P38" s="1089"/>
      <c r="Q38" s="1090"/>
    </row>
    <row r="39" spans="1:20" ht="46.5" customHeight="1">
      <c r="A39" s="785">
        <v>87</v>
      </c>
      <c r="B39" s="104"/>
      <c r="C39" s="46" t="s">
        <v>163</v>
      </c>
      <c r="D39" s="108"/>
      <c r="E39" s="108"/>
      <c r="F39" s="44" t="s">
        <v>739</v>
      </c>
      <c r="G39" s="778">
        <v>7940246</v>
      </c>
      <c r="H39" s="782">
        <f>+G39-I39</f>
        <v>4722204.88</v>
      </c>
      <c r="I39" s="782">
        <f>1166940.08+1227153.04+823948</f>
        <v>3218041.12</v>
      </c>
      <c r="J39" s="1089" t="s">
        <v>843</v>
      </c>
      <c r="K39" s="1089"/>
      <c r="L39" s="1089"/>
      <c r="M39" s="1089"/>
      <c r="N39" s="1089"/>
      <c r="O39" s="1089"/>
      <c r="P39" s="1089"/>
      <c r="Q39" s="1090"/>
    </row>
    <row r="40" spans="1:20" ht="30.75" customHeight="1">
      <c r="A40" s="776">
        <v>90</v>
      </c>
      <c r="B40" s="990"/>
      <c r="C40" s="22" t="s">
        <v>166</v>
      </c>
      <c r="D40" s="132"/>
      <c r="E40" s="799"/>
      <c r="F40" s="991" t="s">
        <v>761</v>
      </c>
      <c r="G40" s="778">
        <f>+'ATT H-2A'!H152</f>
        <v>1180837.022231906</v>
      </c>
      <c r="H40" s="782">
        <f>+G40-I40</f>
        <v>1180837.022231906</v>
      </c>
      <c r="I40" s="782">
        <v>0</v>
      </c>
      <c r="J40" s="1089" t="s">
        <v>756</v>
      </c>
      <c r="K40" s="1089"/>
      <c r="L40" s="1089"/>
      <c r="M40" s="1089"/>
      <c r="N40" s="1089"/>
      <c r="O40" s="1089"/>
      <c r="P40" s="1089"/>
      <c r="Q40" s="1090"/>
      <c r="R40" s="463"/>
      <c r="S40" s="463"/>
      <c r="T40" s="463"/>
    </row>
    <row r="41" spans="1:20" ht="42" customHeight="1">
      <c r="A41" s="776">
        <f>'Exh F - AA-BL Items'!A145</f>
        <v>91</v>
      </c>
      <c r="B41" s="537"/>
      <c r="C41" s="480" t="str">
        <f>'Exh F - AA-BL Items'!C145</f>
        <v>Common Depreciation - Electric Only</v>
      </c>
      <c r="D41" s="132"/>
      <c r="E41" s="799" t="str">
        <f>'Exh F - AA-BL Items'!E145</f>
        <v>(Note A)</v>
      </c>
      <c r="F41" s="797" t="s">
        <v>755</v>
      </c>
      <c r="G41" s="1010">
        <f>15039401+99195</f>
        <v>15138596</v>
      </c>
      <c r="H41" s="782">
        <f>+G41-I41</f>
        <v>15080294</v>
      </c>
      <c r="I41" s="782">
        <v>58302</v>
      </c>
      <c r="J41" s="1089" t="s">
        <v>775</v>
      </c>
      <c r="K41" s="1089"/>
      <c r="L41" s="1089"/>
      <c r="M41" s="1089"/>
      <c r="N41" s="1089"/>
      <c r="O41" s="1089"/>
      <c r="P41" s="1089"/>
      <c r="Q41" s="1090"/>
      <c r="R41" s="463"/>
      <c r="S41" s="463"/>
      <c r="T41" s="463"/>
    </row>
    <row r="42" spans="1:20" ht="15.75" thickBot="1">
      <c r="A42" s="810">
        <f>'Exh F - AA-BL Items'!A146</f>
        <v>92</v>
      </c>
      <c r="B42" s="482"/>
      <c r="C42" s="479" t="str">
        <f>'Exh F - AA-BL Items'!C146</f>
        <v>Common Amortization - Electric Only</v>
      </c>
      <c r="D42" s="811"/>
      <c r="E42" s="812" t="str">
        <f>'Exh F - AA-BL Items'!E146</f>
        <v>(Note A)</v>
      </c>
      <c r="F42" s="813" t="s">
        <v>68</v>
      </c>
      <c r="G42" s="814">
        <v>20026426</v>
      </c>
      <c r="H42" s="815">
        <f>+G42</f>
        <v>20026426</v>
      </c>
      <c r="I42" s="816">
        <v>0</v>
      </c>
      <c r="J42" s="1114" t="s">
        <v>738</v>
      </c>
      <c r="K42" s="1114"/>
      <c r="L42" s="1114"/>
      <c r="M42" s="1114"/>
      <c r="N42" s="1114"/>
      <c r="O42" s="1114"/>
      <c r="P42" s="1114"/>
      <c r="Q42" s="1115"/>
    </row>
    <row r="43" spans="1:20" ht="11.25" customHeight="1"/>
    <row r="45" spans="1:20" ht="21" thickBot="1">
      <c r="A45" s="319" t="s">
        <v>509</v>
      </c>
    </row>
    <row r="46" spans="1:20" ht="50.25" customHeight="1">
      <c r="A46" s="1069" t="s">
        <v>594</v>
      </c>
      <c r="B46" s="1070"/>
      <c r="C46" s="1070"/>
      <c r="D46" s="1070"/>
      <c r="E46" s="1070"/>
      <c r="F46" s="1071"/>
      <c r="G46" s="773" t="s">
        <v>422</v>
      </c>
      <c r="H46" s="773" t="s">
        <v>426</v>
      </c>
      <c r="I46" s="773" t="s">
        <v>501</v>
      </c>
      <c r="J46" s="1078" t="s">
        <v>345</v>
      </c>
      <c r="K46" s="1094"/>
      <c r="L46" s="1094"/>
      <c r="M46" s="1094"/>
      <c r="N46" s="1094"/>
      <c r="O46" s="1094"/>
      <c r="P46" s="1094"/>
      <c r="Q46" s="1095"/>
    </row>
    <row r="47" spans="1:20" ht="33.75" customHeight="1">
      <c r="A47" s="776">
        <f>+'Exh F - AA-BL Items'!A45</f>
        <v>28</v>
      </c>
      <c r="B47" s="119"/>
      <c r="C47" s="411" t="str">
        <f>+'Exh F - AA-BL Items'!C45</f>
        <v>Plant Held for Future Use (Including Land)</v>
      </c>
      <c r="D47" s="123"/>
      <c r="E47" s="799" t="str">
        <f>+'Exh F - AA-BL Items'!E45</f>
        <v>(Note C)</v>
      </c>
      <c r="F47" s="800" t="str">
        <f>+'Exh F - AA-BL Items'!F45</f>
        <v>p214</v>
      </c>
      <c r="G47" s="779">
        <v>24855771</v>
      </c>
      <c r="H47" s="779">
        <f>6441623+5646897+3021975+1003037</f>
        <v>16113532</v>
      </c>
      <c r="I47" s="779">
        <f>+G47-H47</f>
        <v>8742239</v>
      </c>
      <c r="J47" s="1109" t="s">
        <v>633</v>
      </c>
      <c r="K47" s="1109"/>
      <c r="L47" s="1109"/>
      <c r="M47" s="1109"/>
      <c r="N47" s="1109"/>
      <c r="O47" s="1109"/>
      <c r="P47" s="1109"/>
      <c r="Q47" s="1116"/>
    </row>
    <row r="48" spans="1:20" ht="15.75" hidden="1" customHeight="1">
      <c r="A48" s="776"/>
      <c r="B48" s="19" t="s">
        <v>85</v>
      </c>
      <c r="C48" s="62"/>
      <c r="D48" s="45"/>
      <c r="E48" s="591"/>
      <c r="F48" s="817"/>
      <c r="G48" s="543"/>
      <c r="H48" s="543"/>
      <c r="I48" s="543"/>
      <c r="J48" s="1080"/>
      <c r="K48" s="1080"/>
      <c r="L48" s="1080"/>
      <c r="M48" s="1080"/>
      <c r="N48" s="1080"/>
      <c r="O48" s="1080"/>
      <c r="P48" s="1080"/>
      <c r="Q48" s="1117"/>
    </row>
    <row r="49" spans="1:17" ht="16.5" hidden="1" customHeight="1" thickBot="1">
      <c r="A49" s="776">
        <v>73</v>
      </c>
      <c r="B49" s="537"/>
      <c r="C49" s="480" t="s">
        <v>268</v>
      </c>
      <c r="D49" s="123"/>
      <c r="E49" s="796" t="s">
        <v>227</v>
      </c>
      <c r="F49" s="797" t="s">
        <v>37</v>
      </c>
      <c r="G49" s="677" t="s">
        <v>425</v>
      </c>
      <c r="H49" s="677" t="s">
        <v>425</v>
      </c>
      <c r="I49" s="677" t="s">
        <v>425</v>
      </c>
      <c r="J49" s="1080" t="s">
        <v>424</v>
      </c>
      <c r="K49" s="1080"/>
      <c r="L49" s="1080"/>
      <c r="M49" s="1080"/>
      <c r="N49" s="1080"/>
      <c r="O49" s="1080"/>
      <c r="P49" s="1080"/>
      <c r="Q49" s="1117"/>
    </row>
    <row r="50" spans="1:17" ht="15">
      <c r="A50" s="776"/>
      <c r="B50" s="537"/>
      <c r="C50" s="480"/>
      <c r="D50" s="45"/>
      <c r="E50" s="799"/>
      <c r="F50" s="797"/>
      <c r="G50" s="543"/>
      <c r="H50" s="677"/>
      <c r="I50" s="543"/>
      <c r="J50" s="543">
        <v>1</v>
      </c>
      <c r="K50" s="527" t="s">
        <v>779</v>
      </c>
      <c r="L50" s="543"/>
      <c r="M50" s="543"/>
      <c r="N50" s="543"/>
      <c r="O50" s="543"/>
      <c r="P50" s="543"/>
      <c r="Q50" s="679"/>
    </row>
    <row r="51" spans="1:17" ht="15">
      <c r="A51" s="776"/>
      <c r="B51" s="537"/>
      <c r="C51" s="480"/>
      <c r="D51" s="45"/>
      <c r="E51" s="799"/>
      <c r="F51" s="797"/>
      <c r="G51" s="543"/>
      <c r="H51" s="704"/>
      <c r="I51" s="543"/>
      <c r="J51" s="543">
        <v>2</v>
      </c>
      <c r="K51" s="527" t="s">
        <v>740</v>
      </c>
      <c r="L51" s="543"/>
      <c r="M51" s="543"/>
      <c r="N51" s="543"/>
      <c r="O51" s="543"/>
      <c r="P51" s="543"/>
      <c r="Q51" s="679"/>
    </row>
    <row r="52" spans="1:17" ht="15">
      <c r="A52" s="776"/>
      <c r="B52" s="537"/>
      <c r="C52" s="480"/>
      <c r="D52" s="45"/>
      <c r="E52" s="799"/>
      <c r="F52" s="797"/>
      <c r="G52" s="543"/>
      <c r="H52" s="704"/>
      <c r="I52" s="543"/>
      <c r="J52" s="543">
        <v>3</v>
      </c>
      <c r="K52" s="543"/>
      <c r="L52" s="543"/>
      <c r="M52" s="543"/>
      <c r="N52" s="543"/>
      <c r="O52" s="543"/>
      <c r="P52" s="543"/>
      <c r="Q52" s="679"/>
    </row>
    <row r="53" spans="1:17" ht="15">
      <c r="A53" s="776"/>
      <c r="B53" s="537"/>
      <c r="C53" s="480"/>
      <c r="D53" s="45"/>
      <c r="E53" s="799"/>
      <c r="F53" s="797"/>
      <c r="G53" s="543"/>
      <c r="H53" s="704"/>
      <c r="I53" s="543"/>
      <c r="J53" s="543">
        <v>4</v>
      </c>
      <c r="K53" s="543"/>
      <c r="L53" s="543"/>
      <c r="M53" s="543"/>
      <c r="N53" s="543"/>
      <c r="O53" s="543"/>
      <c r="P53" s="543"/>
      <c r="Q53" s="679"/>
    </row>
    <row r="54" spans="1:17" ht="13.5" thickBot="1">
      <c r="A54" s="690"/>
      <c r="B54" s="472"/>
      <c r="C54" s="472"/>
      <c r="D54" s="550"/>
      <c r="E54" s="472"/>
      <c r="F54" s="696"/>
      <c r="G54" s="472"/>
      <c r="H54" s="550"/>
      <c r="I54" s="472"/>
      <c r="J54" s="472">
        <v>5</v>
      </c>
      <c r="K54" s="472"/>
      <c r="L54" s="472"/>
      <c r="M54" s="472"/>
      <c r="N54" s="472"/>
      <c r="O54" s="472"/>
      <c r="P54" s="472"/>
      <c r="Q54" s="696"/>
    </row>
    <row r="55" spans="1:17" ht="21" thickBot="1">
      <c r="A55" s="430" t="s">
        <v>520</v>
      </c>
      <c r="Q55" s="818"/>
    </row>
    <row r="56" spans="1:17" ht="61.5" customHeight="1">
      <c r="A56" s="1069" t="s">
        <v>594</v>
      </c>
      <c r="B56" s="1070"/>
      <c r="C56" s="1070"/>
      <c r="D56" s="1070"/>
      <c r="E56" s="1070"/>
      <c r="F56" s="1071"/>
      <c r="G56" s="772" t="str">
        <f>+G46</f>
        <v>Form 1 Amount</v>
      </c>
      <c r="H56" s="773" t="s">
        <v>502</v>
      </c>
      <c r="I56" s="773" t="s">
        <v>427</v>
      </c>
      <c r="J56" s="1078" t="s">
        <v>345</v>
      </c>
      <c r="K56" s="1094"/>
      <c r="L56" s="1094"/>
      <c r="M56" s="1094"/>
      <c r="N56" s="1094"/>
      <c r="O56" s="1094"/>
      <c r="P56" s="1094"/>
      <c r="Q56" s="1095"/>
    </row>
    <row r="57" spans="1:17" ht="15.75">
      <c r="A57" s="774"/>
      <c r="B57" s="19" t="str">
        <f>+'Exh F - AA-BL Items'!B15</f>
        <v>Plant Allocation Factors</v>
      </c>
      <c r="C57" s="538"/>
      <c r="D57" s="46"/>
      <c r="E57" s="108"/>
      <c r="F57" s="775"/>
      <c r="G57" s="514"/>
      <c r="H57" s="543"/>
      <c r="I57" s="543"/>
      <c r="J57" s="1080"/>
      <c r="K57" s="1081"/>
      <c r="L57" s="1081"/>
      <c r="M57" s="1081"/>
      <c r="N57" s="1081"/>
      <c r="O57" s="1081"/>
      <c r="P57" s="1081"/>
      <c r="Q57" s="1082"/>
    </row>
    <row r="58" spans="1:17" ht="15">
      <c r="A58" s="776">
        <f>+'Exh F - AA-BL Items'!A16</f>
        <v>6</v>
      </c>
      <c r="B58" s="46"/>
      <c r="C58" s="480" t="str">
        <f>+'Exh F - AA-BL Items'!C16</f>
        <v>Electric Plant in Service</v>
      </c>
      <c r="D58" s="108"/>
      <c r="E58" s="799">
        <f>+'Exh F - AA-BL Items'!E16</f>
        <v>0</v>
      </c>
      <c r="F58" s="800" t="str">
        <f>+'Exh F - AA-BL Items'!F16</f>
        <v>Attachment 5</v>
      </c>
      <c r="G58" s="819">
        <v>6099881141</v>
      </c>
      <c r="H58" s="512">
        <v>0</v>
      </c>
      <c r="I58" s="779">
        <v>0</v>
      </c>
      <c r="J58" s="1081" t="s">
        <v>625</v>
      </c>
      <c r="K58" s="1081"/>
      <c r="L58" s="1081"/>
      <c r="M58" s="1081"/>
      <c r="N58" s="1081"/>
      <c r="O58" s="1081"/>
      <c r="P58" s="1081"/>
      <c r="Q58" s="1082"/>
    </row>
    <row r="59" spans="1:17" ht="15.75" hidden="1" customHeight="1">
      <c r="A59" s="776">
        <f>+'Exh F - AA-BL Items'!A17</f>
        <v>7</v>
      </c>
      <c r="B59" s="46"/>
      <c r="C59" s="480" t="str">
        <f>+'Exh F - AA-BL Items'!C17</f>
        <v>Common Plant In Service - Electric</v>
      </c>
      <c r="D59" s="33"/>
      <c r="E59" s="799" t="str">
        <f>+'Exh F - AA-BL Items'!E17</f>
        <v>(Note A)</v>
      </c>
      <c r="F59" s="800" t="str">
        <f>+'Exh F - AA-BL Items'!F17</f>
        <v>(Line 24)</v>
      </c>
      <c r="G59" s="778">
        <v>467649847</v>
      </c>
      <c r="H59" s="512">
        <v>0</v>
      </c>
      <c r="I59" s="512">
        <v>0</v>
      </c>
      <c r="J59" s="1081" t="s">
        <v>621</v>
      </c>
      <c r="K59" s="1081"/>
      <c r="L59" s="1081"/>
      <c r="M59" s="1081"/>
      <c r="N59" s="1081"/>
      <c r="O59" s="1081"/>
      <c r="P59" s="1081"/>
      <c r="Q59" s="1082"/>
    </row>
    <row r="60" spans="1:17" ht="15.75">
      <c r="A60" s="774"/>
      <c r="B60" s="19" t="str">
        <f>+'Exh F - AA-BL Items'!B36</f>
        <v>Plant In Service</v>
      </c>
      <c r="C60" s="538"/>
      <c r="D60" s="33"/>
      <c r="E60" s="787"/>
      <c r="F60" s="777"/>
      <c r="G60" s="820"/>
      <c r="H60" s="543"/>
      <c r="I60" s="543"/>
      <c r="J60" s="1081"/>
      <c r="K60" s="1081"/>
      <c r="L60" s="1081"/>
      <c r="M60" s="1081"/>
      <c r="N60" s="1081"/>
      <c r="O60" s="1081"/>
      <c r="P60" s="1081"/>
      <c r="Q60" s="1082"/>
    </row>
    <row r="61" spans="1:17" ht="15">
      <c r="A61" s="776">
        <f>+'Exh F - AA-BL Items'!A37</f>
        <v>19</v>
      </c>
      <c r="B61" s="43"/>
      <c r="C61" s="480" t="str">
        <f>+'Exh F - AA-BL Items'!C37</f>
        <v>Transmission Plant In Service</v>
      </c>
      <c r="D61" s="108"/>
      <c r="E61" s="799">
        <f>+'Exh F - AA-BL Items'!E37</f>
        <v>0</v>
      </c>
      <c r="F61" s="800" t="s">
        <v>752</v>
      </c>
      <c r="G61" s="819">
        <v>1005961926</v>
      </c>
      <c r="H61" s="512">
        <v>0</v>
      </c>
      <c r="I61" s="512">
        <v>0</v>
      </c>
      <c r="J61" s="1081" t="s">
        <v>625</v>
      </c>
      <c r="K61" s="1081"/>
      <c r="L61" s="1081"/>
      <c r="M61" s="1081"/>
      <c r="N61" s="1081"/>
      <c r="O61" s="1081"/>
      <c r="P61" s="1081"/>
      <c r="Q61" s="1082"/>
    </row>
    <row r="62" spans="1:17" ht="15.75" hidden="1" customHeight="1">
      <c r="A62" s="776">
        <f>+'Exh F - AA-BL Items'!A38</f>
        <v>21</v>
      </c>
      <c r="B62" s="43"/>
      <c r="C62" s="480" t="str">
        <f>+'Exh F - AA-BL Items'!C38</f>
        <v>New Transmission Plant Additions for Current Calendar Year  (weighted by months in service)</v>
      </c>
      <c r="D62" s="108"/>
      <c r="E62" s="799" t="str">
        <f>+'Exh F - AA-BL Items'!E38</f>
        <v>Attachment 6</v>
      </c>
      <c r="F62" s="800"/>
      <c r="G62" s="682" t="s">
        <v>425</v>
      </c>
      <c r="H62" s="512" t="s">
        <v>425</v>
      </c>
      <c r="I62" s="512" t="s">
        <v>425</v>
      </c>
      <c r="J62" s="1081" t="s">
        <v>424</v>
      </c>
      <c r="K62" s="1081"/>
      <c r="L62" s="1081"/>
      <c r="M62" s="1081"/>
      <c r="N62" s="1081"/>
      <c r="O62" s="1081"/>
      <c r="P62" s="1081"/>
      <c r="Q62" s="1082"/>
    </row>
    <row r="63" spans="1:17" ht="15.75" customHeight="1">
      <c r="A63" s="774">
        <f>+'Exh F - AA-BL Items'!A40</f>
        <v>24</v>
      </c>
      <c r="B63" s="46"/>
      <c r="C63" s="538" t="str">
        <f>+'Exh F - AA-BL Items'!C40</f>
        <v>Common Plant (Electric Only)</v>
      </c>
      <c r="D63" s="108"/>
      <c r="E63" s="796" t="str">
        <f>+'Exh F - AA-BL Items'!E40</f>
        <v>(Notes A)</v>
      </c>
      <c r="F63" s="821" t="str">
        <f>+'Exh F - AA-BL Items'!F40</f>
        <v>Attachment 5</v>
      </c>
      <c r="G63" s="819">
        <v>444754387</v>
      </c>
      <c r="H63" s="512">
        <v>0</v>
      </c>
      <c r="I63" s="512">
        <v>0</v>
      </c>
      <c r="J63" s="1081" t="s">
        <v>679</v>
      </c>
      <c r="K63" s="1081"/>
      <c r="L63" s="1081"/>
      <c r="M63" s="1081"/>
      <c r="N63" s="1081"/>
      <c r="O63" s="1081"/>
      <c r="P63" s="1081"/>
      <c r="Q63" s="1082"/>
    </row>
    <row r="64" spans="1:17" ht="15.75" customHeight="1">
      <c r="A64" s="776"/>
      <c r="B64" s="19" t="s">
        <v>102</v>
      </c>
      <c r="C64" s="411"/>
      <c r="D64" s="593"/>
      <c r="E64" s="806"/>
      <c r="F64" s="780"/>
      <c r="G64" s="514"/>
      <c r="H64" s="543"/>
      <c r="I64" s="543"/>
      <c r="J64" s="543"/>
      <c r="K64" s="543"/>
      <c r="L64" s="543"/>
      <c r="M64" s="543"/>
      <c r="N64" s="543"/>
      <c r="O64" s="543"/>
      <c r="P64" s="543"/>
      <c r="Q64" s="679"/>
    </row>
    <row r="65" spans="1:21" ht="16.5" customHeight="1" thickBot="1">
      <c r="A65" s="810">
        <f>+'Exh F - AA-BL Items'!A52</f>
        <v>30</v>
      </c>
      <c r="B65" s="539"/>
      <c r="C65" s="479" t="str">
        <f>+'Exh F - AA-BL Items'!C52</f>
        <v>Transmission Accumulated Depreciation</v>
      </c>
      <c r="D65" s="822"/>
      <c r="E65" s="812">
        <f>+'Exh F - AA-BL Items'!E52</f>
        <v>0</v>
      </c>
      <c r="F65" s="823" t="s">
        <v>753</v>
      </c>
      <c r="G65" s="824">
        <v>349640127</v>
      </c>
      <c r="H65" s="519">
        <v>0</v>
      </c>
      <c r="I65" s="519">
        <v>0</v>
      </c>
      <c r="J65" s="1097" t="s">
        <v>625</v>
      </c>
      <c r="K65" s="1097"/>
      <c r="L65" s="1097"/>
      <c r="M65" s="1097"/>
      <c r="N65" s="1097"/>
      <c r="O65" s="1097"/>
      <c r="P65" s="1097"/>
      <c r="Q65" s="1098"/>
    </row>
    <row r="66" spans="1:21" ht="12.75" customHeight="1"/>
    <row r="67" spans="1:21" ht="12.75" customHeight="1"/>
    <row r="68" spans="1:21" ht="21" customHeight="1" thickBot="1">
      <c r="A68" s="319" t="s">
        <v>510</v>
      </c>
    </row>
    <row r="69" spans="1:21" ht="18" customHeight="1">
      <c r="A69" s="1069" t="s">
        <v>594</v>
      </c>
      <c r="B69" s="1070"/>
      <c r="C69" s="1070"/>
      <c r="D69" s="1070"/>
      <c r="E69" s="1070"/>
      <c r="F69" s="1071"/>
      <c r="G69" s="773" t="str">
        <f>+G56</f>
        <v>Form 1 Amount</v>
      </c>
      <c r="H69" s="773" t="s">
        <v>408</v>
      </c>
      <c r="I69" s="773"/>
      <c r="J69" s="1078" t="s">
        <v>345</v>
      </c>
      <c r="K69" s="1094"/>
      <c r="L69" s="1094"/>
      <c r="M69" s="1094"/>
      <c r="N69" s="1094"/>
      <c r="O69" s="1094"/>
      <c r="P69" s="1094"/>
      <c r="Q69" s="1095"/>
    </row>
    <row r="70" spans="1:21" ht="15.75" customHeight="1">
      <c r="A70" s="776"/>
      <c r="B70" s="19" t="s">
        <v>86</v>
      </c>
      <c r="C70" s="45"/>
      <c r="D70" s="45"/>
      <c r="E70" s="781"/>
      <c r="F70" s="798"/>
      <c r="G70" s="543"/>
      <c r="H70" s="543"/>
      <c r="I70" s="543"/>
      <c r="J70" s="1080"/>
      <c r="K70" s="1081"/>
      <c r="L70" s="1081"/>
      <c r="M70" s="1081"/>
      <c r="N70" s="1081"/>
      <c r="O70" s="1081"/>
      <c r="P70" s="1081"/>
      <c r="Q70" s="1082"/>
    </row>
    <row r="71" spans="1:21" ht="16.5" customHeight="1" thickBot="1">
      <c r="A71" s="810">
        <f>'Exh F - AA-BL Items'!A116</f>
        <v>72</v>
      </c>
      <c r="B71" s="540"/>
      <c r="C71" s="541" t="str">
        <f>'Exh F - AA-BL Items'!C116</f>
        <v xml:space="preserve">    Less EPRI Dues</v>
      </c>
      <c r="D71" s="822"/>
      <c r="E71" s="825" t="str">
        <f>'Exh F - AA-BL Items'!E116</f>
        <v>(Note D)</v>
      </c>
      <c r="F71" s="826" t="str">
        <f>'Exh F - AA-BL Items'!F116</f>
        <v>p352-353</v>
      </c>
      <c r="G71" s="824">
        <v>228357</v>
      </c>
      <c r="H71" s="827">
        <v>228357</v>
      </c>
      <c r="I71" s="519"/>
      <c r="J71" s="1097" t="s">
        <v>845</v>
      </c>
      <c r="K71" s="1097"/>
      <c r="L71" s="1097"/>
      <c r="M71" s="1097"/>
      <c r="N71" s="1097"/>
      <c r="O71" s="1097"/>
      <c r="P71" s="1097"/>
      <c r="Q71" s="1098"/>
    </row>
    <row r="72" spans="1:21" ht="20.100000000000001" customHeight="1">
      <c r="A72" s="366"/>
      <c r="B72" s="43"/>
      <c r="D72" s="33"/>
      <c r="E72" s="656"/>
      <c r="F72" s="654"/>
      <c r="Q72" s="769"/>
    </row>
    <row r="73" spans="1:21" ht="20.100000000000001" customHeight="1" thickBot="1">
      <c r="A73" s="319" t="s">
        <v>143</v>
      </c>
      <c r="B73" s="43"/>
      <c r="D73" s="33"/>
      <c r="E73" s="656"/>
      <c r="F73" s="654"/>
      <c r="Q73" s="769"/>
    </row>
    <row r="74" spans="1:21" ht="30" customHeight="1">
      <c r="A74" s="1069" t="s">
        <v>594</v>
      </c>
      <c r="B74" s="1070"/>
      <c r="C74" s="1070"/>
      <c r="D74" s="1070"/>
      <c r="E74" s="1070"/>
      <c r="F74" s="1071"/>
      <c r="G74" s="773" t="str">
        <f>+G69</f>
        <v>Form 1 Amount</v>
      </c>
      <c r="H74" s="773" t="s">
        <v>144</v>
      </c>
      <c r="I74" s="773" t="s">
        <v>145</v>
      </c>
      <c r="J74" s="1078" t="s">
        <v>345</v>
      </c>
      <c r="K74" s="1094"/>
      <c r="L74" s="1094"/>
      <c r="M74" s="1094"/>
      <c r="N74" s="1094"/>
      <c r="O74" s="1094"/>
      <c r="P74" s="1094"/>
      <c r="Q74" s="1095"/>
    </row>
    <row r="75" spans="1:21" ht="15.75" customHeight="1">
      <c r="A75" s="776"/>
      <c r="B75" s="19" t="s">
        <v>86</v>
      </c>
      <c r="C75" s="45"/>
      <c r="D75" s="45"/>
      <c r="E75" s="781"/>
      <c r="F75" s="798"/>
      <c r="G75" s="543"/>
      <c r="H75" s="543"/>
      <c r="I75" s="543"/>
      <c r="J75" s="1080"/>
      <c r="K75" s="1081"/>
      <c r="L75" s="1081"/>
      <c r="M75" s="1081"/>
      <c r="N75" s="1081"/>
      <c r="O75" s="1081"/>
      <c r="P75" s="1081"/>
      <c r="Q75" s="1082"/>
      <c r="U75" s="1101"/>
    </row>
    <row r="76" spans="1:21" ht="46.5" customHeight="1" thickBot="1">
      <c r="A76" s="810">
        <f>+'ATT H-2A'!A121</f>
        <v>68</v>
      </c>
      <c r="B76" s="540"/>
      <c r="C76" s="541" t="str">
        <f>+'ATT H-2A'!C121</f>
        <v>Total A&amp;G</v>
      </c>
      <c r="D76" s="822"/>
      <c r="E76" s="825">
        <f>+'ATT H-2A'!E121</f>
        <v>0</v>
      </c>
      <c r="F76" s="828" t="s">
        <v>846</v>
      </c>
      <c r="G76" s="829">
        <v>164361438</v>
      </c>
      <c r="H76" s="816">
        <v>-2292603.0386016662</v>
      </c>
      <c r="I76" s="830">
        <f>+G76-H76</f>
        <v>166654041.03860167</v>
      </c>
      <c r="J76" s="1114" t="s">
        <v>774</v>
      </c>
      <c r="K76" s="1114"/>
      <c r="L76" s="1114"/>
      <c r="M76" s="1114"/>
      <c r="N76" s="1114"/>
      <c r="O76" s="1114"/>
      <c r="P76" s="1114"/>
      <c r="Q76" s="1115"/>
      <c r="R76" s="463"/>
      <c r="S76" s="463"/>
      <c r="T76" s="463"/>
      <c r="U76" s="1102"/>
    </row>
    <row r="77" spans="1:21">
      <c r="J77" s="1107"/>
      <c r="K77" s="1107"/>
      <c r="L77" s="1107"/>
      <c r="M77" s="1107"/>
      <c r="N77" s="1107"/>
      <c r="O77" s="1107"/>
      <c r="P77" s="1107"/>
      <c r="Q77" s="1107"/>
      <c r="R77" s="463"/>
      <c r="S77" s="463"/>
      <c r="T77" s="463"/>
      <c r="U77" s="1102"/>
    </row>
    <row r="78" spans="1:21" ht="21" thickBot="1">
      <c r="A78" s="319" t="s">
        <v>511</v>
      </c>
      <c r="R78" s="463"/>
      <c r="S78" s="463"/>
      <c r="T78" s="463"/>
      <c r="U78" s="1102"/>
    </row>
    <row r="79" spans="1:21" ht="39">
      <c r="A79" s="1069" t="s">
        <v>594</v>
      </c>
      <c r="B79" s="1070"/>
      <c r="C79" s="1070"/>
      <c r="D79" s="1070"/>
      <c r="E79" s="1070"/>
      <c r="F79" s="1071"/>
      <c r="G79" s="773" t="s">
        <v>422</v>
      </c>
      <c r="H79" s="773" t="s">
        <v>426</v>
      </c>
      <c r="I79" s="773" t="s">
        <v>501</v>
      </c>
      <c r="J79" s="1078" t="s">
        <v>345</v>
      </c>
      <c r="K79" s="1094"/>
      <c r="L79" s="1094"/>
      <c r="M79" s="1094"/>
      <c r="N79" s="1094"/>
      <c r="O79" s="1094"/>
      <c r="P79" s="1094"/>
      <c r="Q79" s="1095"/>
      <c r="U79" s="1102"/>
    </row>
    <row r="80" spans="1:21" ht="15.75">
      <c r="A80" s="776"/>
      <c r="B80" s="19" t="str">
        <f>'Exh F - AA-BL Items'!B110</f>
        <v>Allocated General &amp; Common Expenses</v>
      </c>
      <c r="C80" s="45"/>
      <c r="D80" s="45"/>
      <c r="E80" s="781"/>
      <c r="F80" s="798"/>
      <c r="G80" s="543"/>
      <c r="H80" s="543"/>
      <c r="I80" s="543"/>
      <c r="J80" s="543"/>
      <c r="K80" s="543"/>
      <c r="L80" s="543"/>
      <c r="M80" s="543"/>
      <c r="N80" s="543"/>
      <c r="O80" s="543"/>
      <c r="P80" s="543"/>
      <c r="Q80" s="679"/>
      <c r="U80" s="1102"/>
    </row>
    <row r="81" spans="1:21" ht="15">
      <c r="A81" s="776">
        <f>'Exh F - AA-BL Items'!A114</f>
        <v>70</v>
      </c>
      <c r="B81" s="119"/>
      <c r="C81" s="490" t="str">
        <f>'Exh F - AA-BL Items'!C114</f>
        <v xml:space="preserve">    Less Regulatory Commission Exp Account 928</v>
      </c>
      <c r="D81" s="781"/>
      <c r="E81" s="799" t="str">
        <f>'Exh F - AA-BL Items'!E114</f>
        <v>(Note E)</v>
      </c>
      <c r="F81" s="831" t="str">
        <f>'Exh F - AA-BL Items'!F114</f>
        <v>p323.189.b</v>
      </c>
      <c r="G81" s="779">
        <v>-162743</v>
      </c>
      <c r="H81" s="832"/>
      <c r="I81" s="832"/>
      <c r="J81" s="833"/>
      <c r="K81" s="833"/>
      <c r="L81" s="833"/>
      <c r="M81" s="833"/>
      <c r="N81" s="833"/>
      <c r="O81" s="833"/>
      <c r="P81" s="833"/>
      <c r="Q81" s="834"/>
      <c r="U81" s="1102"/>
    </row>
    <row r="82" spans="1:21" ht="15.75">
      <c r="A82" s="776"/>
      <c r="B82" s="19" t="str">
        <f>'Exh F - AA-BL Items'!B121</f>
        <v>Directly Assigned A&amp;G</v>
      </c>
      <c r="C82" s="62"/>
      <c r="D82" s="45"/>
      <c r="E82" s="591"/>
      <c r="F82" s="817"/>
      <c r="G82" s="677"/>
      <c r="H82" s="677"/>
      <c r="I82" s="677"/>
      <c r="J82" s="543"/>
      <c r="K82" s="543"/>
      <c r="L82" s="543"/>
      <c r="M82" s="543"/>
      <c r="N82" s="543"/>
      <c r="O82" s="543"/>
      <c r="P82" s="543"/>
      <c r="Q82" s="679"/>
      <c r="U82" s="1102"/>
    </row>
    <row r="83" spans="1:21" ht="15.75" thickBot="1">
      <c r="A83" s="810">
        <f>'Exh F - AA-BL Items'!A122</f>
        <v>76</v>
      </c>
      <c r="B83" s="482"/>
      <c r="C83" s="479" t="str">
        <f>'Exh F - AA-BL Items'!C122</f>
        <v>Regulatory Commission Exp Account 928</v>
      </c>
      <c r="D83" s="835"/>
      <c r="E83" s="836" t="str">
        <f>'Exh F - AA-BL Items'!E122</f>
        <v>(Note G)</v>
      </c>
      <c r="F83" s="813" t="str">
        <f>'Exh F - AA-BL Items'!F122</f>
        <v>p323.189b</v>
      </c>
      <c r="G83" s="837">
        <f>+G81</f>
        <v>-162743</v>
      </c>
      <c r="H83" s="827">
        <v>30103.63</v>
      </c>
      <c r="I83" s="838">
        <f>+G83-H83</f>
        <v>-192846.63</v>
      </c>
      <c r="J83" s="1097" t="s">
        <v>116</v>
      </c>
      <c r="K83" s="1097"/>
      <c r="L83" s="1097"/>
      <c r="M83" s="1097"/>
      <c r="N83" s="1097"/>
      <c r="O83" s="1097"/>
      <c r="P83" s="1097"/>
      <c r="Q83" s="1098"/>
      <c r="U83" s="1102"/>
    </row>
    <row r="84" spans="1:21">
      <c r="U84" s="1102"/>
    </row>
    <row r="85" spans="1:21">
      <c r="U85" s="1102"/>
    </row>
    <row r="86" spans="1:21" ht="21" thickBot="1">
      <c r="A86" s="319" t="s">
        <v>512</v>
      </c>
      <c r="U86" s="1102"/>
    </row>
    <row r="87" spans="1:21" ht="32.25" customHeight="1">
      <c r="A87" s="1069" t="s">
        <v>594</v>
      </c>
      <c r="B87" s="1070"/>
      <c r="C87" s="1070"/>
      <c r="D87" s="1070"/>
      <c r="E87" s="1070"/>
      <c r="F87" s="1071"/>
      <c r="G87" s="772" t="s">
        <v>422</v>
      </c>
      <c r="H87" s="773" t="s">
        <v>428</v>
      </c>
      <c r="I87" s="773" t="s">
        <v>503</v>
      </c>
      <c r="J87" s="1078" t="s">
        <v>345</v>
      </c>
      <c r="K87" s="1094"/>
      <c r="L87" s="1094"/>
      <c r="M87" s="1094"/>
      <c r="N87" s="1094"/>
      <c r="O87" s="1094"/>
      <c r="P87" s="1094"/>
      <c r="Q87" s="1095"/>
      <c r="U87" s="1102"/>
    </row>
    <row r="88" spans="1:21" ht="15.75">
      <c r="A88" s="776"/>
      <c r="B88" s="19" t="str">
        <f>'Exh F - AA-BL Items'!B121</f>
        <v>Directly Assigned A&amp;G</v>
      </c>
      <c r="C88" s="62"/>
      <c r="D88" s="45"/>
      <c r="E88" s="591"/>
      <c r="F88" s="817"/>
      <c r="G88" s="543"/>
      <c r="H88" s="543"/>
      <c r="I88" s="543"/>
      <c r="J88" s="543"/>
      <c r="K88" s="543"/>
      <c r="L88" s="543"/>
      <c r="M88" s="543"/>
      <c r="N88" s="543"/>
      <c r="O88" s="543"/>
      <c r="P88" s="543"/>
      <c r="Q88" s="679"/>
      <c r="U88" s="1102"/>
    </row>
    <row r="89" spans="1:21" ht="15.75" thickBot="1">
      <c r="A89" s="839">
        <f>'Exh F - AA-BL Items'!A127</f>
        <v>80</v>
      </c>
      <c r="B89" s="482"/>
      <c r="C89" s="479" t="str">
        <f>'Exh F - AA-BL Items'!C127</f>
        <v>General Advertising Exp Account 930.1</v>
      </c>
      <c r="D89" s="811"/>
      <c r="E89" s="835" t="str">
        <f>'Exh F - AA-BL Items'!E127</f>
        <v>(Note F)</v>
      </c>
      <c r="F89" s="813" t="str">
        <f>'Exh F - AA-BL Items'!F127</f>
        <v>p323.191.b</v>
      </c>
      <c r="G89" s="840">
        <v>251256</v>
      </c>
      <c r="H89" s="841">
        <v>0</v>
      </c>
      <c r="I89" s="827">
        <v>0</v>
      </c>
      <c r="J89" s="1099" t="s">
        <v>742</v>
      </c>
      <c r="K89" s="1099"/>
      <c r="L89" s="1099"/>
      <c r="M89" s="1099"/>
      <c r="N89" s="1099"/>
      <c r="O89" s="1099"/>
      <c r="P89" s="1099"/>
      <c r="Q89" s="1100"/>
      <c r="U89" s="1102"/>
    </row>
    <row r="90" spans="1:21" ht="15">
      <c r="A90" s="43"/>
      <c r="B90" s="537"/>
      <c r="C90" s="480"/>
      <c r="D90" s="45"/>
      <c r="E90" s="123"/>
      <c r="F90" s="480"/>
      <c r="G90" s="677"/>
      <c r="H90" s="677"/>
      <c r="I90" s="677"/>
      <c r="J90" s="842"/>
      <c r="K90" s="843"/>
      <c r="L90" s="843"/>
      <c r="M90" s="843"/>
      <c r="N90" s="843"/>
      <c r="O90" s="843"/>
      <c r="P90" s="843"/>
      <c r="Q90" s="843"/>
      <c r="U90" s="1102"/>
    </row>
    <row r="91" spans="1:21">
      <c r="U91" s="1102"/>
    </row>
    <row r="92" spans="1:21" ht="21" thickBot="1">
      <c r="A92" s="319" t="s">
        <v>415</v>
      </c>
      <c r="U92" s="1102"/>
    </row>
    <row r="93" spans="1:21" ht="18">
      <c r="A93" s="1069" t="s">
        <v>594</v>
      </c>
      <c r="B93" s="1070"/>
      <c r="C93" s="1070"/>
      <c r="D93" s="1070"/>
      <c r="E93" s="1070"/>
      <c r="F93" s="1070"/>
      <c r="G93" s="772" t="s">
        <v>432</v>
      </c>
      <c r="H93" s="773" t="s">
        <v>433</v>
      </c>
      <c r="I93" s="773" t="s">
        <v>434</v>
      </c>
      <c r="J93" s="773" t="s">
        <v>435</v>
      </c>
      <c r="K93" s="773" t="s">
        <v>436</v>
      </c>
      <c r="L93" s="1078" t="s">
        <v>345</v>
      </c>
      <c r="M93" s="1094"/>
      <c r="N93" s="1094"/>
      <c r="O93" s="1094"/>
      <c r="P93" s="1094"/>
      <c r="Q93" s="1095"/>
      <c r="U93" s="1102"/>
    </row>
    <row r="94" spans="1:21" ht="15.75" customHeight="1">
      <c r="A94" s="809" t="s">
        <v>45</v>
      </c>
      <c r="B94" s="81" t="s">
        <v>178</v>
      </c>
      <c r="C94" s="33"/>
      <c r="D94" s="33"/>
      <c r="E94" s="591"/>
      <c r="F94" s="587"/>
      <c r="G94" s="514"/>
      <c r="H94" s="543"/>
      <c r="I94" s="543"/>
      <c r="J94" s="543"/>
      <c r="K94" s="543"/>
      <c r="L94" s="543"/>
      <c r="M94" s="543"/>
      <c r="N94" s="543"/>
      <c r="O94" s="543"/>
      <c r="P94" s="543"/>
      <c r="Q94" s="679"/>
      <c r="U94" s="1102"/>
    </row>
    <row r="95" spans="1:21" ht="15.75">
      <c r="A95" s="809"/>
      <c r="B95" s="81"/>
      <c r="C95" s="33"/>
      <c r="D95" s="33"/>
      <c r="E95" s="591"/>
      <c r="F95" s="587"/>
      <c r="G95" s="676" t="s">
        <v>627</v>
      </c>
      <c r="H95" s="677" t="s">
        <v>429</v>
      </c>
      <c r="I95" s="677" t="s">
        <v>429</v>
      </c>
      <c r="J95" s="677" t="s">
        <v>429</v>
      </c>
      <c r="K95" s="677" t="s">
        <v>429</v>
      </c>
      <c r="L95" s="1080" t="s">
        <v>431</v>
      </c>
      <c r="M95" s="1103"/>
      <c r="N95" s="1103"/>
      <c r="O95" s="1103"/>
      <c r="P95" s="1103"/>
      <c r="Q95" s="1104"/>
      <c r="U95" s="1102"/>
    </row>
    <row r="96" spans="1:21" ht="15.75" thickBot="1">
      <c r="A96" s="839">
        <f>'Exh F - AA-BL Items'!A205</f>
        <v>128</v>
      </c>
      <c r="B96" s="539"/>
      <c r="C96" s="542" t="str">
        <f>'Exh F - AA-BL Items'!C205</f>
        <v>SIT=State Income Tax Rate or Composite</v>
      </c>
      <c r="D96" s="844"/>
      <c r="E96" s="845" t="str">
        <f>'Exh F - AA-BL Items'!E205</f>
        <v>(Note I)</v>
      </c>
      <c r="F96" s="551">
        <f>'Exh F - AA-BL Items'!F205</f>
        <v>0</v>
      </c>
      <c r="G96" s="846">
        <v>8.2500000000000004E-2</v>
      </c>
      <c r="H96" s="519" t="s">
        <v>430</v>
      </c>
      <c r="I96" s="519" t="s">
        <v>430</v>
      </c>
      <c r="J96" s="519" t="s">
        <v>430</v>
      </c>
      <c r="K96" s="519" t="s">
        <v>430</v>
      </c>
      <c r="L96" s="1097" t="s">
        <v>628</v>
      </c>
      <c r="M96" s="1105"/>
      <c r="N96" s="1105"/>
      <c r="O96" s="1105"/>
      <c r="P96" s="1105"/>
      <c r="Q96" s="1106"/>
      <c r="U96" s="1102"/>
    </row>
    <row r="99" spans="1:17" ht="21" thickBot="1">
      <c r="A99" s="319" t="s">
        <v>513</v>
      </c>
    </row>
    <row r="100" spans="1:17" ht="26.25">
      <c r="A100" s="1069" t="s">
        <v>594</v>
      </c>
      <c r="B100" s="1070"/>
      <c r="C100" s="1070"/>
      <c r="D100" s="1070"/>
      <c r="E100" s="1070"/>
      <c r="F100" s="1071"/>
      <c r="G100" s="772" t="s">
        <v>422</v>
      </c>
      <c r="H100" s="773" t="s">
        <v>437</v>
      </c>
      <c r="I100" s="773" t="s">
        <v>438</v>
      </c>
      <c r="J100" s="1078" t="s">
        <v>345</v>
      </c>
      <c r="K100" s="1094"/>
      <c r="L100" s="1094"/>
      <c r="M100" s="1094"/>
      <c r="N100" s="1094"/>
      <c r="O100" s="1094"/>
      <c r="P100" s="1094"/>
      <c r="Q100" s="1095"/>
    </row>
    <row r="101" spans="1:17" ht="15.75">
      <c r="A101" s="776"/>
      <c r="B101" s="19" t="s">
        <v>85</v>
      </c>
      <c r="C101" s="62"/>
      <c r="D101" s="45"/>
      <c r="E101" s="591"/>
      <c r="F101" s="817"/>
      <c r="G101" s="543"/>
      <c r="H101" s="543"/>
      <c r="I101" s="543"/>
      <c r="J101" s="543"/>
      <c r="K101" s="543"/>
      <c r="L101" s="543"/>
      <c r="M101" s="543"/>
      <c r="N101" s="543"/>
      <c r="O101" s="543"/>
      <c r="P101" s="543"/>
      <c r="Q101" s="679"/>
    </row>
    <row r="102" spans="1:17" ht="15.75" thickBot="1">
      <c r="A102" s="839">
        <f>'Exh F - AA-BL Items'!A123</f>
        <v>77</v>
      </c>
      <c r="B102" s="482"/>
      <c r="C102" s="479" t="str">
        <f>'Exh F - AA-BL Items'!C123</f>
        <v>General Advertising Exp Account 930.1</v>
      </c>
      <c r="D102" s="847"/>
      <c r="E102" s="835" t="str">
        <f>'Exh F - AA-BL Items'!E123</f>
        <v>(Note K)</v>
      </c>
      <c r="F102" s="813" t="str">
        <f>'Exh F - AA-BL Items'!F123</f>
        <v>p323.191.b</v>
      </c>
      <c r="G102" s="848">
        <v>251256</v>
      </c>
      <c r="H102" s="519">
        <v>0</v>
      </c>
      <c r="I102" s="519">
        <v>0</v>
      </c>
      <c r="J102" s="1099" t="s">
        <v>741</v>
      </c>
      <c r="K102" s="1099"/>
      <c r="L102" s="1099"/>
      <c r="M102" s="1099"/>
      <c r="N102" s="1099"/>
      <c r="O102" s="1099"/>
      <c r="P102" s="1099"/>
      <c r="Q102" s="1100"/>
    </row>
    <row r="104" spans="1:17" ht="12.75" customHeight="1"/>
    <row r="105" spans="1:17" ht="12.75" customHeight="1">
      <c r="A105" s="543"/>
      <c r="B105" s="543"/>
      <c r="C105" s="543"/>
      <c r="D105" s="543"/>
      <c r="E105" s="543"/>
      <c r="F105" s="543"/>
      <c r="G105" s="543"/>
      <c r="H105" s="543"/>
      <c r="I105" s="543"/>
      <c r="J105" s="543"/>
      <c r="K105" s="570"/>
      <c r="L105" s="543"/>
      <c r="M105" s="543"/>
      <c r="N105" s="543"/>
      <c r="O105" s="543"/>
      <c r="P105" s="543"/>
      <c r="Q105" s="543"/>
    </row>
    <row r="106" spans="1:17" ht="21" customHeight="1" thickBot="1">
      <c r="A106" s="319" t="s">
        <v>515</v>
      </c>
    </row>
    <row r="107" spans="1:17" ht="39" customHeight="1">
      <c r="A107" s="1069" t="s">
        <v>594</v>
      </c>
      <c r="B107" s="1070"/>
      <c r="C107" s="1070"/>
      <c r="D107" s="1070"/>
      <c r="E107" s="1070"/>
      <c r="F107" s="1071"/>
      <c r="G107" s="773" t="str">
        <f>+C109</f>
        <v>Excluded Transmission Facilities</v>
      </c>
      <c r="H107" s="1078" t="s">
        <v>440</v>
      </c>
      <c r="I107" s="1087"/>
      <c r="J107" s="1087"/>
      <c r="K107" s="1087"/>
      <c r="L107" s="1087"/>
      <c r="M107" s="1087"/>
      <c r="N107" s="1087"/>
      <c r="O107" s="1087"/>
      <c r="P107" s="1087"/>
      <c r="Q107" s="1088"/>
    </row>
    <row r="108" spans="1:17" ht="18" customHeight="1">
      <c r="A108" s="849"/>
      <c r="B108" s="544" t="s">
        <v>88</v>
      </c>
      <c r="C108" s="507"/>
      <c r="D108" s="641"/>
      <c r="E108" s="642"/>
      <c r="F108" s="850"/>
      <c r="G108" s="543"/>
      <c r="H108" s="543"/>
      <c r="I108" s="543"/>
      <c r="J108" s="543"/>
      <c r="K108" s="543"/>
      <c r="L108" s="543"/>
      <c r="M108" s="543"/>
      <c r="N108" s="543"/>
      <c r="O108" s="543"/>
      <c r="P108" s="543"/>
      <c r="Q108" s="679"/>
    </row>
    <row r="109" spans="1:17" ht="18" customHeight="1">
      <c r="A109" s="776">
        <f>+'ATT H-2A'!A249</f>
        <v>148</v>
      </c>
      <c r="B109" s="119"/>
      <c r="C109" s="480" t="str">
        <f>+'ATT H-2A'!C249</f>
        <v>Excluded Transmission Facilities</v>
      </c>
      <c r="D109" s="641"/>
      <c r="E109" s="119" t="str">
        <f>+'ATT H-2A'!E249</f>
        <v>(Note M)</v>
      </c>
      <c r="F109" s="800" t="str">
        <f>+'ATT H-2A'!F249</f>
        <v>Attachment 5</v>
      </c>
      <c r="G109" s="851">
        <v>0</v>
      </c>
      <c r="H109" s="1080" t="s">
        <v>443</v>
      </c>
      <c r="I109" s="1081"/>
      <c r="J109" s="1081"/>
      <c r="K109" s="1081"/>
      <c r="L109" s="1081"/>
      <c r="M109" s="1081"/>
      <c r="N109" s="1081"/>
      <c r="O109" s="1081"/>
      <c r="P109" s="1081"/>
      <c r="Q109" s="1082"/>
    </row>
    <row r="110" spans="1:17" ht="18" customHeight="1">
      <c r="A110" s="776"/>
      <c r="B110" s="119"/>
      <c r="C110" s="490"/>
      <c r="D110" s="641"/>
      <c r="E110" s="787"/>
      <c r="F110" s="777"/>
      <c r="G110" s="543"/>
      <c r="H110" s="543"/>
      <c r="I110" s="543"/>
      <c r="J110" s="543"/>
      <c r="K110" s="543"/>
      <c r="L110" s="543"/>
      <c r="M110" s="543"/>
      <c r="N110" s="543"/>
      <c r="O110" s="677"/>
      <c r="P110" s="543"/>
      <c r="Q110" s="679"/>
    </row>
    <row r="111" spans="1:17" ht="18" customHeight="1">
      <c r="A111" s="776"/>
      <c r="B111" s="119"/>
      <c r="C111" s="490" t="s">
        <v>737</v>
      </c>
      <c r="D111" s="641"/>
      <c r="E111" s="787"/>
      <c r="F111" s="777"/>
      <c r="G111" s="677" t="s">
        <v>439</v>
      </c>
      <c r="H111" s="1080" t="s">
        <v>626</v>
      </c>
      <c r="I111" s="1081"/>
      <c r="J111" s="1081"/>
      <c r="K111" s="1081"/>
      <c r="L111" s="1081"/>
      <c r="M111" s="1081"/>
      <c r="N111" s="1081"/>
      <c r="O111" s="1081"/>
      <c r="P111" s="1081"/>
      <c r="Q111" s="1082"/>
    </row>
    <row r="112" spans="1:17" ht="18" customHeight="1">
      <c r="A112" s="776"/>
      <c r="B112" s="119">
        <v>1</v>
      </c>
      <c r="C112" s="490" t="s">
        <v>366</v>
      </c>
      <c r="D112" s="641"/>
      <c r="E112" s="787"/>
      <c r="F112" s="777"/>
      <c r="G112" s="852"/>
      <c r="H112" s="1080"/>
      <c r="I112" s="1081"/>
      <c r="J112" s="1081"/>
      <c r="K112" s="1081"/>
      <c r="L112" s="1081"/>
      <c r="M112" s="1081"/>
      <c r="N112" s="1081"/>
      <c r="O112" s="1081"/>
      <c r="P112" s="1081"/>
      <c r="Q112" s="1082"/>
    </row>
    <row r="113" spans="1:17" ht="18" customHeight="1">
      <c r="A113" s="776"/>
      <c r="B113" s="119"/>
      <c r="C113" s="490" t="s">
        <v>367</v>
      </c>
      <c r="D113" s="641"/>
      <c r="E113" s="787"/>
      <c r="F113" s="777"/>
      <c r="G113" s="852"/>
      <c r="H113" s="842"/>
      <c r="I113" s="843"/>
      <c r="J113" s="843"/>
      <c r="K113" s="843"/>
      <c r="L113" s="843"/>
      <c r="M113" s="843"/>
      <c r="N113" s="843"/>
      <c r="O113" s="843"/>
      <c r="P113" s="843"/>
      <c r="Q113" s="853"/>
    </row>
    <row r="114" spans="1:17" ht="18" customHeight="1">
      <c r="A114" s="776"/>
      <c r="B114" s="119">
        <v>2</v>
      </c>
      <c r="C114" s="490" t="s">
        <v>0</v>
      </c>
      <c r="D114" s="641"/>
      <c r="E114" s="787"/>
      <c r="F114" s="777"/>
      <c r="G114" s="677" t="s">
        <v>1</v>
      </c>
      <c r="H114" s="1080"/>
      <c r="I114" s="1081"/>
      <c r="J114" s="1081"/>
      <c r="K114" s="1081"/>
      <c r="L114" s="1081"/>
      <c r="M114" s="1081"/>
      <c r="N114" s="1081"/>
      <c r="O114" s="1081"/>
      <c r="P114" s="1081"/>
      <c r="Q114" s="1082"/>
    </row>
    <row r="115" spans="1:17" ht="18" customHeight="1">
      <c r="A115" s="776"/>
      <c r="B115" s="119"/>
      <c r="C115" s="490" t="s">
        <v>2</v>
      </c>
      <c r="D115" s="854" t="s">
        <v>3</v>
      </c>
      <c r="E115" s="787"/>
      <c r="F115" s="777"/>
      <c r="G115" s="677" t="str">
        <f>+G111</f>
        <v>Enter $</v>
      </c>
      <c r="H115" s="1080"/>
      <c r="I115" s="1081"/>
      <c r="J115" s="1081"/>
      <c r="K115" s="1081"/>
      <c r="L115" s="1081"/>
      <c r="M115" s="1081"/>
      <c r="N115" s="1081"/>
      <c r="O115" s="1081"/>
      <c r="P115" s="1081"/>
      <c r="Q115" s="1082"/>
    </row>
    <row r="116" spans="1:17" ht="15.75" customHeight="1">
      <c r="A116" s="514"/>
      <c r="B116" s="545" t="s">
        <v>47</v>
      </c>
      <c r="C116" s="490" t="s">
        <v>4</v>
      </c>
      <c r="D116" s="688">
        <v>1000000</v>
      </c>
      <c r="E116" s="527"/>
      <c r="F116" s="689"/>
      <c r="G116" s="852"/>
      <c r="H116" s="1080"/>
      <c r="I116" s="1081"/>
      <c r="J116" s="1081"/>
      <c r="K116" s="1081"/>
      <c r="L116" s="1081"/>
      <c r="M116" s="1081"/>
      <c r="N116" s="1081"/>
      <c r="O116" s="1081"/>
      <c r="P116" s="1081"/>
      <c r="Q116" s="1082"/>
    </row>
    <row r="117" spans="1:17" ht="15.75" customHeight="1">
      <c r="A117" s="514"/>
      <c r="B117" s="545" t="s">
        <v>223</v>
      </c>
      <c r="C117" s="490" t="s">
        <v>5</v>
      </c>
      <c r="D117" s="688">
        <v>500000</v>
      </c>
      <c r="E117" s="527"/>
      <c r="F117" s="689"/>
      <c r="G117" s="852"/>
      <c r="H117" s="1080"/>
      <c r="I117" s="1081"/>
      <c r="J117" s="1081"/>
      <c r="K117" s="1081"/>
      <c r="L117" s="1081"/>
      <c r="M117" s="1081"/>
      <c r="N117" s="1081"/>
      <c r="O117" s="1081"/>
      <c r="P117" s="1081"/>
      <c r="Q117" s="1082"/>
    </row>
    <row r="118" spans="1:17" ht="15.75" customHeight="1">
      <c r="A118" s="514"/>
      <c r="B118" s="545" t="s">
        <v>19</v>
      </c>
      <c r="C118" s="490" t="s">
        <v>6</v>
      </c>
      <c r="D118" s="688">
        <v>400000</v>
      </c>
      <c r="E118" s="527"/>
      <c r="F118" s="689"/>
      <c r="G118" s="852"/>
      <c r="H118" s="1080"/>
      <c r="I118" s="1081"/>
      <c r="J118" s="1081"/>
      <c r="K118" s="1081"/>
      <c r="L118" s="1081"/>
      <c r="M118" s="1081"/>
      <c r="N118" s="1081"/>
      <c r="O118" s="1081"/>
      <c r="P118" s="1081"/>
      <c r="Q118" s="1082"/>
    </row>
    <row r="119" spans="1:17" ht="15.75" customHeight="1">
      <c r="A119" s="514"/>
      <c r="B119" s="545" t="s">
        <v>48</v>
      </c>
      <c r="C119" s="490" t="s">
        <v>7</v>
      </c>
      <c r="D119" s="688">
        <f>+D116*(D118/(D117+D118))</f>
        <v>444444.44444444444</v>
      </c>
      <c r="E119" s="527"/>
      <c r="F119" s="689"/>
      <c r="G119" s="852"/>
      <c r="H119" s="1080"/>
      <c r="I119" s="1081"/>
      <c r="J119" s="1081"/>
      <c r="K119" s="1081"/>
      <c r="L119" s="1081"/>
      <c r="M119" s="1081"/>
      <c r="N119" s="1081"/>
      <c r="O119" s="1081"/>
      <c r="P119" s="1081"/>
      <c r="Q119" s="1082"/>
    </row>
    <row r="120" spans="1:17" ht="13.5" customHeight="1" thickBot="1">
      <c r="A120" s="690"/>
      <c r="B120" s="472"/>
      <c r="C120" s="472"/>
      <c r="D120" s="472"/>
      <c r="E120" s="472"/>
      <c r="F120" s="696"/>
      <c r="G120" s="472"/>
      <c r="H120" s="472"/>
      <c r="I120" s="472"/>
      <c r="J120" s="472"/>
      <c r="K120" s="855" t="s">
        <v>442</v>
      </c>
      <c r="L120" s="472"/>
      <c r="M120" s="472"/>
      <c r="N120" s="472"/>
      <c r="O120" s="472"/>
      <c r="P120" s="472"/>
      <c r="Q120" s="696"/>
    </row>
    <row r="121" spans="1:17" ht="12.75" customHeight="1">
      <c r="A121" s="543"/>
      <c r="B121" s="543"/>
      <c r="C121" s="543"/>
      <c r="D121" s="543"/>
      <c r="E121" s="543"/>
      <c r="F121" s="543"/>
      <c r="G121" s="543"/>
      <c r="H121" s="543"/>
      <c r="I121" s="543"/>
      <c r="J121" s="543"/>
      <c r="K121" s="570"/>
      <c r="L121" s="543"/>
      <c r="M121" s="543"/>
      <c r="N121" s="543"/>
      <c r="O121" s="543"/>
      <c r="P121" s="543"/>
      <c r="Q121" s="543"/>
    </row>
    <row r="122" spans="1:17" ht="12.75" customHeight="1">
      <c r="A122" s="543"/>
      <c r="B122" s="543"/>
      <c r="C122" s="543"/>
      <c r="D122" s="543"/>
      <c r="E122" s="543"/>
      <c r="F122" s="543"/>
      <c r="G122" s="543"/>
      <c r="H122" s="543"/>
      <c r="I122" s="543"/>
      <c r="J122" s="543"/>
      <c r="K122" s="570"/>
      <c r="L122" s="543"/>
      <c r="M122" s="543"/>
      <c r="N122" s="543"/>
      <c r="O122" s="543"/>
      <c r="P122" s="543"/>
      <c r="Q122" s="543"/>
    </row>
    <row r="123" spans="1:17" ht="21" customHeight="1" thickBot="1">
      <c r="A123" s="319" t="s">
        <v>516</v>
      </c>
    </row>
    <row r="124" spans="1:17" ht="26.25" customHeight="1">
      <c r="A124" s="1069" t="s">
        <v>594</v>
      </c>
      <c r="B124" s="1070"/>
      <c r="C124" s="1070"/>
      <c r="D124" s="1070"/>
      <c r="E124" s="1070"/>
      <c r="F124" s="1071"/>
      <c r="G124" s="773" t="str">
        <f>+C126</f>
        <v>Outstanding Network Credits</v>
      </c>
      <c r="H124" s="1078" t="s">
        <v>447</v>
      </c>
      <c r="I124" s="1087"/>
      <c r="J124" s="1087"/>
      <c r="K124" s="1087"/>
      <c r="L124" s="1087"/>
      <c r="M124" s="1087"/>
      <c r="N124" s="1087"/>
      <c r="O124" s="1087"/>
      <c r="P124" s="1087"/>
      <c r="Q124" s="1088"/>
    </row>
    <row r="125" spans="1:17" ht="15.75" customHeight="1">
      <c r="A125" s="856"/>
      <c r="B125" s="411" t="s">
        <v>393</v>
      </c>
      <c r="C125" s="546"/>
      <c r="D125" s="362"/>
      <c r="E125" s="806"/>
      <c r="F125" s="780"/>
      <c r="G125" s="543"/>
      <c r="H125" s="543"/>
      <c r="I125" s="543"/>
      <c r="J125" s="543"/>
      <c r="K125" s="543"/>
      <c r="L125" s="543"/>
      <c r="M125" s="543"/>
      <c r="N125" s="543"/>
      <c r="O125" s="543"/>
      <c r="P125" s="543"/>
      <c r="Q125" s="679"/>
    </row>
    <row r="126" spans="1:17" ht="12.75" customHeight="1">
      <c r="A126" s="857">
        <f>+'ATT H-2A'!A100</f>
        <v>55</v>
      </c>
      <c r="B126" s="547"/>
      <c r="C126" s="548" t="str">
        <f>+'ATT H-2A'!C100</f>
        <v>Outstanding Network Credits</v>
      </c>
      <c r="D126" s="547"/>
      <c r="E126" s="547" t="str">
        <f>+'ATT H-2A'!E100</f>
        <v>(Note N)</v>
      </c>
      <c r="F126" s="858" t="str">
        <f>+'ATT H-2A'!F100</f>
        <v>From PJM</v>
      </c>
      <c r="G126" s="851">
        <v>0</v>
      </c>
      <c r="H126" s="1080" t="s">
        <v>445</v>
      </c>
      <c r="I126" s="1081"/>
      <c r="J126" s="1081"/>
      <c r="K126" s="1081"/>
      <c r="L126" s="1081"/>
      <c r="M126" s="1081"/>
      <c r="N126" s="1081"/>
      <c r="O126" s="1081"/>
      <c r="P126" s="1081"/>
      <c r="Q126" s="1082"/>
    </row>
    <row r="127" spans="1:17" ht="12.75" customHeight="1">
      <c r="A127" s="857"/>
      <c r="B127" s="547"/>
      <c r="C127" s="548"/>
      <c r="D127" s="547"/>
      <c r="E127" s="859"/>
      <c r="F127" s="858"/>
      <c r="G127" s="543"/>
      <c r="H127" s="543"/>
      <c r="I127" s="543"/>
      <c r="J127" s="543"/>
      <c r="K127" s="543"/>
      <c r="L127" s="543"/>
      <c r="M127" s="543"/>
      <c r="N127" s="543"/>
      <c r="O127" s="677"/>
      <c r="P127" s="543"/>
      <c r="Q127" s="679"/>
    </row>
    <row r="128" spans="1:17" ht="12.75" customHeight="1">
      <c r="A128" s="857"/>
      <c r="B128" s="547"/>
      <c r="C128" s="548"/>
      <c r="D128" s="547"/>
      <c r="E128" s="859"/>
      <c r="F128" s="858"/>
      <c r="G128" s="677" t="s">
        <v>439</v>
      </c>
      <c r="H128" s="1080" t="s">
        <v>626</v>
      </c>
      <c r="I128" s="1081"/>
      <c r="J128" s="1081"/>
      <c r="K128" s="1081"/>
      <c r="L128" s="1081"/>
      <c r="M128" s="1081"/>
      <c r="N128" s="1081"/>
      <c r="O128" s="1081"/>
      <c r="P128" s="1081"/>
      <c r="Q128" s="1082"/>
    </row>
    <row r="129" spans="1:17" ht="12.75" customHeight="1">
      <c r="A129" s="857"/>
      <c r="B129" s="547"/>
      <c r="C129" s="548"/>
      <c r="D129" s="547"/>
      <c r="E129" s="859"/>
      <c r="F129" s="858"/>
      <c r="G129" s="677"/>
      <c r="H129" s="1080"/>
      <c r="I129" s="1081"/>
      <c r="J129" s="1081"/>
      <c r="K129" s="1081"/>
      <c r="L129" s="1081"/>
      <c r="M129" s="1081"/>
      <c r="N129" s="1081"/>
      <c r="O129" s="1081"/>
      <c r="P129" s="1081"/>
      <c r="Q129" s="1082"/>
    </row>
    <row r="130" spans="1:17" ht="12.75" customHeight="1">
      <c r="A130" s="857"/>
      <c r="B130" s="547"/>
      <c r="C130" s="548"/>
      <c r="D130" s="547"/>
      <c r="E130" s="859"/>
      <c r="F130" s="858"/>
      <c r="G130" s="677"/>
      <c r="H130" s="1080"/>
      <c r="I130" s="1081"/>
      <c r="J130" s="1081"/>
      <c r="K130" s="1081"/>
      <c r="L130" s="1081"/>
      <c r="M130" s="1081"/>
      <c r="N130" s="1081"/>
      <c r="O130" s="1081"/>
      <c r="P130" s="1081"/>
      <c r="Q130" s="1082"/>
    </row>
    <row r="131" spans="1:17" ht="12.75" customHeight="1">
      <c r="A131" s="857">
        <f>+'ATT H-2A'!A101</f>
        <v>56</v>
      </c>
      <c r="B131" s="547"/>
      <c r="C131" s="548" t="str">
        <f>+'ATT H-2A'!C101</f>
        <v xml:space="preserve">    Less Accumulated Depreciation Associated with Facilities with Outstanding Network Credits</v>
      </c>
      <c r="D131" s="547"/>
      <c r="E131" s="547" t="str">
        <f>+'ATT H-2A'!E101</f>
        <v>(Note N)</v>
      </c>
      <c r="F131" s="858" t="str">
        <f>+'ATT H-2A'!F101</f>
        <v>From PJM</v>
      </c>
      <c r="G131" s="704">
        <v>0</v>
      </c>
      <c r="H131" s="1080"/>
      <c r="I131" s="1081"/>
      <c r="J131" s="1081"/>
      <c r="K131" s="1081"/>
      <c r="L131" s="1081"/>
      <c r="M131" s="1081"/>
      <c r="N131" s="1081"/>
      <c r="O131" s="1081"/>
      <c r="P131" s="1081"/>
      <c r="Q131" s="1082"/>
    </row>
    <row r="132" spans="1:17" ht="15.75" customHeight="1">
      <c r="A132" s="776"/>
      <c r="B132" s="119"/>
      <c r="C132" s="119"/>
      <c r="D132" s="119"/>
      <c r="E132" s="799"/>
      <c r="F132" s="800"/>
      <c r="G132" s="677"/>
      <c r="H132" s="1080"/>
      <c r="I132" s="1081"/>
      <c r="J132" s="1081"/>
      <c r="K132" s="1081"/>
      <c r="L132" s="1081"/>
      <c r="M132" s="1081"/>
      <c r="N132" s="1081"/>
      <c r="O132" s="1081"/>
      <c r="P132" s="1081"/>
      <c r="Q132" s="1082"/>
    </row>
    <row r="133" spans="1:17" ht="15.75" customHeight="1">
      <c r="A133" s="776"/>
      <c r="B133" s="119"/>
      <c r="C133" s="119"/>
      <c r="D133" s="119"/>
      <c r="E133" s="799"/>
      <c r="F133" s="800"/>
      <c r="G133" s="677" t="s">
        <v>439</v>
      </c>
      <c r="H133" s="1080" t="s">
        <v>626</v>
      </c>
      <c r="I133" s="1081"/>
      <c r="J133" s="1081"/>
      <c r="K133" s="1081"/>
      <c r="L133" s="1081"/>
      <c r="M133" s="1081"/>
      <c r="N133" s="1081"/>
      <c r="O133" s="1081"/>
      <c r="P133" s="1081"/>
      <c r="Q133" s="1082"/>
    </row>
    <row r="134" spans="1:17" ht="15.75" customHeight="1">
      <c r="A134" s="776"/>
      <c r="B134" s="119"/>
      <c r="C134" s="119"/>
      <c r="D134" s="119"/>
      <c r="E134" s="799"/>
      <c r="F134" s="800"/>
      <c r="G134" s="677"/>
      <c r="H134" s="1080"/>
      <c r="I134" s="1081"/>
      <c r="J134" s="1081"/>
      <c r="K134" s="1081"/>
      <c r="L134" s="1081"/>
      <c r="M134" s="1081"/>
      <c r="N134" s="1081"/>
      <c r="O134" s="1081"/>
      <c r="P134" s="1081"/>
      <c r="Q134" s="1082"/>
    </row>
    <row r="135" spans="1:17" ht="16.5" customHeight="1" thickBot="1">
      <c r="A135" s="810"/>
      <c r="B135" s="540"/>
      <c r="C135" s="540"/>
      <c r="D135" s="540"/>
      <c r="E135" s="812"/>
      <c r="F135" s="823"/>
      <c r="G135" s="472"/>
      <c r="H135" s="472"/>
      <c r="I135" s="472"/>
      <c r="J135" s="472"/>
      <c r="K135" s="855" t="s">
        <v>442</v>
      </c>
      <c r="L135" s="472"/>
      <c r="M135" s="472"/>
      <c r="N135" s="472"/>
      <c r="O135" s="472"/>
      <c r="P135" s="472"/>
      <c r="Q135" s="696"/>
    </row>
    <row r="136" spans="1:17" ht="21" customHeight="1" thickBot="1">
      <c r="A136" s="319" t="s">
        <v>543</v>
      </c>
    </row>
    <row r="137" spans="1:17" ht="26.25" customHeight="1">
      <c r="A137" s="1069" t="s">
        <v>594</v>
      </c>
      <c r="B137" s="1070"/>
      <c r="C137" s="1070"/>
      <c r="D137" s="1070"/>
      <c r="E137" s="1070"/>
      <c r="F137" s="1071"/>
      <c r="G137" s="773" t="s">
        <v>222</v>
      </c>
      <c r="H137" s="773" t="s">
        <v>544</v>
      </c>
      <c r="I137" s="773" t="s">
        <v>426</v>
      </c>
      <c r="J137" s="1078" t="s">
        <v>345</v>
      </c>
      <c r="K137" s="1094"/>
      <c r="L137" s="1094"/>
      <c r="M137" s="1094"/>
      <c r="N137" s="1094"/>
      <c r="O137" s="1094"/>
      <c r="P137" s="1094"/>
      <c r="Q137" s="1095"/>
    </row>
    <row r="138" spans="1:17" ht="15.75" customHeight="1">
      <c r="A138" s="776">
        <f>+'ATT H-2A'!A80</f>
        <v>44</v>
      </c>
      <c r="B138" s="19" t="s">
        <v>604</v>
      </c>
      <c r="C138" s="62"/>
      <c r="D138" s="45"/>
      <c r="E138" s="591"/>
      <c r="F138" s="817"/>
      <c r="G138" s="860" t="s">
        <v>439</v>
      </c>
      <c r="H138" s="861"/>
      <c r="I138" s="861" t="s">
        <v>330</v>
      </c>
      <c r="J138" s="543"/>
      <c r="K138" s="543"/>
      <c r="L138" s="543"/>
      <c r="M138" s="543"/>
      <c r="N138" s="543"/>
      <c r="O138" s="543"/>
      <c r="P138" s="543"/>
      <c r="Q138" s="679"/>
    </row>
    <row r="139" spans="1:17" ht="15.75" customHeight="1">
      <c r="A139" s="776"/>
      <c r="B139" s="19"/>
      <c r="C139" s="62" t="s">
        <v>545</v>
      </c>
      <c r="D139" s="45"/>
      <c r="E139" s="591"/>
      <c r="F139" s="817"/>
      <c r="G139" s="862">
        <v>0</v>
      </c>
      <c r="H139" s="863">
        <v>1</v>
      </c>
      <c r="I139" s="861">
        <f>+G139*H139</f>
        <v>0</v>
      </c>
      <c r="J139" s="543"/>
      <c r="K139" s="543"/>
      <c r="L139" s="543"/>
      <c r="M139" s="543"/>
      <c r="N139" s="543"/>
      <c r="O139" s="543"/>
      <c r="P139" s="543"/>
      <c r="Q139" s="679"/>
    </row>
    <row r="140" spans="1:17" ht="15.75" customHeight="1">
      <c r="A140" s="776"/>
      <c r="B140" s="19"/>
      <c r="C140" s="62" t="s">
        <v>546</v>
      </c>
      <c r="D140" s="45"/>
      <c r="E140" s="591"/>
      <c r="F140" s="817"/>
      <c r="G140" s="862">
        <v>0</v>
      </c>
      <c r="H140" s="864">
        <f>+'ATT H-2A'!H16</f>
        <v>0.12385193414972966</v>
      </c>
      <c r="I140" s="861">
        <f>+G140*H140</f>
        <v>0</v>
      </c>
      <c r="J140" s="543"/>
      <c r="K140" s="543"/>
      <c r="L140" s="543"/>
      <c r="M140" s="543"/>
      <c r="N140" s="543"/>
      <c r="O140" s="543"/>
      <c r="P140" s="543"/>
      <c r="Q140" s="679"/>
    </row>
    <row r="141" spans="1:17" ht="15.75" customHeight="1">
      <c r="A141" s="776"/>
      <c r="B141" s="19"/>
      <c r="C141" s="62" t="s">
        <v>319</v>
      </c>
      <c r="D141" s="45"/>
      <c r="E141" s="591"/>
      <c r="F141" s="817"/>
      <c r="G141" s="862">
        <v>0</v>
      </c>
      <c r="H141" s="864">
        <f>+'ATT H-2A'!H32</f>
        <v>0.17006487987085997</v>
      </c>
      <c r="I141" s="861">
        <f>+G141*H141</f>
        <v>0</v>
      </c>
      <c r="J141" s="543"/>
      <c r="K141" s="543"/>
      <c r="L141" s="543"/>
      <c r="M141" s="543"/>
      <c r="N141" s="543"/>
      <c r="O141" s="543"/>
      <c r="P141" s="543"/>
      <c r="Q141" s="679"/>
    </row>
    <row r="142" spans="1:17" ht="15.75" customHeight="1" thickBot="1">
      <c r="A142" s="776"/>
      <c r="B142" s="19"/>
      <c r="C142" s="62" t="s">
        <v>438</v>
      </c>
      <c r="D142" s="45"/>
      <c r="E142" s="591"/>
      <c r="F142" s="817"/>
      <c r="G142" s="865">
        <v>0</v>
      </c>
      <c r="H142" s="864">
        <v>0</v>
      </c>
      <c r="I142" s="861">
        <f>+G142*H142</f>
        <v>0</v>
      </c>
      <c r="J142" s="543"/>
      <c r="K142" s="543"/>
      <c r="L142" s="543"/>
      <c r="M142" s="543"/>
      <c r="N142" s="543"/>
      <c r="O142" s="543"/>
      <c r="P142" s="543"/>
      <c r="Q142" s="679"/>
    </row>
    <row r="143" spans="1:17" ht="16.5" customHeight="1" thickBot="1">
      <c r="A143" s="866"/>
      <c r="B143" s="482"/>
      <c r="C143" s="549" t="s">
        <v>8</v>
      </c>
      <c r="D143" s="847"/>
      <c r="E143" s="867"/>
      <c r="F143" s="868"/>
      <c r="G143" s="869">
        <f>SUM(G139:G142)</f>
        <v>0</v>
      </c>
      <c r="H143" s="870"/>
      <c r="I143" s="838">
        <f>SUM(I139:I142)</f>
        <v>0</v>
      </c>
      <c r="J143" s="1096"/>
      <c r="K143" s="1097"/>
      <c r="L143" s="1097"/>
      <c r="M143" s="1097"/>
      <c r="N143" s="1097"/>
      <c r="O143" s="1097"/>
      <c r="P143" s="1097"/>
      <c r="Q143" s="1098"/>
    </row>
    <row r="144" spans="1:17" ht="15.75" customHeight="1">
      <c r="A144" s="119"/>
      <c r="B144" s="119"/>
      <c r="C144" s="119"/>
      <c r="D144" s="119"/>
      <c r="E144" s="799"/>
      <c r="F144" s="119"/>
      <c r="G144" s="543"/>
      <c r="H144" s="543"/>
      <c r="I144" s="543"/>
      <c r="J144" s="543"/>
      <c r="K144" s="570"/>
      <c r="L144" s="543"/>
      <c r="M144" s="543"/>
      <c r="N144" s="543"/>
      <c r="O144" s="543"/>
      <c r="P144" s="543"/>
      <c r="Q144" s="543"/>
    </row>
    <row r="145" spans="1:17" ht="15.75" customHeight="1">
      <c r="A145" s="119"/>
      <c r="B145" s="119"/>
      <c r="C145" s="119"/>
      <c r="D145" s="119"/>
      <c r="E145" s="799"/>
      <c r="F145" s="119"/>
      <c r="G145" s="543"/>
      <c r="H145" s="543"/>
      <c r="I145" s="543"/>
      <c r="J145" s="543"/>
      <c r="K145" s="570"/>
      <c r="L145" s="543"/>
      <c r="M145" s="543"/>
      <c r="N145" s="543"/>
      <c r="O145" s="543"/>
      <c r="P145" s="543"/>
      <c r="Q145" s="543"/>
    </row>
    <row r="146" spans="1:17" ht="21" customHeight="1" thickBot="1">
      <c r="A146" s="319" t="s">
        <v>103</v>
      </c>
    </row>
    <row r="147" spans="1:17" ht="39" customHeight="1">
      <c r="A147" s="1069" t="s">
        <v>594</v>
      </c>
      <c r="B147" s="1070"/>
      <c r="C147" s="1070"/>
      <c r="D147" s="1070"/>
      <c r="E147" s="1070"/>
      <c r="F147" s="1071"/>
      <c r="G147" s="772" t="s">
        <v>732</v>
      </c>
      <c r="H147" s="773" t="s">
        <v>407</v>
      </c>
      <c r="I147" s="773" t="s">
        <v>423</v>
      </c>
      <c r="J147" s="1078" t="s">
        <v>9</v>
      </c>
      <c r="K147" s="1078"/>
      <c r="L147" s="1078"/>
      <c r="M147" s="1078"/>
      <c r="N147" s="1078"/>
      <c r="O147" s="1078"/>
      <c r="P147" s="1078"/>
      <c r="Q147" s="1079"/>
    </row>
    <row r="148" spans="1:17" ht="15.75" customHeight="1">
      <c r="A148" s="871">
        <f>+'ATT H-2A'!A84</f>
        <v>45</v>
      </c>
      <c r="B148" s="411" t="s">
        <v>103</v>
      </c>
      <c r="C148" s="546"/>
      <c r="D148" s="362"/>
      <c r="E148" s="806"/>
      <c r="F148" s="780"/>
      <c r="G148" s="543"/>
      <c r="H148" s="543"/>
      <c r="I148" s="543"/>
      <c r="J148" s="543"/>
      <c r="K148" s="543"/>
      <c r="L148" s="543"/>
      <c r="M148" s="543"/>
      <c r="N148" s="543"/>
      <c r="O148" s="543"/>
      <c r="P148" s="543"/>
      <c r="Q148" s="679"/>
    </row>
    <row r="149" spans="1:17" ht="15.75" customHeight="1">
      <c r="A149" s="776"/>
      <c r="B149" s="119"/>
      <c r="C149" s="543"/>
      <c r="D149" s="46"/>
      <c r="E149" s="46" t="s">
        <v>247</v>
      </c>
      <c r="F149" s="797"/>
      <c r="G149" s="872"/>
      <c r="H149" s="1080"/>
      <c r="I149" s="1081"/>
      <c r="J149" s="1081"/>
      <c r="K149" s="1081"/>
      <c r="L149" s="1081"/>
      <c r="M149" s="1081"/>
      <c r="N149" s="1081"/>
      <c r="O149" s="1081"/>
      <c r="P149" s="1081"/>
      <c r="Q149" s="1082"/>
    </row>
    <row r="150" spans="1:17" ht="26.25" customHeight="1">
      <c r="A150" s="776"/>
      <c r="B150" s="119"/>
      <c r="C150" s="543" t="s">
        <v>542</v>
      </c>
      <c r="D150" s="597">
        <f>+H150</f>
        <v>48063013.740000002</v>
      </c>
      <c r="E150" s="873">
        <f>'ATT H-2A'!H35</f>
        <v>0.17865538468265896</v>
      </c>
      <c r="F150" s="874">
        <f>+D150*E150</f>
        <v>8586716.2087276243</v>
      </c>
      <c r="G150" s="688">
        <v>63087100</v>
      </c>
      <c r="H150" s="988">
        <v>48063013.740000002</v>
      </c>
      <c r="I150" s="875">
        <f>G150-H150</f>
        <v>15024086.259999998</v>
      </c>
      <c r="J150" s="1084" t="s">
        <v>586</v>
      </c>
      <c r="K150" s="1084"/>
      <c r="L150" s="1084"/>
      <c r="M150" s="1084"/>
      <c r="N150" s="1084"/>
      <c r="O150" s="1084"/>
      <c r="P150" s="1084"/>
      <c r="Q150" s="1085"/>
    </row>
    <row r="151" spans="1:17" ht="39" customHeight="1">
      <c r="A151" s="776"/>
      <c r="B151" s="119"/>
      <c r="C151" s="543" t="s">
        <v>115</v>
      </c>
      <c r="D151" s="876">
        <f>+H151</f>
        <v>308451860.31999999</v>
      </c>
      <c r="E151" s="877">
        <f>'ATT H-2A'!H16</f>
        <v>0.12385193414972966</v>
      </c>
      <c r="F151" s="874">
        <f>+D151*E151</f>
        <v>38202359.492714249</v>
      </c>
      <c r="G151" s="688">
        <v>423116406.47000003</v>
      </c>
      <c r="H151" s="878">
        <v>308451860.31999999</v>
      </c>
      <c r="I151" s="878">
        <f>G151-H151</f>
        <v>114664546.15000004</v>
      </c>
      <c r="J151" s="1089" t="s">
        <v>743</v>
      </c>
      <c r="K151" s="1089"/>
      <c r="L151" s="1089"/>
      <c r="M151" s="1089"/>
      <c r="N151" s="1089"/>
      <c r="O151" s="1089"/>
      <c r="P151" s="1089"/>
      <c r="Q151" s="1090"/>
    </row>
    <row r="152" spans="1:17" ht="15.75" customHeight="1">
      <c r="A152" s="776"/>
      <c r="B152" s="119"/>
      <c r="C152" s="543"/>
      <c r="D152" s="876"/>
      <c r="E152" s="877"/>
      <c r="F152" s="874"/>
      <c r="G152" s="879"/>
      <c r="H152" s="1021"/>
      <c r="I152" s="878"/>
      <c r="J152" s="807"/>
      <c r="K152" s="843"/>
      <c r="L152" s="843"/>
      <c r="M152" s="843"/>
      <c r="N152" s="843"/>
      <c r="O152" s="843"/>
      <c r="P152" s="843"/>
      <c r="Q152" s="853"/>
    </row>
    <row r="153" spans="1:17" ht="15.75" customHeight="1" thickBot="1">
      <c r="A153" s="810"/>
      <c r="B153" s="540"/>
      <c r="C153" s="550" t="s">
        <v>677</v>
      </c>
      <c r="D153" s="880"/>
      <c r="E153" s="881"/>
      <c r="F153" s="882">
        <f>SUM(F150:F152)</f>
        <v>46789075.701441869</v>
      </c>
      <c r="G153" s="883"/>
      <c r="H153" s="884"/>
      <c r="I153" s="885"/>
      <c r="J153" s="886"/>
      <c r="K153" s="885"/>
      <c r="L153" s="885"/>
      <c r="M153" s="885"/>
      <c r="N153" s="885"/>
      <c r="O153" s="885"/>
      <c r="P153" s="885"/>
      <c r="Q153" s="887"/>
    </row>
    <row r="154" spans="1:17" ht="15.75">
      <c r="A154" s="119"/>
      <c r="B154" s="119"/>
      <c r="C154" s="527"/>
      <c r="D154" s="876"/>
      <c r="E154" s="888"/>
      <c r="F154" s="888"/>
      <c r="G154" s="677"/>
      <c r="H154" s="842"/>
      <c r="I154" s="843"/>
      <c r="J154" s="807"/>
      <c r="K154" s="843"/>
      <c r="L154" s="843"/>
      <c r="M154" s="843"/>
      <c r="N154" s="843"/>
      <c r="O154" s="843"/>
      <c r="P154" s="843"/>
      <c r="Q154" s="843"/>
    </row>
    <row r="155" spans="1:17" ht="21" thickBot="1">
      <c r="A155" s="458" t="s">
        <v>119</v>
      </c>
      <c r="B155" s="119"/>
      <c r="C155" s="119"/>
      <c r="D155" s="119"/>
      <c r="E155" s="799"/>
      <c r="F155" s="119"/>
      <c r="G155" s="543"/>
      <c r="H155" s="543"/>
      <c r="I155" s="543"/>
      <c r="J155" s="543"/>
      <c r="K155" s="570"/>
      <c r="L155" s="543"/>
      <c r="M155" s="543"/>
      <c r="N155" s="543"/>
      <c r="O155" s="543"/>
      <c r="P155" s="543"/>
      <c r="Q155" s="543"/>
    </row>
    <row r="156" spans="1:17" ht="15.75" customHeight="1">
      <c r="A156" s="1069" t="s">
        <v>594</v>
      </c>
      <c r="B156" s="1070"/>
      <c r="C156" s="1070"/>
      <c r="D156" s="1070"/>
      <c r="E156" s="1070"/>
      <c r="F156" s="1071"/>
      <c r="G156" s="668" t="s">
        <v>688</v>
      </c>
      <c r="H156" s="889" t="s">
        <v>120</v>
      </c>
      <c r="I156" s="889" t="s">
        <v>534</v>
      </c>
      <c r="J156" s="889" t="s">
        <v>121</v>
      </c>
      <c r="K156" s="890"/>
      <c r="L156" s="889"/>
      <c r="M156" s="889"/>
      <c r="N156" s="889"/>
      <c r="O156" s="889"/>
      <c r="P156" s="889"/>
      <c r="Q156" s="671"/>
    </row>
    <row r="157" spans="1:17" ht="15.75" customHeight="1">
      <c r="A157" s="776">
        <f>'ATT H-2A'!A112</f>
        <v>61</v>
      </c>
      <c r="B157" s="119"/>
      <c r="C157" s="480" t="str">
        <f>'ATT H-2A'!C112</f>
        <v>Less extraordinary property losses</v>
      </c>
      <c r="D157" s="119"/>
      <c r="E157" s="119"/>
      <c r="F157" s="800" t="s">
        <v>744</v>
      </c>
      <c r="G157" s="891"/>
      <c r="H157" s="543"/>
      <c r="I157" s="543"/>
      <c r="J157" s="543"/>
      <c r="K157" s="570"/>
      <c r="L157" s="543"/>
      <c r="M157" s="543"/>
      <c r="N157" s="543"/>
      <c r="O157" s="543"/>
      <c r="P157" s="543"/>
      <c r="Q157" s="679"/>
    </row>
    <row r="158" spans="1:17" ht="12.75" customHeight="1" thickBot="1">
      <c r="A158" s="810">
        <f>'ATT H-2A'!A113</f>
        <v>62</v>
      </c>
      <c r="B158" s="540"/>
      <c r="C158" s="479" t="str">
        <f>'ATT H-2A'!C113</f>
        <v>Plus amotization of extraordinary property losses</v>
      </c>
      <c r="D158" s="540"/>
      <c r="E158" s="540"/>
      <c r="F158" s="823" t="s">
        <v>744</v>
      </c>
      <c r="G158" s="690"/>
      <c r="H158" s="472">
        <v>5</v>
      </c>
      <c r="I158" s="892">
        <f>G157/H158</f>
        <v>0</v>
      </c>
      <c r="J158" s="892">
        <f>I158-ISPMT('ATT H-2A'!H207,1, H158,'5 - Cost Support'!G157)</f>
        <v>0</v>
      </c>
      <c r="K158" s="855"/>
      <c r="L158" s="472"/>
      <c r="M158" s="472"/>
      <c r="N158" s="472"/>
      <c r="O158" s="472"/>
      <c r="P158" s="472"/>
      <c r="Q158" s="696"/>
    </row>
    <row r="159" spans="1:17" ht="12.75" customHeight="1">
      <c r="A159" s="543"/>
      <c r="B159" s="543"/>
      <c r="C159" s="543"/>
      <c r="D159" s="543"/>
      <c r="E159" s="543"/>
      <c r="F159" s="543"/>
      <c r="G159" s="543"/>
      <c r="H159" s="543"/>
      <c r="I159" s="543"/>
      <c r="J159" s="543"/>
      <c r="K159" s="570"/>
      <c r="L159" s="543"/>
      <c r="M159" s="543"/>
      <c r="N159" s="543"/>
      <c r="O159" s="543"/>
      <c r="P159" s="543"/>
      <c r="Q159" s="543"/>
    </row>
    <row r="160" spans="1:17" ht="20.100000000000001" customHeight="1">
      <c r="A160" s="366"/>
      <c r="B160" s="43"/>
      <c r="D160" s="33"/>
      <c r="E160" s="656"/>
      <c r="F160" s="654"/>
      <c r="G160" s="893"/>
      <c r="Q160" s="769"/>
    </row>
    <row r="161" spans="1:17" ht="21" customHeight="1">
      <c r="A161" s="543"/>
      <c r="B161" s="543"/>
      <c r="C161" s="543"/>
      <c r="D161" s="543"/>
      <c r="E161" s="543"/>
      <c r="F161" s="543"/>
      <c r="G161" s="543"/>
      <c r="H161" s="543"/>
      <c r="I161" s="543"/>
      <c r="J161" s="543"/>
      <c r="K161" s="570"/>
      <c r="L161" s="543"/>
      <c r="M161" s="543"/>
      <c r="N161" s="543"/>
      <c r="O161" s="543"/>
      <c r="P161" s="743"/>
      <c r="Q161" s="543"/>
    </row>
    <row r="162" spans="1:17" ht="21" customHeight="1" thickBot="1">
      <c r="A162" s="319" t="s">
        <v>516</v>
      </c>
    </row>
    <row r="163" spans="1:17" ht="26.25" customHeight="1">
      <c r="A163" s="1069" t="s">
        <v>594</v>
      </c>
      <c r="B163" s="1070"/>
      <c r="C163" s="1070"/>
      <c r="D163" s="1070"/>
      <c r="E163" s="1070"/>
      <c r="F163" s="1071"/>
      <c r="G163" s="772" t="str">
        <f>+C165</f>
        <v>Outstanding Network Credits</v>
      </c>
      <c r="H163" s="1078" t="s">
        <v>447</v>
      </c>
      <c r="I163" s="1087"/>
      <c r="J163" s="1087"/>
      <c r="K163" s="1087"/>
      <c r="L163" s="1087"/>
      <c r="M163" s="1087"/>
      <c r="N163" s="1087"/>
      <c r="O163" s="1087"/>
      <c r="P163" s="1087"/>
      <c r="Q163" s="1088"/>
    </row>
    <row r="164" spans="1:17" ht="15.75" customHeight="1">
      <c r="A164" s="856"/>
      <c r="B164" s="411" t="s">
        <v>393</v>
      </c>
      <c r="C164" s="546"/>
      <c r="D164" s="362"/>
      <c r="E164" s="806"/>
      <c r="F164" s="780"/>
      <c r="G164" s="514"/>
      <c r="H164" s="543"/>
      <c r="I164" s="543"/>
      <c r="J164" s="543"/>
      <c r="K164" s="543"/>
      <c r="L164" s="543"/>
      <c r="M164" s="543"/>
      <c r="N164" s="543"/>
      <c r="O164" s="543"/>
      <c r="P164" s="543"/>
      <c r="Q164" s="679"/>
    </row>
    <row r="165" spans="1:17" ht="15.75" customHeight="1">
      <c r="A165" s="776">
        <f>'Exh F - AA-BL Items'!A94</f>
        <v>55</v>
      </c>
      <c r="B165" s="119"/>
      <c r="C165" s="480" t="str">
        <f>'Exh F - AA-BL Items'!C94</f>
        <v>Outstanding Network Credits</v>
      </c>
      <c r="D165" s="119"/>
      <c r="E165" s="799" t="str">
        <f>'Exh F - AA-BL Items'!E94</f>
        <v>(Note N)</v>
      </c>
      <c r="F165" s="800" t="str">
        <f>'Exh F - AA-BL Items'!F94</f>
        <v>From PJM</v>
      </c>
      <c r="G165" s="894">
        <v>0</v>
      </c>
      <c r="H165" s="1080" t="s">
        <v>445</v>
      </c>
      <c r="I165" s="1081"/>
      <c r="J165" s="1081"/>
      <c r="K165" s="1081"/>
      <c r="L165" s="1081"/>
      <c r="M165" s="1081"/>
      <c r="N165" s="1081"/>
      <c r="O165" s="1081"/>
      <c r="P165" s="1081"/>
      <c r="Q165" s="1082"/>
    </row>
    <row r="166" spans="1:17" ht="15.75" customHeight="1">
      <c r="A166" s="776"/>
      <c r="B166" s="119"/>
      <c r="C166" s="119"/>
      <c r="D166" s="119"/>
      <c r="E166" s="799"/>
      <c r="F166" s="800"/>
      <c r="G166" s="514"/>
      <c r="H166" s="543"/>
      <c r="I166" s="543"/>
      <c r="J166" s="543"/>
      <c r="K166" s="543"/>
      <c r="L166" s="543"/>
      <c r="M166" s="543"/>
      <c r="N166" s="543"/>
      <c r="O166" s="677"/>
      <c r="P166" s="543"/>
      <c r="Q166" s="679"/>
    </row>
    <row r="167" spans="1:17" ht="15.75" customHeight="1">
      <c r="A167" s="776"/>
      <c r="B167" s="119"/>
      <c r="C167" s="119"/>
      <c r="D167" s="119"/>
      <c r="E167" s="799"/>
      <c r="F167" s="800"/>
      <c r="G167" s="676" t="s">
        <v>439</v>
      </c>
      <c r="H167" s="1080" t="s">
        <v>626</v>
      </c>
      <c r="I167" s="1081"/>
      <c r="J167" s="1081"/>
      <c r="K167" s="1081"/>
      <c r="L167" s="1081"/>
      <c r="M167" s="1081"/>
      <c r="N167" s="1081"/>
      <c r="O167" s="1081"/>
      <c r="P167" s="1081"/>
      <c r="Q167" s="1082"/>
    </row>
    <row r="168" spans="1:17" ht="15.75" customHeight="1">
      <c r="A168" s="776"/>
      <c r="B168" s="119"/>
      <c r="C168" s="119"/>
      <c r="D168" s="119"/>
      <c r="E168" s="799"/>
      <c r="F168" s="800"/>
      <c r="G168" s="676"/>
      <c r="H168" s="1080"/>
      <c r="I168" s="1081"/>
      <c r="J168" s="1081"/>
      <c r="K168" s="1081"/>
      <c r="L168" s="1081"/>
      <c r="M168" s="1081"/>
      <c r="N168" s="1081"/>
      <c r="O168" s="1081"/>
      <c r="P168" s="1081"/>
      <c r="Q168" s="1082"/>
    </row>
    <row r="169" spans="1:17" ht="15.75" customHeight="1">
      <c r="A169" s="776"/>
      <c r="B169" s="119"/>
      <c r="C169" s="119"/>
      <c r="D169" s="119"/>
      <c r="E169" s="799"/>
      <c r="F169" s="800"/>
      <c r="G169" s="676"/>
      <c r="H169" s="1080"/>
      <c r="I169" s="1081"/>
      <c r="J169" s="1081"/>
      <c r="K169" s="1081"/>
      <c r="L169" s="1081"/>
      <c r="M169" s="1081"/>
      <c r="N169" s="1081"/>
      <c r="O169" s="1081"/>
      <c r="P169" s="1081"/>
      <c r="Q169" s="1082"/>
    </row>
    <row r="170" spans="1:17" ht="15.75" customHeight="1">
      <c r="A170" s="776">
        <f>+'ATT H-2A'!A101</f>
        <v>56</v>
      </c>
      <c r="B170" s="119"/>
      <c r="C170" s="480" t="str">
        <f>+'ATT H-2A'!C101</f>
        <v xml:space="preserve">    Less Accumulated Depreciation Associated with Facilities with Outstanding Network Credits</v>
      </c>
      <c r="D170" s="119"/>
      <c r="E170" s="480" t="str">
        <f>+'ATT H-2A'!E101</f>
        <v>(Note N)</v>
      </c>
      <c r="F170" s="119" t="str">
        <f>+'ATT H-2A'!F101</f>
        <v>From PJM</v>
      </c>
      <c r="G170" s="703">
        <v>0</v>
      </c>
      <c r="H170" s="1080"/>
      <c r="I170" s="1081"/>
      <c r="J170" s="1081"/>
      <c r="K170" s="1081"/>
      <c r="L170" s="1081"/>
      <c r="M170" s="1081"/>
      <c r="N170" s="1081"/>
      <c r="O170" s="1081"/>
      <c r="P170" s="1081"/>
      <c r="Q170" s="1082"/>
    </row>
    <row r="171" spans="1:17" ht="15.75" customHeight="1">
      <c r="A171" s="776"/>
      <c r="B171" s="119"/>
      <c r="C171" s="119"/>
      <c r="D171" s="119"/>
      <c r="E171" s="799"/>
      <c r="F171" s="800"/>
      <c r="G171" s="676"/>
      <c r="H171" s="1080"/>
      <c r="I171" s="1081"/>
      <c r="J171" s="1081"/>
      <c r="K171" s="1081"/>
      <c r="L171" s="1081"/>
      <c r="M171" s="1081"/>
      <c r="N171" s="1081"/>
      <c r="O171" s="1081"/>
      <c r="P171" s="1081"/>
      <c r="Q171" s="1082"/>
    </row>
    <row r="172" spans="1:17" ht="15.75" customHeight="1">
      <c r="A172" s="776"/>
      <c r="B172" s="119"/>
      <c r="C172" s="119"/>
      <c r="D172" s="119"/>
      <c r="E172" s="799"/>
      <c r="F172" s="800"/>
      <c r="G172" s="676" t="s">
        <v>439</v>
      </c>
      <c r="H172" s="1080" t="s">
        <v>626</v>
      </c>
      <c r="I172" s="1081"/>
      <c r="J172" s="1081"/>
      <c r="K172" s="1081"/>
      <c r="L172" s="1081"/>
      <c r="M172" s="1081"/>
      <c r="N172" s="1081"/>
      <c r="O172" s="1081"/>
      <c r="P172" s="1081"/>
      <c r="Q172" s="1082"/>
    </row>
    <row r="173" spans="1:17" ht="15.75" customHeight="1">
      <c r="A173" s="776"/>
      <c r="B173" s="119"/>
      <c r="C173" s="119"/>
      <c r="D173" s="119"/>
      <c r="E173" s="799"/>
      <c r="F173" s="800"/>
      <c r="G173" s="676"/>
      <c r="H173" s="1080"/>
      <c r="I173" s="1081"/>
      <c r="J173" s="1081"/>
      <c r="K173" s="1081"/>
      <c r="L173" s="1081"/>
      <c r="M173" s="1081"/>
      <c r="N173" s="1081"/>
      <c r="O173" s="1081"/>
      <c r="P173" s="1081"/>
      <c r="Q173" s="1082"/>
    </row>
    <row r="174" spans="1:17" ht="16.5" customHeight="1" thickBot="1">
      <c r="A174" s="810"/>
      <c r="B174" s="540"/>
      <c r="C174" s="540"/>
      <c r="D174" s="540"/>
      <c r="E174" s="812"/>
      <c r="F174" s="823"/>
      <c r="G174" s="690"/>
      <c r="H174" s="472"/>
      <c r="I174" s="472"/>
      <c r="J174" s="472"/>
      <c r="K174" s="855" t="s">
        <v>442</v>
      </c>
      <c r="L174" s="472"/>
      <c r="M174" s="472"/>
      <c r="N174" s="472"/>
      <c r="O174" s="472"/>
      <c r="P174" s="472"/>
      <c r="Q174" s="696"/>
    </row>
    <row r="175" spans="1:17" ht="15.75" customHeight="1">
      <c r="A175" s="119"/>
      <c r="B175" s="119"/>
      <c r="C175" s="119"/>
      <c r="D175" s="119"/>
      <c r="E175" s="799"/>
      <c r="F175" s="119"/>
      <c r="G175" s="543"/>
      <c r="H175" s="543"/>
      <c r="I175" s="543"/>
      <c r="J175" s="543"/>
      <c r="K175" s="570"/>
      <c r="L175" s="543"/>
      <c r="M175" s="543"/>
      <c r="N175" s="543"/>
      <c r="O175" s="543"/>
      <c r="P175" s="543"/>
      <c r="Q175" s="543"/>
    </row>
    <row r="176" spans="1:17" ht="15.75" customHeight="1">
      <c r="A176" s="119"/>
      <c r="B176" s="119"/>
      <c r="C176" s="119"/>
      <c r="D176" s="119"/>
      <c r="E176" s="799"/>
      <c r="F176" s="119"/>
      <c r="G176" s="543"/>
      <c r="H176" s="543"/>
      <c r="I176" s="543"/>
      <c r="J176" s="543"/>
      <c r="K176" s="570"/>
      <c r="L176" s="543"/>
      <c r="M176" s="543"/>
      <c r="N176" s="543"/>
      <c r="O176" s="543"/>
      <c r="P176" s="543"/>
      <c r="Q176" s="543"/>
    </row>
    <row r="177" spans="1:17" ht="15.75" customHeight="1">
      <c r="A177" s="119"/>
      <c r="B177" s="119"/>
      <c r="C177" s="119"/>
      <c r="D177" s="119"/>
      <c r="E177" s="799"/>
      <c r="F177" s="119"/>
      <c r="G177" s="543"/>
      <c r="H177" s="543"/>
      <c r="I177" s="543"/>
      <c r="J177" s="543"/>
      <c r="K177" s="570"/>
      <c r="L177" s="543"/>
      <c r="M177" s="543"/>
      <c r="N177" s="543"/>
      <c r="O177" s="543"/>
      <c r="P177" s="543"/>
      <c r="Q177" s="543"/>
    </row>
    <row r="178" spans="1:17" ht="21" customHeight="1" thickBot="1">
      <c r="A178" s="319" t="s">
        <v>518</v>
      </c>
    </row>
    <row r="179" spans="1:17" ht="26.25" customHeight="1">
      <c r="A179" s="1069" t="s">
        <v>594</v>
      </c>
      <c r="B179" s="1070"/>
      <c r="C179" s="1070"/>
      <c r="D179" s="1070"/>
      <c r="E179" s="1070"/>
      <c r="F179" s="1071"/>
      <c r="G179" s="772" t="str">
        <f>+C181</f>
        <v>Interest on Network Credits</v>
      </c>
      <c r="H179" s="1078" t="s">
        <v>450</v>
      </c>
      <c r="I179" s="1087"/>
      <c r="J179" s="1087"/>
      <c r="K179" s="1087"/>
      <c r="L179" s="1087"/>
      <c r="M179" s="1087"/>
      <c r="N179" s="1087"/>
      <c r="O179" s="1087"/>
      <c r="P179" s="1087"/>
      <c r="Q179" s="1088"/>
    </row>
    <row r="180" spans="1:17" ht="15.75" customHeight="1">
      <c r="A180" s="776"/>
      <c r="B180" s="411" t="e">
        <f>+#REF!</f>
        <v>#REF!</v>
      </c>
      <c r="C180" s="119"/>
      <c r="D180" s="119"/>
      <c r="E180" s="119"/>
      <c r="F180" s="800"/>
      <c r="G180" s="514"/>
      <c r="H180" s="543"/>
      <c r="I180" s="543"/>
      <c r="J180" s="543"/>
      <c r="K180" s="543"/>
      <c r="L180" s="543"/>
      <c r="M180" s="543"/>
      <c r="N180" s="543"/>
      <c r="O180" s="543"/>
      <c r="P180" s="543"/>
      <c r="Q180" s="679"/>
    </row>
    <row r="181" spans="1:17" ht="15.75" customHeight="1">
      <c r="A181" s="776">
        <f>'Exh F - AA-BL Items'!A247</f>
        <v>154</v>
      </c>
      <c r="B181" s="119"/>
      <c r="C181" s="119" t="str">
        <f>'Exh F - AA-BL Items'!C247</f>
        <v>Interest on Network Credits</v>
      </c>
      <c r="D181" s="119"/>
      <c r="E181" s="799" t="str">
        <f>'Exh F - AA-BL Items'!E247</f>
        <v>(Note N)</v>
      </c>
      <c r="F181" s="800" t="str">
        <f>'Exh F - AA-BL Items'!F247</f>
        <v>PJM Data</v>
      </c>
      <c r="G181" s="894">
        <v>0</v>
      </c>
      <c r="H181" s="1080" t="s">
        <v>445</v>
      </c>
      <c r="I181" s="1081"/>
      <c r="J181" s="1081"/>
      <c r="K181" s="1081"/>
      <c r="L181" s="1081"/>
      <c r="M181" s="1081"/>
      <c r="N181" s="1081"/>
      <c r="O181" s="1081"/>
      <c r="P181" s="1081"/>
      <c r="Q181" s="1082"/>
    </row>
    <row r="182" spans="1:17" ht="15.75" customHeight="1">
      <c r="A182" s="776"/>
      <c r="B182" s="119"/>
      <c r="C182" s="119"/>
      <c r="D182" s="119"/>
      <c r="E182" s="799"/>
      <c r="F182" s="800"/>
      <c r="G182" s="514"/>
      <c r="H182" s="543"/>
      <c r="I182" s="543"/>
      <c r="J182" s="543"/>
      <c r="K182" s="543"/>
      <c r="L182" s="543"/>
      <c r="M182" s="543"/>
      <c r="N182" s="543"/>
      <c r="O182" s="677"/>
      <c r="P182" s="543"/>
      <c r="Q182" s="679"/>
    </row>
    <row r="183" spans="1:17" ht="15">
      <c r="A183" s="776"/>
      <c r="B183" s="119"/>
      <c r="C183" s="119"/>
      <c r="D183" s="119"/>
      <c r="E183" s="799"/>
      <c r="F183" s="800"/>
      <c r="G183" s="676" t="s">
        <v>439</v>
      </c>
      <c r="H183" s="1080" t="s">
        <v>626</v>
      </c>
      <c r="I183" s="1081"/>
      <c r="J183" s="1081"/>
      <c r="K183" s="1081"/>
      <c r="L183" s="1081"/>
      <c r="M183" s="1081"/>
      <c r="N183" s="1081"/>
      <c r="O183" s="1081"/>
      <c r="P183" s="1081"/>
      <c r="Q183" s="1082"/>
    </row>
    <row r="184" spans="1:17" ht="15">
      <c r="A184" s="776"/>
      <c r="B184" s="119"/>
      <c r="C184" s="119"/>
      <c r="D184" s="119"/>
      <c r="E184" s="799"/>
      <c r="F184" s="800"/>
      <c r="G184" s="676"/>
      <c r="H184" s="1080"/>
      <c r="I184" s="1081"/>
      <c r="J184" s="1081"/>
      <c r="K184" s="1081"/>
      <c r="L184" s="1081"/>
      <c r="M184" s="1081"/>
      <c r="N184" s="1081"/>
      <c r="O184" s="1081"/>
      <c r="P184" s="1081"/>
      <c r="Q184" s="1082"/>
    </row>
    <row r="185" spans="1:17" ht="15">
      <c r="A185" s="776"/>
      <c r="B185" s="119"/>
      <c r="C185" s="119"/>
      <c r="D185" s="119"/>
      <c r="E185" s="799"/>
      <c r="F185" s="800"/>
      <c r="G185" s="676"/>
      <c r="H185" s="1080"/>
      <c r="I185" s="1081"/>
      <c r="J185" s="1081"/>
      <c r="K185" s="1081"/>
      <c r="L185" s="1081"/>
      <c r="M185" s="1081"/>
      <c r="N185" s="1081"/>
      <c r="O185" s="1081"/>
      <c r="P185" s="1081"/>
      <c r="Q185" s="1082"/>
    </row>
    <row r="186" spans="1:17" ht="15.75" thickBot="1">
      <c r="A186" s="810"/>
      <c r="B186" s="540"/>
      <c r="C186" s="540"/>
      <c r="D186" s="540"/>
      <c r="E186" s="812"/>
      <c r="F186" s="823"/>
      <c r="G186" s="690"/>
      <c r="H186" s="472"/>
      <c r="I186" s="472"/>
      <c r="J186" s="472"/>
      <c r="K186" s="855" t="s">
        <v>442</v>
      </c>
      <c r="L186" s="472"/>
      <c r="M186" s="472"/>
      <c r="N186" s="472"/>
      <c r="O186" s="472"/>
      <c r="P186" s="472"/>
      <c r="Q186" s="696"/>
    </row>
    <row r="187" spans="1:17" ht="15">
      <c r="A187" s="119"/>
      <c r="B187" s="119"/>
      <c r="C187" s="119"/>
      <c r="D187" s="119"/>
      <c r="E187" s="799"/>
      <c r="F187" s="119"/>
      <c r="G187" s="543"/>
      <c r="H187" s="543"/>
      <c r="I187" s="543"/>
      <c r="J187" s="543"/>
      <c r="K187" s="570"/>
      <c r="L187" s="543"/>
      <c r="M187" s="543"/>
      <c r="N187" s="543"/>
      <c r="O187" s="543"/>
      <c r="P187" s="543"/>
      <c r="Q187" s="543"/>
    </row>
    <row r="188" spans="1:17" ht="15">
      <c r="A188" s="119"/>
      <c r="B188" s="119"/>
      <c r="C188" s="119"/>
      <c r="D188" s="119"/>
      <c r="E188" s="799"/>
      <c r="F188" s="119"/>
      <c r="G188" s="543"/>
      <c r="H188" s="543"/>
      <c r="I188" s="543"/>
      <c r="J188" s="543"/>
      <c r="K188" s="570"/>
      <c r="L188" s="543"/>
      <c r="M188" s="543"/>
      <c r="N188" s="543"/>
      <c r="O188" s="543"/>
      <c r="P188" s="543"/>
      <c r="Q188" s="543"/>
    </row>
    <row r="189" spans="1:17" ht="21" thickBot="1">
      <c r="A189" s="319" t="str">
        <f>+'ATT H-2A'!C280</f>
        <v>Facility Credits under Section 30.9 of the PJM OATT paid by Utility</v>
      </c>
    </row>
    <row r="190" spans="1:17" ht="18">
      <c r="A190" s="1069" t="s">
        <v>594</v>
      </c>
      <c r="B190" s="1070"/>
      <c r="C190" s="1070"/>
      <c r="D190" s="1070"/>
      <c r="E190" s="1070"/>
      <c r="F190" s="1071"/>
      <c r="G190" s="773" t="s">
        <v>330</v>
      </c>
      <c r="H190" s="1078" t="s">
        <v>448</v>
      </c>
      <c r="I190" s="1087"/>
      <c r="J190" s="1087"/>
      <c r="K190" s="1087"/>
      <c r="L190" s="1087"/>
      <c r="M190" s="1087"/>
      <c r="N190" s="1087"/>
      <c r="O190" s="1087"/>
      <c r="P190" s="1087"/>
      <c r="Q190" s="1088"/>
    </row>
    <row r="191" spans="1:17" ht="15.75">
      <c r="A191" s="776"/>
      <c r="B191" s="104" t="str">
        <f>+'ATT H-2A'!C277</f>
        <v>Net Revenue Requirement</v>
      </c>
      <c r="C191" s="62"/>
      <c r="D191" s="62"/>
      <c r="E191" s="108"/>
      <c r="F191" s="817"/>
      <c r="G191" s="543"/>
      <c r="H191" s="543"/>
      <c r="I191" s="543"/>
      <c r="J191" s="543"/>
      <c r="K191" s="543"/>
      <c r="L191" s="543"/>
      <c r="M191" s="543"/>
      <c r="N191" s="543"/>
      <c r="O191" s="543"/>
      <c r="P191" s="543"/>
      <c r="Q191" s="679"/>
    </row>
    <row r="192" spans="1:17" ht="15.75" thickBot="1">
      <c r="A192" s="810">
        <f>+'ATT H-2A'!A281</f>
        <v>171</v>
      </c>
      <c r="B192" s="539"/>
      <c r="C192" s="540" t="str">
        <f>+'ATT H-2A'!C281</f>
        <v>Net Zonal Revenue Requirement</v>
      </c>
      <c r="D192" s="895"/>
      <c r="E192" s="540"/>
      <c r="F192" s="540"/>
      <c r="G192" s="896">
        <v>0</v>
      </c>
      <c r="H192" s="1121"/>
      <c r="I192" s="1097"/>
      <c r="J192" s="1097"/>
      <c r="K192" s="1097"/>
      <c r="L192" s="1097"/>
      <c r="M192" s="1097"/>
      <c r="N192" s="1097"/>
      <c r="O192" s="1097"/>
      <c r="P192" s="1097"/>
      <c r="Q192" s="1098"/>
    </row>
    <row r="193" spans="1:17" ht="15">
      <c r="A193" s="119"/>
      <c r="B193" s="43"/>
      <c r="C193" s="119"/>
      <c r="D193" s="45"/>
      <c r="E193" s="119"/>
      <c r="F193" s="119"/>
      <c r="G193" s="897"/>
      <c r="H193" s="842"/>
      <c r="I193" s="843"/>
      <c r="J193" s="843"/>
      <c r="K193" s="843"/>
      <c r="L193" s="843"/>
      <c r="M193" s="843"/>
      <c r="N193" s="843"/>
      <c r="O193" s="843"/>
      <c r="P193" s="843"/>
      <c r="Q193" s="843"/>
    </row>
    <row r="195" spans="1:17" ht="21" thickBot="1">
      <c r="A195" s="319" t="s">
        <v>514</v>
      </c>
    </row>
    <row r="196" spans="1:17" ht="18">
      <c r="A196" s="1069" t="s">
        <v>594</v>
      </c>
      <c r="B196" s="1070"/>
      <c r="C196" s="1070"/>
      <c r="D196" s="1070"/>
      <c r="E196" s="1070"/>
      <c r="F196" s="1071"/>
      <c r="G196" s="772" t="str">
        <f>+C198</f>
        <v>1 CP Peak</v>
      </c>
      <c r="H196" s="1078" t="s">
        <v>448</v>
      </c>
      <c r="I196" s="1087"/>
      <c r="J196" s="1087"/>
      <c r="K196" s="1087"/>
      <c r="L196" s="1087"/>
      <c r="M196" s="1087"/>
      <c r="N196" s="1087"/>
      <c r="O196" s="1087"/>
      <c r="P196" s="1087"/>
      <c r="Q196" s="1088"/>
    </row>
    <row r="197" spans="1:17" ht="15.75" customHeight="1">
      <c r="A197" s="776"/>
      <c r="B197" s="104" t="s">
        <v>403</v>
      </c>
      <c r="C197" s="62"/>
      <c r="D197" s="62"/>
      <c r="E197" s="108"/>
      <c r="F197" s="817"/>
      <c r="G197" s="514"/>
      <c r="H197" s="543"/>
      <c r="I197" s="543"/>
      <c r="J197" s="543"/>
      <c r="K197" s="543"/>
      <c r="L197" s="543"/>
      <c r="M197" s="543"/>
      <c r="N197" s="543"/>
      <c r="O197" s="543"/>
      <c r="P197" s="543"/>
      <c r="Q197" s="679"/>
    </row>
    <row r="198" spans="1:17" ht="16.5" customHeight="1" thickBot="1">
      <c r="A198" s="810">
        <f>'Exh F - AA-BL Items'!A272</f>
        <v>172</v>
      </c>
      <c r="B198" s="539"/>
      <c r="C198" s="551" t="str">
        <f>'Exh F - AA-BL Items'!C272</f>
        <v>1 CP Peak</v>
      </c>
      <c r="D198" s="895"/>
      <c r="E198" s="845" t="str">
        <f>'Exh F - AA-BL Items'!E272</f>
        <v>(Note L)</v>
      </c>
      <c r="F198" s="898" t="str">
        <f>'Exh F - AA-BL Items'!F272</f>
        <v>PJM Data</v>
      </c>
      <c r="G198" s="896">
        <v>6830</v>
      </c>
      <c r="H198" s="1121" t="s">
        <v>634</v>
      </c>
      <c r="I198" s="1097"/>
      <c r="J198" s="1097"/>
      <c r="K198" s="1097"/>
      <c r="L198" s="1097"/>
      <c r="M198" s="1097"/>
      <c r="N198" s="1097"/>
      <c r="O198" s="1097"/>
      <c r="P198" s="1097"/>
      <c r="Q198" s="1098"/>
    </row>
    <row r="199" spans="1:17" ht="12.75" customHeight="1"/>
    <row r="200" spans="1:17" ht="12.75" customHeight="1"/>
    <row r="201" spans="1:17" ht="21" customHeight="1" thickBot="1">
      <c r="A201" s="319" t="s">
        <v>454</v>
      </c>
    </row>
    <row r="202" spans="1:17" ht="18" customHeight="1">
      <c r="A202" s="468"/>
      <c r="B202" s="469"/>
      <c r="C202" s="356" t="s">
        <v>455</v>
      </c>
      <c r="D202" s="356" t="s">
        <v>456</v>
      </c>
      <c r="E202" s="356" t="s">
        <v>457</v>
      </c>
      <c r="F202" s="356" t="s">
        <v>458</v>
      </c>
      <c r="G202" s="1118" t="s">
        <v>459</v>
      </c>
      <c r="H202" s="1119"/>
      <c r="I202" s="1120" t="s">
        <v>460</v>
      </c>
      <c r="J202" s="1119"/>
      <c r="K202" s="1120" t="s">
        <v>461</v>
      </c>
      <c r="L202" s="1119"/>
      <c r="M202" s="899"/>
      <c r="N202" s="899"/>
      <c r="O202" s="899"/>
      <c r="P202" s="899"/>
      <c r="Q202" s="900"/>
    </row>
    <row r="203" spans="1:17" ht="15.75" customHeight="1">
      <c r="A203" s="776"/>
      <c r="B203" s="411"/>
      <c r="C203" s="119" t="s">
        <v>629</v>
      </c>
      <c r="D203" s="119">
        <v>7002</v>
      </c>
      <c r="E203" s="901">
        <v>22368.549941633901</v>
      </c>
      <c r="F203" s="989">
        <f>+'ATT H-2A'!H287</f>
        <v>25046.591165267757</v>
      </c>
      <c r="G203" s="1124">
        <f>+E203*D203</f>
        <v>156624586.69132057</v>
      </c>
      <c r="H203" s="1123"/>
      <c r="I203" s="1122">
        <f>+F203*'ATT H-2A'!H284</f>
        <v>171068217.65877879</v>
      </c>
      <c r="J203" s="1123"/>
      <c r="K203" s="1122">
        <f>+I203-G203</f>
        <v>14443630.967458218</v>
      </c>
      <c r="L203" s="1123"/>
      <c r="M203" s="903"/>
      <c r="N203" s="903"/>
      <c r="O203" s="903"/>
      <c r="P203" s="903"/>
      <c r="Q203" s="904"/>
    </row>
    <row r="204" spans="1:17" ht="15.75" customHeight="1">
      <c r="A204" s="776"/>
      <c r="B204" s="119"/>
      <c r="C204" s="119"/>
      <c r="D204" s="119"/>
      <c r="E204" s="905"/>
      <c r="F204" s="902"/>
      <c r="G204" s="1124">
        <f>+E204*D204*(151/365)</f>
        <v>0</v>
      </c>
      <c r="H204" s="1123"/>
      <c r="I204" s="1091"/>
      <c r="J204" s="1092"/>
      <c r="K204" s="1091"/>
      <c r="L204" s="1093"/>
      <c r="M204" s="518"/>
      <c r="N204" s="518"/>
      <c r="O204" s="518"/>
      <c r="P204" s="518"/>
      <c r="Q204" s="675"/>
    </row>
    <row r="205" spans="1:17" ht="15.75" customHeight="1">
      <c r="A205" s="776"/>
      <c r="B205" s="119"/>
      <c r="C205" s="119"/>
      <c r="D205" s="119"/>
      <c r="E205" s="902"/>
      <c r="F205" s="902"/>
      <c r="G205" s="906"/>
      <c r="H205" s="907"/>
      <c r="I205" s="908"/>
      <c r="J205" s="518"/>
      <c r="K205" s="908"/>
      <c r="L205" s="518"/>
      <c r="M205" s="518"/>
      <c r="N205" s="518"/>
      <c r="O205" s="518"/>
      <c r="P205" s="518"/>
      <c r="Q205" s="675"/>
    </row>
    <row r="206" spans="1:17" ht="16.5" customHeight="1" thickBot="1">
      <c r="A206" s="810"/>
      <c r="B206" s="540"/>
      <c r="C206" s="540" t="s">
        <v>222</v>
      </c>
      <c r="D206" s="540"/>
      <c r="E206" s="812"/>
      <c r="F206" s="540"/>
      <c r="G206" s="1125">
        <f>SUM(G203:H205)</f>
        <v>156624586.69132057</v>
      </c>
      <c r="H206" s="1126"/>
      <c r="I206" s="1127">
        <f>SUM(I203:J205)</f>
        <v>171068217.65877879</v>
      </c>
      <c r="J206" s="1126"/>
      <c r="K206" s="1127">
        <f>SUM(K203:L205)</f>
        <v>14443630.967458218</v>
      </c>
      <c r="L206" s="1126"/>
      <c r="M206" s="909"/>
      <c r="N206" s="909"/>
      <c r="O206" s="909"/>
      <c r="P206" s="909"/>
      <c r="Q206" s="910"/>
    </row>
    <row r="207" spans="1:17" ht="12.75" customHeight="1"/>
    <row r="209" spans="1:17" ht="21" customHeight="1" thickBot="1">
      <c r="A209" s="319" t="s">
        <v>781</v>
      </c>
    </row>
    <row r="210" spans="1:17" ht="39" customHeight="1">
      <c r="A210" s="1069" t="s">
        <v>594</v>
      </c>
      <c r="B210" s="1070"/>
      <c r="C210" s="1070"/>
      <c r="D210" s="1070"/>
      <c r="E210" s="1070"/>
      <c r="F210" s="1071"/>
      <c r="G210" s="772" t="s">
        <v>783</v>
      </c>
      <c r="H210" s="1024" t="s">
        <v>144</v>
      </c>
      <c r="I210" s="1024" t="s">
        <v>784</v>
      </c>
      <c r="J210" s="1078" t="s">
        <v>786</v>
      </c>
      <c r="K210" s="1078"/>
      <c r="L210" s="1078"/>
      <c r="M210" s="1078"/>
      <c r="N210" s="1078"/>
      <c r="O210" s="1078"/>
      <c r="P210" s="1078"/>
      <c r="Q210" s="1079"/>
    </row>
    <row r="211" spans="1:17" ht="15.75" customHeight="1">
      <c r="A211" s="871"/>
      <c r="B211" s="411"/>
      <c r="C211" s="546"/>
      <c r="D211" s="362"/>
      <c r="E211" s="806"/>
      <c r="F211" s="780"/>
      <c r="G211" s="543"/>
      <c r="H211" s="543"/>
      <c r="I211" s="543"/>
      <c r="J211" s="543"/>
      <c r="K211" s="543"/>
      <c r="L211" s="543"/>
      <c r="M211" s="543"/>
      <c r="N211" s="543"/>
      <c r="O211" s="543"/>
      <c r="P211" s="543"/>
      <c r="Q211" s="679"/>
    </row>
    <row r="212" spans="1:17" ht="15.75" customHeight="1">
      <c r="A212" s="776"/>
      <c r="B212" s="119"/>
      <c r="C212" s="543"/>
      <c r="D212" s="46"/>
      <c r="E212" s="46"/>
      <c r="F212" s="797"/>
      <c r="G212" s="872"/>
      <c r="H212" s="1080"/>
      <c r="I212" s="1081"/>
      <c r="J212" s="1081"/>
      <c r="K212" s="1081"/>
      <c r="L212" s="1081"/>
      <c r="M212" s="1081"/>
      <c r="N212" s="1081"/>
      <c r="O212" s="1081"/>
      <c r="P212" s="1081"/>
      <c r="Q212" s="1082"/>
    </row>
    <row r="213" spans="1:17" ht="26.25" customHeight="1">
      <c r="A213" s="776">
        <v>168</v>
      </c>
      <c r="B213" s="119"/>
      <c r="C213" s="543" t="s">
        <v>782</v>
      </c>
      <c r="D213" s="597">
        <f>+'ATT H-2A'!H278</f>
        <v>4480378.6629141215</v>
      </c>
      <c r="E213" s="873"/>
      <c r="F213" s="874"/>
      <c r="G213" s="688">
        <f>+'6- Est &amp; True-up WS'!H144</f>
        <v>4635461.6629141215</v>
      </c>
      <c r="H213" s="988">
        <v>-155083</v>
      </c>
      <c r="I213" s="875">
        <f>+G213+H213</f>
        <v>4480378.6629141215</v>
      </c>
      <c r="J213" s="1084" t="s">
        <v>785</v>
      </c>
      <c r="K213" s="1084"/>
      <c r="L213" s="1084"/>
      <c r="M213" s="1084"/>
      <c r="N213" s="1084"/>
      <c r="O213" s="1084"/>
      <c r="P213" s="1084"/>
      <c r="Q213" s="1085"/>
    </row>
    <row r="214" spans="1:17" ht="15.75" customHeight="1">
      <c r="A214" s="776"/>
      <c r="B214" s="119"/>
      <c r="C214" s="543"/>
      <c r="D214" s="876"/>
      <c r="E214" s="877"/>
      <c r="F214" s="874"/>
      <c r="G214" s="879"/>
      <c r="H214" s="1021"/>
      <c r="I214" s="878"/>
      <c r="J214" s="807"/>
      <c r="K214" s="1022"/>
      <c r="L214" s="1022"/>
      <c r="M214" s="1022"/>
      <c r="N214" s="1022"/>
      <c r="O214" s="1022"/>
      <c r="P214" s="1022"/>
      <c r="Q214" s="1023"/>
    </row>
    <row r="215" spans="1:17" ht="15.75" customHeight="1" thickBot="1">
      <c r="A215" s="810"/>
      <c r="B215" s="540"/>
      <c r="C215" s="550" t="s">
        <v>677</v>
      </c>
      <c r="D215" s="880"/>
      <c r="E215" s="881"/>
      <c r="F215" s="882"/>
      <c r="G215" s="883"/>
      <c r="H215" s="1025"/>
      <c r="I215" s="1026"/>
      <c r="J215" s="886"/>
      <c r="K215" s="1026"/>
      <c r="L215" s="1026"/>
      <c r="M215" s="1026"/>
      <c r="N215" s="1026"/>
      <c r="O215" s="1026"/>
      <c r="P215" s="1026"/>
      <c r="Q215" s="1027"/>
    </row>
    <row r="216" spans="1:17" ht="12.75" customHeight="1"/>
    <row r="217" spans="1:17" ht="16.5" customHeight="1">
      <c r="G217" s="911"/>
      <c r="H217" s="911"/>
      <c r="I217" s="911"/>
      <c r="J217" s="911"/>
      <c r="K217" s="911"/>
      <c r="L217" s="911"/>
      <c r="M217" s="911"/>
      <c r="N217" s="911"/>
      <c r="O217" s="911"/>
      <c r="P217" s="911"/>
      <c r="Q217" s="911"/>
    </row>
    <row r="218" spans="1:17" ht="21.75" customHeight="1" thickBot="1">
      <c r="A218" s="319" t="s">
        <v>867</v>
      </c>
    </row>
    <row r="219" spans="1:17" ht="81" customHeight="1">
      <c r="A219" s="1069" t="s">
        <v>594</v>
      </c>
      <c r="B219" s="1070"/>
      <c r="C219" s="1070"/>
      <c r="D219" s="1070"/>
      <c r="E219" s="1070"/>
      <c r="F219" s="1071"/>
      <c r="G219" s="772" t="s">
        <v>868</v>
      </c>
      <c r="H219" s="1034"/>
      <c r="I219" s="1034" t="s">
        <v>869</v>
      </c>
      <c r="J219" s="1078" t="s">
        <v>786</v>
      </c>
      <c r="K219" s="1078"/>
      <c r="L219" s="1078"/>
      <c r="M219" s="1078"/>
      <c r="N219" s="1078"/>
      <c r="O219" s="1078"/>
      <c r="P219" s="1078"/>
      <c r="Q219" s="1079"/>
    </row>
    <row r="220" spans="1:17" ht="16.5" customHeight="1">
      <c r="A220" s="871"/>
      <c r="B220" s="411"/>
      <c r="C220" s="546"/>
      <c r="D220" s="362"/>
      <c r="E220" s="806"/>
      <c r="F220" s="780"/>
      <c r="G220" s="543"/>
      <c r="H220" s="543"/>
      <c r="I220" s="543"/>
      <c r="J220" s="543"/>
      <c r="K220" s="543"/>
      <c r="L220" s="543"/>
      <c r="M220" s="543"/>
      <c r="N220" s="543"/>
      <c r="O220" s="543"/>
      <c r="P220" s="543"/>
      <c r="Q220" s="679"/>
    </row>
    <row r="221" spans="1:17" ht="16.5" customHeight="1">
      <c r="A221" s="776"/>
      <c r="B221" s="119"/>
      <c r="C221" s="543"/>
      <c r="D221" s="46"/>
      <c r="E221" s="46"/>
      <c r="F221" s="797"/>
      <c r="G221" s="872"/>
      <c r="H221" s="1080"/>
      <c r="I221" s="1081"/>
      <c r="J221" s="1081"/>
      <c r="K221" s="1081"/>
      <c r="L221" s="1081"/>
      <c r="M221" s="1081"/>
      <c r="N221" s="1081"/>
      <c r="O221" s="1081"/>
      <c r="P221" s="1081"/>
      <c r="Q221" s="1082"/>
    </row>
    <row r="222" spans="1:17" ht="39" customHeight="1">
      <c r="A222" s="1042" t="s">
        <v>870</v>
      </c>
      <c r="B222" s="119"/>
      <c r="C222" s="543" t="s">
        <v>868</v>
      </c>
      <c r="D222" s="597"/>
      <c r="E222" s="873"/>
      <c r="F222" s="874"/>
      <c r="G222" s="1040">
        <f>+'7 - Cap Add WS'!CI28</f>
        <v>0.2180028862405102</v>
      </c>
      <c r="H222" s="988"/>
      <c r="I222" s="1041">
        <f>+'7 - Cap Add WS'!CR28</f>
        <v>0.22289963686311773</v>
      </c>
      <c r="J222" s="1083" t="s">
        <v>871</v>
      </c>
      <c r="K222" s="1084"/>
      <c r="L222" s="1084"/>
      <c r="M222" s="1084"/>
      <c r="N222" s="1084"/>
      <c r="O222" s="1084"/>
      <c r="P222" s="1084"/>
      <c r="Q222" s="1085"/>
    </row>
    <row r="223" spans="1:17" ht="27" customHeight="1">
      <c r="A223" s="776"/>
      <c r="B223" s="119"/>
      <c r="C223" s="543"/>
      <c r="D223" s="597"/>
      <c r="E223" s="873"/>
      <c r="F223" s="874"/>
      <c r="G223" s="1040"/>
      <c r="H223" s="988"/>
      <c r="I223" s="1041"/>
      <c r="J223" s="1083" t="s">
        <v>872</v>
      </c>
      <c r="K223" s="1083"/>
      <c r="L223" s="1083"/>
      <c r="M223" s="1083"/>
      <c r="N223" s="1083"/>
      <c r="O223" s="1083"/>
      <c r="P223" s="1083"/>
      <c r="Q223" s="1086"/>
    </row>
    <row r="224" spans="1:17" ht="15">
      <c r="A224" s="776"/>
      <c r="B224" s="119"/>
      <c r="C224" s="543"/>
      <c r="D224" s="597"/>
      <c r="E224" s="873"/>
      <c r="F224" s="874"/>
      <c r="G224" s="1040"/>
      <c r="H224" s="988"/>
      <c r="I224" s="1041"/>
      <c r="J224" s="1083" t="s">
        <v>873</v>
      </c>
      <c r="K224" s="1083"/>
      <c r="L224" s="1083"/>
      <c r="M224" s="1083"/>
      <c r="N224" s="1083"/>
      <c r="O224" s="1083"/>
      <c r="P224" s="1083"/>
      <c r="Q224" s="1086"/>
    </row>
    <row r="225" spans="1:17" ht="15">
      <c r="A225" s="776"/>
      <c r="B225" s="119"/>
      <c r="C225" s="543"/>
      <c r="D225" s="876"/>
      <c r="E225" s="877"/>
      <c r="F225" s="874"/>
      <c r="G225" s="879"/>
      <c r="H225" s="1021"/>
      <c r="I225" s="878"/>
      <c r="J225" s="807" t="s">
        <v>874</v>
      </c>
      <c r="K225" s="1035"/>
      <c r="L225" s="1035"/>
      <c r="M225" s="1035"/>
      <c r="N225" s="1035"/>
      <c r="O225" s="1035"/>
      <c r="P225" s="1035"/>
      <c r="Q225" s="1036"/>
    </row>
    <row r="226" spans="1:17" ht="16.5" customHeight="1" thickBot="1">
      <c r="A226" s="810"/>
      <c r="B226" s="540"/>
      <c r="C226" s="550"/>
      <c r="D226" s="880"/>
      <c r="E226" s="881"/>
      <c r="F226" s="882"/>
      <c r="G226" s="883"/>
      <c r="H226" s="1039"/>
      <c r="I226" s="1037"/>
      <c r="J226" s="886"/>
      <c r="K226" s="1037"/>
      <c r="L226" s="1037"/>
      <c r="M226" s="1037"/>
      <c r="N226" s="1037"/>
      <c r="O226" s="1037"/>
      <c r="P226" s="1037"/>
      <c r="Q226" s="1038"/>
    </row>
    <row r="227" spans="1:17" ht="16.5" customHeight="1"/>
    <row r="228" spans="1:17" ht="14.25">
      <c r="G228" s="911"/>
      <c r="H228" s="911"/>
      <c r="I228" s="911"/>
      <c r="J228" s="911"/>
      <c r="K228" s="911"/>
      <c r="L228" s="911"/>
      <c r="M228" s="911"/>
      <c r="N228" s="911"/>
      <c r="O228" s="911"/>
      <c r="P228" s="911"/>
      <c r="Q228" s="911"/>
    </row>
    <row r="229" spans="1:17" ht="14.25">
      <c r="G229" s="911"/>
      <c r="H229" s="911"/>
      <c r="I229" s="911"/>
      <c r="J229" s="911"/>
      <c r="K229" s="911"/>
      <c r="L229" s="911"/>
      <c r="M229" s="911"/>
      <c r="N229" s="911"/>
      <c r="O229" s="911"/>
      <c r="P229" s="911"/>
      <c r="Q229" s="911"/>
    </row>
    <row r="230" spans="1:17" ht="14.25">
      <c r="G230" s="911"/>
      <c r="H230" s="911"/>
      <c r="I230" s="911"/>
      <c r="J230" s="911"/>
      <c r="K230" s="911"/>
      <c r="L230" s="911"/>
      <c r="M230" s="911"/>
      <c r="N230" s="911"/>
      <c r="O230" s="911"/>
      <c r="P230" s="911"/>
      <c r="Q230" s="911"/>
    </row>
    <row r="231" spans="1:17" ht="14.25">
      <c r="G231" s="911"/>
      <c r="H231" s="911"/>
      <c r="I231" s="911"/>
      <c r="J231" s="911"/>
      <c r="K231" s="911"/>
      <c r="L231" s="911"/>
      <c r="M231" s="911"/>
      <c r="N231" s="911"/>
      <c r="O231" s="911"/>
      <c r="P231" s="911"/>
      <c r="Q231" s="911"/>
    </row>
    <row r="232" spans="1:17" ht="14.25">
      <c r="G232" s="911"/>
      <c r="H232" s="911"/>
      <c r="I232" s="911"/>
      <c r="J232" s="911"/>
      <c r="K232" s="911"/>
      <c r="L232" s="911"/>
      <c r="M232" s="911"/>
      <c r="N232" s="911"/>
      <c r="O232" s="911"/>
      <c r="P232" s="911"/>
      <c r="Q232" s="911"/>
    </row>
    <row r="233" spans="1:17" ht="14.25">
      <c r="G233" s="911"/>
      <c r="H233" s="911"/>
      <c r="I233" s="911"/>
      <c r="J233" s="911"/>
      <c r="K233" s="911"/>
      <c r="L233" s="911"/>
      <c r="M233" s="911"/>
      <c r="N233" s="911"/>
      <c r="O233" s="911"/>
      <c r="P233" s="911"/>
      <c r="Q233" s="911"/>
    </row>
    <row r="234" spans="1:17" ht="14.25">
      <c r="G234" s="911"/>
      <c r="H234" s="911"/>
      <c r="I234" s="911"/>
      <c r="J234" s="911"/>
      <c r="K234" s="911"/>
      <c r="L234" s="911"/>
      <c r="M234" s="911"/>
      <c r="N234" s="911"/>
      <c r="O234" s="911"/>
      <c r="P234" s="911"/>
      <c r="Q234" s="911"/>
    </row>
    <row r="235" spans="1:17" ht="14.25">
      <c r="G235" s="911"/>
      <c r="H235" s="911"/>
      <c r="I235" s="911"/>
      <c r="J235" s="911"/>
      <c r="K235" s="911"/>
      <c r="L235" s="911"/>
      <c r="M235" s="911"/>
      <c r="N235" s="911"/>
      <c r="O235" s="911"/>
      <c r="P235" s="911"/>
      <c r="Q235" s="911"/>
    </row>
    <row r="236" spans="1:17" ht="14.25">
      <c r="G236" s="911"/>
      <c r="H236" s="911"/>
      <c r="I236" s="911"/>
      <c r="J236" s="911"/>
      <c r="K236" s="911"/>
      <c r="L236" s="911"/>
      <c r="M236" s="911"/>
      <c r="N236" s="911"/>
      <c r="O236" s="911"/>
      <c r="P236" s="911"/>
      <c r="Q236" s="911"/>
    </row>
    <row r="237" spans="1:17" ht="14.25">
      <c r="G237" s="911"/>
      <c r="H237" s="911"/>
      <c r="I237" s="911"/>
      <c r="J237" s="911"/>
      <c r="K237" s="911"/>
      <c r="L237" s="911"/>
      <c r="M237" s="911"/>
      <c r="N237" s="911"/>
      <c r="O237" s="911"/>
      <c r="P237" s="911"/>
      <c r="Q237" s="911"/>
    </row>
    <row r="238" spans="1:17" ht="14.25">
      <c r="G238" s="911"/>
      <c r="H238" s="911"/>
      <c r="I238" s="911"/>
      <c r="J238" s="911"/>
      <c r="K238" s="911"/>
      <c r="L238" s="911"/>
      <c r="M238" s="911"/>
      <c r="N238" s="911"/>
      <c r="O238" s="911"/>
      <c r="P238" s="911"/>
      <c r="Q238" s="911"/>
    </row>
    <row r="239" spans="1:17" ht="14.25">
      <c r="G239" s="911"/>
      <c r="H239" s="911"/>
      <c r="I239" s="911"/>
      <c r="J239" s="911"/>
      <c r="K239" s="911"/>
      <c r="L239" s="911"/>
      <c r="M239" s="911"/>
      <c r="N239" s="911"/>
      <c r="O239" s="911"/>
      <c r="P239" s="911"/>
      <c r="Q239" s="911"/>
    </row>
    <row r="240" spans="1:17" ht="14.25">
      <c r="G240" s="911"/>
      <c r="H240" s="911"/>
      <c r="I240" s="911"/>
      <c r="J240" s="911"/>
      <c r="K240" s="911"/>
      <c r="L240" s="911"/>
      <c r="M240" s="911"/>
      <c r="N240" s="911"/>
      <c r="O240" s="911"/>
      <c r="P240" s="911"/>
      <c r="Q240" s="911"/>
    </row>
    <row r="241" spans="7:17" ht="14.25">
      <c r="G241" s="911"/>
      <c r="H241" s="911"/>
      <c r="I241" s="911"/>
      <c r="J241" s="911"/>
      <c r="K241" s="911"/>
      <c r="L241" s="911"/>
      <c r="M241" s="911"/>
      <c r="N241" s="911"/>
      <c r="O241" s="911"/>
      <c r="P241" s="911"/>
      <c r="Q241" s="911"/>
    </row>
    <row r="242" spans="7:17" ht="14.25">
      <c r="G242" s="911"/>
      <c r="H242" s="911"/>
      <c r="I242" s="911"/>
      <c r="J242" s="911"/>
      <c r="K242" s="911"/>
      <c r="L242" s="911"/>
      <c r="M242" s="911"/>
      <c r="N242" s="911"/>
      <c r="O242" s="911"/>
      <c r="P242" s="911"/>
      <c r="Q242" s="911"/>
    </row>
    <row r="243" spans="7:17" ht="14.25">
      <c r="G243" s="911"/>
      <c r="H243" s="911"/>
      <c r="I243" s="911"/>
      <c r="J243" s="911"/>
      <c r="K243" s="911"/>
      <c r="L243" s="911"/>
      <c r="M243" s="911"/>
      <c r="N243" s="911"/>
      <c r="O243" s="911"/>
      <c r="P243" s="911"/>
      <c r="Q243" s="911"/>
    </row>
    <row r="244" spans="7:17" ht="14.25">
      <c r="G244" s="911"/>
      <c r="H244" s="911"/>
      <c r="I244" s="911"/>
      <c r="J244" s="911"/>
      <c r="K244" s="911"/>
      <c r="L244" s="911"/>
      <c r="M244" s="911"/>
      <c r="N244" s="911"/>
      <c r="O244" s="911"/>
      <c r="P244" s="911"/>
      <c r="Q244" s="911"/>
    </row>
    <row r="245" spans="7:17" ht="14.25">
      <c r="G245" s="911"/>
      <c r="H245" s="911"/>
      <c r="I245" s="911"/>
      <c r="J245" s="911"/>
      <c r="K245" s="911"/>
      <c r="L245" s="911"/>
      <c r="M245" s="911"/>
      <c r="N245" s="911"/>
      <c r="O245" s="911"/>
      <c r="P245" s="911"/>
      <c r="Q245" s="911"/>
    </row>
    <row r="246" spans="7:17" ht="14.25">
      <c r="G246" s="911"/>
      <c r="H246" s="911"/>
      <c r="I246" s="911"/>
      <c r="J246" s="911"/>
      <c r="K246" s="911"/>
      <c r="L246" s="911"/>
      <c r="M246" s="911"/>
      <c r="N246" s="911"/>
      <c r="O246" s="911"/>
      <c r="P246" s="911"/>
      <c r="Q246" s="911"/>
    </row>
    <row r="247" spans="7:17" ht="14.25">
      <c r="G247" s="911"/>
      <c r="H247" s="911"/>
      <c r="I247" s="911"/>
      <c r="J247" s="911"/>
      <c r="K247" s="911"/>
      <c r="L247" s="911"/>
      <c r="M247" s="911"/>
      <c r="N247" s="911"/>
      <c r="O247" s="911"/>
      <c r="P247" s="911"/>
      <c r="Q247" s="911"/>
    </row>
    <row r="248" spans="7:17" ht="14.25">
      <c r="G248" s="911"/>
      <c r="H248" s="911"/>
      <c r="I248" s="911"/>
      <c r="J248" s="911"/>
      <c r="K248" s="911"/>
      <c r="L248" s="911"/>
      <c r="M248" s="911"/>
      <c r="N248" s="911"/>
      <c r="O248" s="911"/>
      <c r="P248" s="911"/>
      <c r="Q248" s="911"/>
    </row>
    <row r="249" spans="7:17" ht="14.25">
      <c r="G249" s="911"/>
      <c r="H249" s="911"/>
      <c r="I249" s="911"/>
      <c r="J249" s="911"/>
      <c r="K249" s="911"/>
      <c r="L249" s="911"/>
      <c r="M249" s="911"/>
      <c r="N249" s="911"/>
      <c r="O249" s="911"/>
      <c r="P249" s="911"/>
      <c r="Q249" s="911"/>
    </row>
    <row r="250" spans="7:17" ht="14.25">
      <c r="G250" s="911"/>
      <c r="H250" s="911"/>
      <c r="I250" s="911"/>
      <c r="J250" s="911"/>
      <c r="K250" s="911"/>
      <c r="L250" s="911"/>
      <c r="M250" s="911"/>
      <c r="N250" s="911"/>
      <c r="O250" s="911"/>
      <c r="P250" s="911"/>
      <c r="Q250" s="911"/>
    </row>
    <row r="251" spans="7:17" ht="14.25">
      <c r="G251" s="911"/>
      <c r="H251" s="911"/>
      <c r="I251" s="911"/>
      <c r="J251" s="911"/>
      <c r="K251" s="911"/>
      <c r="L251" s="911"/>
      <c r="M251" s="911"/>
      <c r="N251" s="911"/>
      <c r="O251" s="911"/>
      <c r="P251" s="911"/>
      <c r="Q251" s="911"/>
    </row>
    <row r="252" spans="7:17" ht="14.25">
      <c r="G252" s="911"/>
      <c r="H252" s="911"/>
      <c r="I252" s="911"/>
      <c r="J252" s="911"/>
      <c r="K252" s="911"/>
      <c r="L252" s="911"/>
      <c r="M252" s="911"/>
      <c r="N252" s="911"/>
      <c r="O252" s="911"/>
      <c r="P252" s="911"/>
      <c r="Q252" s="911"/>
    </row>
    <row r="253" spans="7:17" ht="14.25">
      <c r="G253" s="911"/>
      <c r="H253" s="911"/>
      <c r="I253" s="911"/>
      <c r="J253" s="911"/>
      <c r="K253" s="911"/>
      <c r="L253" s="911"/>
      <c r="M253" s="911"/>
      <c r="N253" s="911"/>
      <c r="O253" s="911"/>
      <c r="P253" s="911"/>
      <c r="Q253" s="911"/>
    </row>
    <row r="254" spans="7:17" ht="14.25">
      <c r="G254" s="911"/>
      <c r="H254" s="911"/>
      <c r="I254" s="911"/>
      <c r="J254" s="911"/>
      <c r="K254" s="911"/>
      <c r="L254" s="911"/>
      <c r="M254" s="911"/>
      <c r="N254" s="911"/>
      <c r="O254" s="911"/>
      <c r="P254" s="911"/>
      <c r="Q254" s="911"/>
    </row>
    <row r="255" spans="7:17" ht="14.25">
      <c r="G255" s="911"/>
      <c r="H255" s="911"/>
      <c r="I255" s="911"/>
      <c r="J255" s="911"/>
      <c r="K255" s="911"/>
      <c r="L255" s="911"/>
      <c r="M255" s="911"/>
      <c r="N255" s="911"/>
      <c r="O255" s="911"/>
      <c r="P255" s="911"/>
      <c r="Q255" s="911"/>
    </row>
    <row r="256" spans="7:17" ht="14.25">
      <c r="G256" s="911"/>
      <c r="H256" s="911"/>
      <c r="I256" s="911"/>
      <c r="J256" s="911"/>
      <c r="K256" s="911"/>
      <c r="L256" s="911"/>
      <c r="M256" s="911"/>
      <c r="N256" s="911"/>
      <c r="O256" s="911"/>
      <c r="P256" s="911"/>
      <c r="Q256" s="911"/>
    </row>
    <row r="257" spans="7:17" ht="14.25">
      <c r="G257" s="911"/>
      <c r="H257" s="911"/>
      <c r="I257" s="911"/>
      <c r="J257" s="911"/>
      <c r="K257" s="911"/>
      <c r="L257" s="911"/>
      <c r="M257" s="911"/>
      <c r="N257" s="911"/>
      <c r="O257" s="911"/>
      <c r="P257" s="911"/>
      <c r="Q257" s="911"/>
    </row>
    <row r="258" spans="7:17" ht="14.25">
      <c r="G258" s="911"/>
      <c r="H258" s="911"/>
      <c r="I258" s="911"/>
      <c r="J258" s="911"/>
      <c r="K258" s="911"/>
      <c r="L258" s="911"/>
      <c r="M258" s="911"/>
      <c r="N258" s="911"/>
      <c r="O258" s="911"/>
      <c r="P258" s="911"/>
      <c r="Q258" s="911"/>
    </row>
    <row r="259" spans="7:17" ht="14.25">
      <c r="G259" s="911"/>
      <c r="H259" s="911"/>
      <c r="I259" s="911"/>
      <c r="J259" s="911"/>
      <c r="K259" s="911"/>
      <c r="L259" s="911"/>
      <c r="M259" s="911"/>
      <c r="N259" s="911"/>
      <c r="O259" s="911"/>
      <c r="P259" s="911"/>
      <c r="Q259" s="911"/>
    </row>
    <row r="260" spans="7:17" ht="14.25">
      <c r="G260" s="911"/>
      <c r="H260" s="911"/>
      <c r="I260" s="911"/>
      <c r="J260" s="911"/>
      <c r="K260" s="911"/>
      <c r="L260" s="911"/>
      <c r="M260" s="911"/>
      <c r="N260" s="911"/>
      <c r="O260" s="911"/>
      <c r="P260" s="911"/>
      <c r="Q260" s="911"/>
    </row>
    <row r="261" spans="7:17" ht="14.25">
      <c r="G261" s="911"/>
      <c r="H261" s="911"/>
      <c r="I261" s="911"/>
      <c r="J261" s="911"/>
      <c r="K261" s="911"/>
      <c r="L261" s="911"/>
      <c r="M261" s="911"/>
      <c r="N261" s="911"/>
      <c r="O261" s="911"/>
      <c r="P261" s="911"/>
      <c r="Q261" s="911"/>
    </row>
    <row r="262" spans="7:17" ht="14.25">
      <c r="G262" s="911"/>
      <c r="H262" s="911"/>
      <c r="I262" s="911"/>
      <c r="J262" s="911"/>
      <c r="K262" s="911"/>
      <c r="L262" s="911"/>
      <c r="M262" s="911"/>
      <c r="N262" s="911"/>
      <c r="O262" s="911"/>
      <c r="P262" s="911"/>
      <c r="Q262" s="911"/>
    </row>
    <row r="263" spans="7:17" ht="14.25">
      <c r="G263" s="911"/>
      <c r="H263" s="911"/>
      <c r="I263" s="911"/>
      <c r="J263" s="911"/>
      <c r="K263" s="911"/>
      <c r="L263" s="911"/>
      <c r="M263" s="911"/>
      <c r="N263" s="911"/>
      <c r="O263" s="911"/>
      <c r="P263" s="911"/>
      <c r="Q263" s="911"/>
    </row>
    <row r="264" spans="7:17" ht="14.25">
      <c r="G264" s="911"/>
      <c r="H264" s="911"/>
      <c r="I264" s="911"/>
      <c r="J264" s="911"/>
      <c r="K264" s="911"/>
      <c r="L264" s="911"/>
      <c r="M264" s="911"/>
      <c r="N264" s="911"/>
      <c r="O264" s="911"/>
      <c r="P264" s="911"/>
      <c r="Q264" s="911"/>
    </row>
    <row r="265" spans="7:17" ht="14.25">
      <c r="G265" s="911"/>
      <c r="H265" s="911"/>
      <c r="I265" s="911"/>
      <c r="J265" s="911"/>
      <c r="K265" s="911"/>
      <c r="L265" s="911"/>
      <c r="M265" s="911"/>
      <c r="N265" s="911"/>
      <c r="O265" s="911"/>
      <c r="P265" s="911"/>
      <c r="Q265" s="911"/>
    </row>
    <row r="266" spans="7:17" ht="14.25">
      <c r="G266" s="911"/>
      <c r="H266" s="911"/>
      <c r="I266" s="911"/>
      <c r="J266" s="911"/>
      <c r="K266" s="911"/>
      <c r="L266" s="911"/>
      <c r="M266" s="911"/>
      <c r="N266" s="911"/>
      <c r="O266" s="911"/>
      <c r="P266" s="911"/>
      <c r="Q266" s="911"/>
    </row>
    <row r="267" spans="7:17" ht="14.25">
      <c r="G267" s="911"/>
      <c r="H267" s="911"/>
      <c r="I267" s="911"/>
      <c r="J267" s="911"/>
      <c r="K267" s="911"/>
      <c r="L267" s="911"/>
      <c r="M267" s="911"/>
      <c r="N267" s="911"/>
      <c r="O267" s="911"/>
      <c r="P267" s="911"/>
      <c r="Q267" s="911"/>
    </row>
    <row r="268" spans="7:17" ht="14.25">
      <c r="G268" s="911"/>
      <c r="H268" s="911"/>
      <c r="I268" s="911"/>
      <c r="J268" s="911"/>
      <c r="K268" s="911"/>
      <c r="L268" s="911"/>
      <c r="M268" s="911"/>
      <c r="N268" s="911"/>
      <c r="O268" s="911"/>
      <c r="P268" s="911"/>
      <c r="Q268" s="911"/>
    </row>
    <row r="269" spans="7:17" ht="14.25">
      <c r="G269" s="911"/>
      <c r="H269" s="911"/>
      <c r="I269" s="911"/>
      <c r="J269" s="911"/>
      <c r="K269" s="911"/>
      <c r="L269" s="911"/>
      <c r="M269" s="911"/>
      <c r="N269" s="911"/>
      <c r="O269" s="911"/>
      <c r="P269" s="911"/>
      <c r="Q269" s="911"/>
    </row>
    <row r="270" spans="7:17" ht="14.25">
      <c r="G270" s="911"/>
      <c r="H270" s="911"/>
      <c r="I270" s="911"/>
      <c r="J270" s="911"/>
      <c r="K270" s="911"/>
      <c r="L270" s="911"/>
      <c r="M270" s="911"/>
      <c r="N270" s="911"/>
      <c r="O270" s="911"/>
      <c r="P270" s="911"/>
      <c r="Q270" s="911"/>
    </row>
    <row r="271" spans="7:17" ht="14.25">
      <c r="G271" s="911"/>
      <c r="H271" s="911"/>
      <c r="I271" s="911"/>
      <c r="J271" s="911"/>
      <c r="K271" s="911"/>
      <c r="L271" s="911"/>
      <c r="M271" s="911"/>
      <c r="N271" s="911"/>
      <c r="O271" s="911"/>
      <c r="P271" s="911"/>
      <c r="Q271" s="911"/>
    </row>
    <row r="272" spans="7:17" ht="14.25">
      <c r="G272" s="911"/>
      <c r="H272" s="911"/>
      <c r="I272" s="911"/>
      <c r="J272" s="911"/>
      <c r="K272" s="911"/>
      <c r="L272" s="911"/>
      <c r="M272" s="911"/>
      <c r="N272" s="911"/>
      <c r="O272" s="911"/>
      <c r="P272" s="911"/>
      <c r="Q272" s="911"/>
    </row>
    <row r="273" spans="7:17" ht="14.25">
      <c r="G273" s="911"/>
      <c r="H273" s="911"/>
      <c r="I273" s="911"/>
      <c r="J273" s="911"/>
      <c r="K273" s="911"/>
      <c r="L273" s="911"/>
      <c r="M273" s="911"/>
      <c r="N273" s="911"/>
      <c r="O273" s="911"/>
      <c r="P273" s="911"/>
      <c r="Q273" s="911"/>
    </row>
    <row r="274" spans="7:17" ht="14.25">
      <c r="G274" s="911"/>
      <c r="H274" s="911"/>
      <c r="I274" s="911"/>
      <c r="J274" s="911"/>
      <c r="K274" s="911"/>
      <c r="L274" s="911"/>
      <c r="M274" s="911"/>
      <c r="N274" s="911"/>
      <c r="O274" s="911"/>
      <c r="P274" s="911"/>
      <c r="Q274" s="911"/>
    </row>
    <row r="275" spans="7:17" ht="14.25">
      <c r="G275" s="911"/>
      <c r="H275" s="911"/>
      <c r="I275" s="911"/>
      <c r="J275" s="911"/>
      <c r="K275" s="911"/>
      <c r="L275" s="911"/>
      <c r="M275" s="911"/>
      <c r="N275" s="911"/>
      <c r="O275" s="911"/>
      <c r="P275" s="911"/>
      <c r="Q275" s="911"/>
    </row>
  </sheetData>
  <mergeCells count="145">
    <mergeCell ref="K203:L203"/>
    <mergeCell ref="G204:H204"/>
    <mergeCell ref="H181:Q181"/>
    <mergeCell ref="H183:Q183"/>
    <mergeCell ref="A210:F210"/>
    <mergeCell ref="J210:Q210"/>
    <mergeCell ref="H212:Q212"/>
    <mergeCell ref="J213:Q213"/>
    <mergeCell ref="H168:Q168"/>
    <mergeCell ref="G206:H206"/>
    <mergeCell ref="I206:J206"/>
    <mergeCell ref="K206:L206"/>
    <mergeCell ref="G203:H203"/>
    <mergeCell ref="I203:J203"/>
    <mergeCell ref="H167:Q167"/>
    <mergeCell ref="G202:H202"/>
    <mergeCell ref="I202:J202"/>
    <mergeCell ref="K202:L202"/>
    <mergeCell ref="H196:Q196"/>
    <mergeCell ref="H198:Q198"/>
    <mergeCell ref="H169:Q169"/>
    <mergeCell ref="H170:Q170"/>
    <mergeCell ref="H171:Q171"/>
    <mergeCell ref="H172:Q172"/>
    <mergeCell ref="H192:Q192"/>
    <mergeCell ref="J63:Q63"/>
    <mergeCell ref="J65:Q65"/>
    <mergeCell ref="J59:Q59"/>
    <mergeCell ref="J60:Q60"/>
    <mergeCell ref="J61:Q61"/>
    <mergeCell ref="J62:Q62"/>
    <mergeCell ref="J71:Q71"/>
    <mergeCell ref="J79:Q79"/>
    <mergeCell ref="J83:Q83"/>
    <mergeCell ref="J74:Q74"/>
    <mergeCell ref="J75:Q75"/>
    <mergeCell ref="J76:Q76"/>
    <mergeCell ref="A74:F74"/>
    <mergeCell ref="J46:Q46"/>
    <mergeCell ref="J29:Q29"/>
    <mergeCell ref="J31:Q31"/>
    <mergeCell ref="J33:Q33"/>
    <mergeCell ref="A46:F46"/>
    <mergeCell ref="A56:F56"/>
    <mergeCell ref="A69:F69"/>
    <mergeCell ref="J41:Q41"/>
    <mergeCell ref="J69:Q69"/>
    <mergeCell ref="J30:Q30"/>
    <mergeCell ref="J34:Q34"/>
    <mergeCell ref="J42:Q42"/>
    <mergeCell ref="J38:Q38"/>
    <mergeCell ref="J40:Q40"/>
    <mergeCell ref="J37:Q37"/>
    <mergeCell ref="J39:Q39"/>
    <mergeCell ref="J47:Q47"/>
    <mergeCell ref="J48:Q48"/>
    <mergeCell ref="J49:Q49"/>
    <mergeCell ref="J56:Q56"/>
    <mergeCell ref="J58:Q58"/>
    <mergeCell ref="J57:Q57"/>
    <mergeCell ref="J70:Q70"/>
    <mergeCell ref="J26:Q26"/>
    <mergeCell ref="J27:Q27"/>
    <mergeCell ref="J28:Q28"/>
    <mergeCell ref="J16:Q16"/>
    <mergeCell ref="J24:Q24"/>
    <mergeCell ref="A6:F6"/>
    <mergeCell ref="J6:Q6"/>
    <mergeCell ref="J7:Q7"/>
    <mergeCell ref="J8:Q8"/>
    <mergeCell ref="J12:Q12"/>
    <mergeCell ref="J25:Q25"/>
    <mergeCell ref="J17:Q17"/>
    <mergeCell ref="J19:Q19"/>
    <mergeCell ref="J20:Q20"/>
    <mergeCell ref="J18:Q18"/>
    <mergeCell ref="J14:Q14"/>
    <mergeCell ref="J15:Q15"/>
    <mergeCell ref="J23:Q23"/>
    <mergeCell ref="J13:Q13"/>
    <mergeCell ref="J11:Q11"/>
    <mergeCell ref="J9:Q9"/>
    <mergeCell ref="J10:Q10"/>
    <mergeCell ref="U75:U96"/>
    <mergeCell ref="A107:F107"/>
    <mergeCell ref="H107:Q107"/>
    <mergeCell ref="H109:Q109"/>
    <mergeCell ref="A100:F100"/>
    <mergeCell ref="J100:Q100"/>
    <mergeCell ref="A79:F79"/>
    <mergeCell ref="L95:Q95"/>
    <mergeCell ref="L96:Q96"/>
    <mergeCell ref="J89:Q89"/>
    <mergeCell ref="L93:Q93"/>
    <mergeCell ref="J77:Q77"/>
    <mergeCell ref="A87:F87"/>
    <mergeCell ref="A93:F93"/>
    <mergeCell ref="J87:Q87"/>
    <mergeCell ref="H117:Q117"/>
    <mergeCell ref="A137:F137"/>
    <mergeCell ref="J137:Q137"/>
    <mergeCell ref="J143:Q143"/>
    <mergeCell ref="A147:F147"/>
    <mergeCell ref="J147:Q147"/>
    <mergeCell ref="H149:Q149"/>
    <mergeCell ref="J102:Q102"/>
    <mergeCell ref="H126:Q126"/>
    <mergeCell ref="H128:Q128"/>
    <mergeCell ref="H129:Q129"/>
    <mergeCell ref="H130:Q130"/>
    <mergeCell ref="H112:Q112"/>
    <mergeCell ref="H114:Q114"/>
    <mergeCell ref="H115:Q115"/>
    <mergeCell ref="H116:Q116"/>
    <mergeCell ref="H111:Q111"/>
    <mergeCell ref="H131:Q131"/>
    <mergeCell ref="H132:Q132"/>
    <mergeCell ref="H133:Q133"/>
    <mergeCell ref="H118:Q118"/>
    <mergeCell ref="H119:Q119"/>
    <mergeCell ref="H134:Q134"/>
    <mergeCell ref="A219:F219"/>
    <mergeCell ref="J219:Q219"/>
    <mergeCell ref="H221:Q221"/>
    <mergeCell ref="J222:Q222"/>
    <mergeCell ref="J223:Q223"/>
    <mergeCell ref="J224:Q224"/>
    <mergeCell ref="A156:F156"/>
    <mergeCell ref="A124:F124"/>
    <mergeCell ref="H124:Q124"/>
    <mergeCell ref="A163:F163"/>
    <mergeCell ref="A196:F196"/>
    <mergeCell ref="H163:Q163"/>
    <mergeCell ref="J151:Q151"/>
    <mergeCell ref="J150:Q150"/>
    <mergeCell ref="I204:J204"/>
    <mergeCell ref="K204:L204"/>
    <mergeCell ref="A190:F190"/>
    <mergeCell ref="H173:Q173"/>
    <mergeCell ref="H185:Q185"/>
    <mergeCell ref="H184:Q184"/>
    <mergeCell ref="H190:Q190"/>
    <mergeCell ref="A179:F179"/>
    <mergeCell ref="H179:Q179"/>
    <mergeCell ref="H165:Q165"/>
  </mergeCells>
  <phoneticPr fontId="0" type="noConversion"/>
  <printOptions horizontalCentered="1"/>
  <pageMargins left="0.25" right="0.25" top="0.75" bottom="0.32" header="0.5" footer="0.38"/>
  <pageSetup scale="43" fitToHeight="3" orientation="landscape" r:id="rId1"/>
  <headerFooter alignWithMargins="0">
    <oddHeader>&amp;R&amp;"Arial,Bold"&amp;14Page &amp;P of &amp;N</oddHeader>
  </headerFooter>
  <rowBreaks count="3" manualBreakCount="3">
    <brk id="66" max="16383" man="1"/>
    <brk id="135"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opLeftCell="A4" workbookViewId="0">
      <selection activeCell="D19" sqref="D19:E19"/>
    </sheetView>
  </sheetViews>
  <sheetFormatPr defaultRowHeight="12.75"/>
  <cols>
    <col min="1" max="1" width="23.7109375" style="465" customWidth="1"/>
    <col min="2" max="2" width="9.85546875" style="465" customWidth="1"/>
    <col min="3" max="3" width="9.140625" style="465"/>
    <col min="4" max="4" width="13" style="465" customWidth="1"/>
    <col min="5" max="5" width="14.140625" style="465" customWidth="1"/>
    <col min="6" max="16384" width="9.140625" style="465"/>
  </cols>
  <sheetData>
    <row r="1" spans="1:10" ht="18">
      <c r="A1" s="1048" t="str">
        <f>'ATT H-2A'!A4</f>
        <v>Baltimore Gas and Electric Company</v>
      </c>
      <c r="B1" s="1052"/>
      <c r="C1" s="1052"/>
      <c r="D1" s="1052"/>
      <c r="E1" s="1052"/>
      <c r="F1" s="1052"/>
      <c r="G1" s="1052"/>
      <c r="H1" s="1052"/>
      <c r="I1" s="1052"/>
      <c r="J1" s="1052"/>
    </row>
    <row r="2" spans="1:10" ht="15.75">
      <c r="A2" s="366"/>
      <c r="B2" s="43"/>
      <c r="D2" s="33"/>
    </row>
    <row r="3" spans="1:10" ht="15.75">
      <c r="A3" s="1128" t="s">
        <v>547</v>
      </c>
      <c r="B3" s="1052"/>
      <c r="C3" s="1052"/>
      <c r="D3" s="1052"/>
      <c r="E3" s="1052"/>
      <c r="F3" s="1052"/>
      <c r="G3" s="1052"/>
      <c r="H3" s="1052"/>
      <c r="I3" s="1052"/>
      <c r="J3" s="1052"/>
    </row>
    <row r="8" spans="1:10">
      <c r="A8" s="450" t="s">
        <v>850</v>
      </c>
    </row>
    <row r="9" spans="1:10">
      <c r="A9" s="450" t="s">
        <v>851</v>
      </c>
    </row>
    <row r="12" spans="1:10">
      <c r="D12" s="477" t="s">
        <v>330</v>
      </c>
      <c r="E12" s="477" t="s">
        <v>330</v>
      </c>
      <c r="F12" s="767"/>
      <c r="G12" s="767"/>
    </row>
    <row r="13" spans="1:10">
      <c r="D13" s="477" t="s">
        <v>715</v>
      </c>
      <c r="E13" s="477" t="s">
        <v>715</v>
      </c>
      <c r="F13" s="767"/>
      <c r="G13" s="767"/>
    </row>
    <row r="14" spans="1:10">
      <c r="A14" s="465" t="s">
        <v>591</v>
      </c>
      <c r="D14" s="767" t="s">
        <v>716</v>
      </c>
      <c r="E14" s="767" t="s">
        <v>716</v>
      </c>
      <c r="F14" s="767"/>
      <c r="G14" s="767"/>
    </row>
    <row r="15" spans="1:10">
      <c r="D15" s="767" t="s">
        <v>717</v>
      </c>
      <c r="E15" s="767" t="s">
        <v>718</v>
      </c>
      <c r="F15" s="767"/>
      <c r="G15" s="767"/>
    </row>
    <row r="16" spans="1:10">
      <c r="F16" s="463"/>
      <c r="G16" s="463"/>
    </row>
    <row r="17" spans="1:5">
      <c r="B17" s="464"/>
    </row>
    <row r="19" spans="1:5">
      <c r="A19" s="465" t="s">
        <v>592</v>
      </c>
      <c r="D19" s="768">
        <v>59693374</v>
      </c>
      <c r="E19" s="768">
        <v>22190541</v>
      </c>
    </row>
    <row r="21" spans="1:5">
      <c r="D21" s="463"/>
    </row>
    <row r="24" spans="1:5">
      <c r="A24" s="465" t="s">
        <v>719</v>
      </c>
    </row>
    <row r="25" spans="1:5" s="463" customFormat="1">
      <c r="A25" s="463" t="s">
        <v>852</v>
      </c>
    </row>
    <row r="26" spans="1:5" s="463" customFormat="1">
      <c r="A26" s="463" t="s">
        <v>769</v>
      </c>
    </row>
    <row r="27" spans="1:5" s="463" customFormat="1">
      <c r="A27" s="463" t="s">
        <v>770</v>
      </c>
    </row>
    <row r="28" spans="1:5" s="463" customFormat="1">
      <c r="A28" s="463" t="s">
        <v>776</v>
      </c>
    </row>
    <row r="29" spans="1:5" s="463" customFormat="1"/>
    <row r="30" spans="1:5" s="463" customFormat="1">
      <c r="A30" s="463" t="s">
        <v>758</v>
      </c>
    </row>
    <row r="31" spans="1:5" s="463" customFormat="1">
      <c r="A31" s="463" t="s">
        <v>759</v>
      </c>
    </row>
    <row r="32" spans="1:5" s="463" customFormat="1">
      <c r="A32" s="463" t="s">
        <v>771</v>
      </c>
    </row>
    <row r="33" spans="1:1" s="463" customFormat="1">
      <c r="A33" s="463" t="s">
        <v>720</v>
      </c>
    </row>
    <row r="34" spans="1:1" s="463" customFormat="1">
      <c r="A34" s="463" t="s">
        <v>721</v>
      </c>
    </row>
    <row r="35" spans="1:1" s="463" customFormat="1">
      <c r="A35" s="463" t="s">
        <v>722</v>
      </c>
    </row>
    <row r="36" spans="1:1" s="463" customFormat="1">
      <c r="A36" s="463" t="s">
        <v>723</v>
      </c>
    </row>
    <row r="37" spans="1:1" s="463" customFormat="1">
      <c r="A37" s="463" t="s">
        <v>724</v>
      </c>
    </row>
    <row r="38" spans="1:1" s="463" customFormat="1">
      <c r="A38" s="463" t="s">
        <v>725</v>
      </c>
    </row>
    <row r="39" spans="1:1" s="463" customFormat="1"/>
    <row r="40" spans="1:1" s="463" customFormat="1">
      <c r="A40" s="463" t="s">
        <v>847</v>
      </c>
    </row>
    <row r="41" spans="1:1" s="463" customFormat="1">
      <c r="A41" s="463" t="s">
        <v>848</v>
      </c>
    </row>
    <row r="42" spans="1:1" s="463" customFormat="1">
      <c r="A42" s="463" t="s">
        <v>849</v>
      </c>
    </row>
    <row r="43" spans="1:1" s="463" customFormat="1"/>
    <row r="44" spans="1:1" s="463" customFormat="1"/>
    <row r="45" spans="1:1" s="463" customFormat="1"/>
    <row r="46" spans="1:1" s="463" customFormat="1"/>
    <row r="47" spans="1:1" s="463" customFormat="1"/>
    <row r="48" spans="1:1" s="463" customFormat="1"/>
    <row r="49" s="463" customFormat="1"/>
    <row r="50" s="463" customFormat="1"/>
    <row r="51" s="463" customFormat="1"/>
    <row r="52" s="463" customFormat="1"/>
  </sheetData>
  <mergeCells count="2">
    <mergeCell ref="A1:J1"/>
    <mergeCell ref="A3:J3"/>
  </mergeCells>
  <phoneticPr fontId="0" type="noConversion"/>
  <pageMargins left="0.75" right="0.75" top="1" bottom="1" header="0.5" footer="0.5"/>
  <pageSetup scale="77" orientation="portrait" r:id="rId1"/>
  <headerFooter alignWithMargins="0">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ATT H-2A</vt:lpstr>
      <vt:lpstr>1 - ADIT</vt:lpstr>
      <vt:lpstr>2 - Other Tax</vt:lpstr>
      <vt:lpstr>3 - Revenue Credits</vt:lpstr>
      <vt:lpstr>4 - 100 Basis Pt ROE</vt:lpstr>
      <vt:lpstr>Exh E - Cap Add Worksheet</vt:lpstr>
      <vt:lpstr>Exh F - AA-BL Items</vt:lpstr>
      <vt:lpstr>5 - Cost Support</vt:lpstr>
      <vt:lpstr>5a - Affiliate Allocations</vt:lpstr>
      <vt:lpstr>6- Est &amp; True-up WS</vt:lpstr>
      <vt:lpstr>7 - Cap Add WS</vt:lpstr>
      <vt:lpstr>8 - Securitization</vt:lpstr>
      <vt:lpstr>Sheet1</vt:lpstr>
      <vt:lpstr>'2 - Other Tax'!Print_Area</vt:lpstr>
      <vt:lpstr>'5 - Cost Support'!Print_Area</vt:lpstr>
      <vt:lpstr>'7 - Cap Add WS'!Print_Area</vt:lpstr>
      <vt:lpstr>'ATT H-2A'!Print_Area</vt:lpstr>
      <vt:lpstr>'Exh F - AA-BL Items'!Print_Area</vt:lpstr>
      <vt:lpstr>'5 - Cost Support'!Print_Titles</vt:lpstr>
      <vt:lpstr>'7 - Cap Add WS'!Print_Titles</vt:lpstr>
      <vt:lpstr>'ATT H-2A'!Print_Titles</vt:lpstr>
      <vt:lpstr>'Exh E - Cap Add Worksheet'!Print_Titles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Fridley, Michele M:(BGE)</dc:creator>
  <cp:lastModifiedBy>Alvarez, Marianne M:(BSC)</cp:lastModifiedBy>
  <cp:lastPrinted>2014-04-28T15:33:55Z</cp:lastPrinted>
  <dcterms:created xsi:type="dcterms:W3CDTF">2004-01-21T20:42:01Z</dcterms:created>
  <dcterms:modified xsi:type="dcterms:W3CDTF">2014-04-28T15:49:17Z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osition">
    <vt:bool>true</vt:bool>
  </property>
</Properties>
</file>