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2282" yWindow="-231" windowWidth="16560" windowHeight="12158" tabRatio="882"/>
  </bookViews>
  <sheets>
    <sheet name="Appendix A" sheetId="1" r:id="rId1"/>
    <sheet name="ATT1 - ADIT" sheetId="2" r:id="rId2"/>
    <sheet name="ATT1A-ADIT" sheetId="21" r:id="rId3"/>
    <sheet name="ATT1B-ADIT" sheetId="28" r:id="rId4"/>
    <sheet name="ATT1B-2014" sheetId="29" r:id="rId5"/>
    <sheet name="ATT2 - Other Tax" sheetId="4" r:id="rId6"/>
    <sheet name="ATT2A Prop Taxes per Function" sheetId="5" r:id="rId7"/>
    <sheet name="ATT3 - Revenue Credits" sheetId="6" r:id="rId8"/>
    <sheet name="ATT4 - Basis Pt ROE" sheetId="15" r:id="rId9"/>
    <sheet name="ATT5 - Cost Support 1" sheetId="7" r:id="rId10"/>
    <sheet name="ATT6- True-Up Adjustment NITS " sheetId="17" r:id="rId11"/>
    <sheet name="ATT6A True-Up Adjustment Sch12" sheetId="18" r:id="rId12"/>
    <sheet name="ATT7 - Cap Add WS" sheetId="27" r:id="rId13"/>
    <sheet name="ATT8 - Securitization" sheetId="9" r:id="rId14"/>
    <sheet name="ATT9 - Depreciation Rates" sheetId="16" r:id="rId15"/>
  </sheets>
  <definedNames>
    <definedName name="_ftn1" localSheetId="10">'ATT6- True-Up Adjustment NITS '!#REF!</definedName>
    <definedName name="_ftn1" localSheetId="11">'ATT6A True-Up Adjustment Sch12'!#REF!</definedName>
    <definedName name="_ftnref1" localSheetId="10">'ATT6- True-Up Adjustment NITS '!#REF!</definedName>
    <definedName name="_ftnref1" localSheetId="11">'ATT6A True-Up Adjustment Sch12'!#REF!</definedName>
    <definedName name="_xlnm.Print_Area" localSheetId="0">'Appendix A'!$A$4:$H$310</definedName>
    <definedName name="_xlnm.Print_Area" localSheetId="1">'ATT1 - ADIT'!$A$1:$I$840</definedName>
    <definedName name="_xlnm.Print_Area" localSheetId="4">'ATT1B-2014'!$A$1:$J$198</definedName>
    <definedName name="_xlnm.Print_Area" localSheetId="3">'ATT1B-ADIT'!$A$1:$J$159</definedName>
    <definedName name="_xlnm.Print_Area" localSheetId="6">'ATT2A Prop Taxes per Function'!$A$1:$C$28</definedName>
    <definedName name="_xlnm.Print_Area" localSheetId="7">'ATT3 - Revenue Credits'!$A$1:$F$50</definedName>
    <definedName name="_xlnm.Print_Area" localSheetId="9">'ATT5 - Cost Support 1'!$A$1:$AC$189</definedName>
    <definedName name="_xlnm.Print_Area" localSheetId="10">'ATT6- True-Up Adjustment NITS '!$A$1:$I$67</definedName>
    <definedName name="_xlnm.Print_Area" localSheetId="11">'ATT6A True-Up Adjustment Sch12'!$A$1:$M$54</definedName>
    <definedName name="_xlnm.Print_Area" localSheetId="12">'ATT7 - Cap Add WS'!$A$1:$NL$102</definedName>
    <definedName name="_xlnm.Print_Area" localSheetId="13">'ATT8 - Securitization'!$A$1:$F$18</definedName>
    <definedName name="_xlnm.Print_Area" localSheetId="14">'ATT9 - Depreciation Rates'!$A$1:$C$89</definedName>
    <definedName name="_xlnm.Print_Titles" localSheetId="0">'Appendix A'!$4:$6</definedName>
    <definedName name="_xlnm.Print_Titles" localSheetId="1">'ATT1 - ADIT'!$2:$3</definedName>
    <definedName name="_xlnm.Print_Titles" localSheetId="5">'ATT2 - Other Tax'!$2:$4</definedName>
    <definedName name="_xlnm.Print_Titles" localSheetId="8">'ATT4 - Basis Pt ROE'!$2:$4</definedName>
    <definedName name="_xlnm.Print_Titles" localSheetId="9">'ATT5 - Cost Support 1'!$1:$4</definedName>
    <definedName name="_xlnm.Print_Titles" localSheetId="10">'ATT6- True-Up Adjustment NITS '!$2:$3</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28948E05_8F34_4F1E_96FB_A80A6A844600_.wvu.Cols" localSheetId="12" hidden="1">'ATT7 - Cap Add WS'!$P$1:$S$65427</definedName>
    <definedName name="Z_28948E05_8F34_4F1E_96FB_A80A6A844600_.wvu.PrintTitles" localSheetId="12" hidden="1">'ATT7 - Cap Add WS'!$B$1:$C$65427</definedName>
    <definedName name="Z_36A68527_5CA2_49FC_86AD_472A22CD1F04_.wvu.Cols" localSheetId="12" hidden="1">'ATT7 - Cap Add WS'!$P$1:$S$65427</definedName>
    <definedName name="Z_36A68527_5CA2_49FC_86AD_472A22CD1F04_.wvu.PrintTitles" localSheetId="12" hidden="1">'ATT7 - Cap Add WS'!$B$1:$C$65427</definedName>
    <definedName name="Z_63011E91_4609_4523_98FE_FD252E915668_.wvu.Cols" localSheetId="12" hidden="1">'ATT7 - Cap Add WS'!$P$1:$S$65427</definedName>
    <definedName name="Z_63011E91_4609_4523_98FE_FD252E915668_.wvu.PrintArea" localSheetId="12" hidden="1">'ATT7 - Cap Add WS'!$B$1:$FO$48</definedName>
    <definedName name="Z_63011E91_4609_4523_98FE_FD252E915668_.wvu.PrintTitles" localSheetId="12" hidden="1">'ATT7 - Cap Add WS'!$B$1:$C$65427</definedName>
    <definedName name="Z_71B42B22_A376_44B5_B0C1_23FC1AA3DBA2_.wvu.Cols" localSheetId="12" hidden="1">'ATT7 - Cap Add WS'!$P$1:$S$65427</definedName>
    <definedName name="Z_71B42B22_A376_44B5_B0C1_23FC1AA3DBA2_.wvu.PrintTitles" localSheetId="12" hidden="1">'ATT7 - Cap Add WS'!$B$1:$C$65427</definedName>
    <definedName name="Z_71B42B22_A376_44B5_B0C1_23FC1AA3DBA2_.wvu.Rows" localSheetId="8" hidden="1">'ATT4 - Basis Pt ROE'!$22:$22,'ATT4 - Basis Pt ROE'!#REF!</definedName>
    <definedName name="Z_B647CB7F_C846_4278_B6B1_1EF7F3C004F5_.wvu.Cols" localSheetId="12" hidden="1">'ATT7 - Cap Add WS'!$P$1:$S$65427</definedName>
    <definedName name="Z_B647CB7F_C846_4278_B6B1_1EF7F3C004F5_.wvu.PrintTitles" localSheetId="12" hidden="1">'ATT7 - Cap Add WS'!$B$1:$C$65427</definedName>
    <definedName name="Z_DC91DEF3_837B_4BB9_A81E_3B78C5914E6C_.wvu.Cols" localSheetId="12" hidden="1">'ATT7 - Cap Add WS'!$P$1:$S$65427</definedName>
    <definedName name="Z_DC91DEF3_837B_4BB9_A81E_3B78C5914E6C_.wvu.PrintTitles" localSheetId="12" hidden="1">'ATT7 - Cap Add WS'!$B$1:$C$65427</definedName>
    <definedName name="Z_DC91DEF3_837B_4BB9_A81E_3B78C5914E6C_.wvu.Rows" localSheetId="8" hidden="1">'ATT4 - Basis Pt ROE'!$22:$22</definedName>
    <definedName name="Z_FAAD9AAC_1337_43AB_BF1F_CCF9DFCF5B78_.wvu.Cols" localSheetId="12" hidden="1">'ATT7 - Cap Add WS'!$P$1:$S$65427</definedName>
    <definedName name="Z_FAAD9AAC_1337_43AB_BF1F_CCF9DFCF5B78_.wvu.PrintTitles" localSheetId="12" hidden="1">'ATT7 - Cap Add WS'!$B$1:$C$65427</definedName>
    <definedName name="Z_FD797955_FEE9_45E5_9A34_367433B6734C_.wvu.Cols" localSheetId="12" hidden="1">'ATT7 - Cap Add WS'!$P$1:$S$65427</definedName>
    <definedName name="Z_FD797955_FEE9_45E5_9A34_367433B6734C_.wvu.PrintTitles" localSheetId="12" hidden="1">'ATT7 - Cap Add WS'!$B$1:$C$65427</definedName>
  </definedNames>
  <calcPr calcId="125725"/>
</workbook>
</file>

<file path=xl/calcChain.xml><?xml version="1.0" encoding="utf-8"?>
<calcChain xmlns="http://schemas.openxmlformats.org/spreadsheetml/2006/main">
  <c r="H191" i="1"/>
  <c r="G92" i="27"/>
  <c r="H341" i="2"/>
  <c r="H343"/>
  <c r="H340" i="21" l="1"/>
  <c r="H338"/>
  <c r="H461"/>
  <c r="A1" i="17" l="1"/>
  <c r="B36"/>
  <c r="A39"/>
  <c r="B39"/>
  <c r="A42"/>
  <c r="I60"/>
  <c r="I62" s="1"/>
  <c r="I61"/>
  <c r="NL109" i="27"/>
  <c r="NL111" s="1"/>
  <c r="K92"/>
  <c r="O92" s="1"/>
  <c r="S92" s="1"/>
  <c r="W92" s="1"/>
  <c r="AA92" s="1"/>
  <c r="AE92" s="1"/>
  <c r="AI92" s="1"/>
  <c r="AM92" s="1"/>
  <c r="AQ92" s="1"/>
  <c r="AU92" s="1"/>
  <c r="AY92" s="1"/>
  <c r="BC92" s="1"/>
  <c r="BG92" s="1"/>
  <c r="BK92" s="1"/>
  <c r="BO92" s="1"/>
  <c r="BS92" s="1"/>
  <c r="BW92" s="1"/>
  <c r="CA92" s="1"/>
  <c r="CE92" s="1"/>
  <c r="CI92" s="1"/>
  <c r="CM92" s="1"/>
  <c r="CQ92" s="1"/>
  <c r="CU92" s="1"/>
  <c r="CY92" s="1"/>
  <c r="DC92" s="1"/>
  <c r="DG92" s="1"/>
  <c r="DK92" s="1"/>
  <c r="DO92" s="1"/>
  <c r="DS92" s="1"/>
  <c r="DW92" s="1"/>
  <c r="EA92" s="1"/>
  <c r="EE92" s="1"/>
  <c r="EI92" s="1"/>
  <c r="EM92" s="1"/>
  <c r="EQ92" s="1"/>
  <c r="EU92" s="1"/>
  <c r="EY92" s="1"/>
  <c r="FC92" s="1"/>
  <c r="FG92" s="1"/>
  <c r="FK92" s="1"/>
  <c r="FO92" s="1"/>
  <c r="FS92" s="1"/>
  <c r="FW92" s="1"/>
  <c r="GA92" s="1"/>
  <c r="GE92" s="1"/>
  <c r="GI92" s="1"/>
  <c r="GM92" s="1"/>
  <c r="GQ92" s="1"/>
  <c r="GU92" s="1"/>
  <c r="GY92" s="1"/>
  <c r="HC92" s="1"/>
  <c r="HG92" s="1"/>
  <c r="HK92" s="1"/>
  <c r="HO92" s="1"/>
  <c r="HS92" s="1"/>
  <c r="HW92" s="1"/>
  <c r="IA92" s="1"/>
  <c r="IE92" s="1"/>
  <c r="II92" s="1"/>
  <c r="IM92" s="1"/>
  <c r="IQ92" s="1"/>
  <c r="IU92" s="1"/>
  <c r="IY92" s="1"/>
  <c r="JC92" s="1"/>
  <c r="JG92" s="1"/>
  <c r="JK92" s="1"/>
  <c r="JO92" s="1"/>
  <c r="JS92" s="1"/>
  <c r="JW92" s="1"/>
  <c r="KA92" s="1"/>
  <c r="KE92" s="1"/>
  <c r="KI92" s="1"/>
  <c r="KM92" s="1"/>
  <c r="KQ92" s="1"/>
  <c r="KU92" s="1"/>
  <c r="KY92" s="1"/>
  <c r="LC92" s="1"/>
  <c r="LG92" s="1"/>
  <c r="NG91"/>
  <c r="NC91"/>
  <c r="MU91"/>
  <c r="MQ91"/>
  <c r="MM91"/>
  <c r="MI91"/>
  <c r="MA91"/>
  <c r="LW91"/>
  <c r="LS91"/>
  <c r="LO91"/>
  <c r="LK91"/>
  <c r="LG91"/>
  <c r="LG94" s="1"/>
  <c r="LC91"/>
  <c r="KY91"/>
  <c r="KU91"/>
  <c r="KQ91"/>
  <c r="KQ94" s="1"/>
  <c r="KM91"/>
  <c r="KI91"/>
  <c r="KE91"/>
  <c r="KA91"/>
  <c r="JW91"/>
  <c r="JS91"/>
  <c r="JO91"/>
  <c r="JK91"/>
  <c r="JK94" s="1"/>
  <c r="JG91"/>
  <c r="JC91"/>
  <c r="IY91"/>
  <c r="IU91"/>
  <c r="IU94" s="1"/>
  <c r="IQ91"/>
  <c r="IM91"/>
  <c r="II91"/>
  <c r="IE91"/>
  <c r="IE94" s="1"/>
  <c r="IA91"/>
  <c r="HW91"/>
  <c r="HS91"/>
  <c r="HO91"/>
  <c r="HO94" s="1"/>
  <c r="HK91"/>
  <c r="HG91"/>
  <c r="HC91"/>
  <c r="GY91"/>
  <c r="GY94" s="1"/>
  <c r="GU91"/>
  <c r="GQ91"/>
  <c r="GM91"/>
  <c r="GI91"/>
  <c r="GI94" s="1"/>
  <c r="GE91"/>
  <c r="GA91"/>
  <c r="FW91"/>
  <c r="FS91"/>
  <c r="FS94" s="1"/>
  <c r="FO91"/>
  <c r="FK91"/>
  <c r="FG91"/>
  <c r="FC91"/>
  <c r="FC94" s="1"/>
  <c r="EY91"/>
  <c r="EU91"/>
  <c r="EQ91"/>
  <c r="EM91"/>
  <c r="EM94" s="1"/>
  <c r="EI91"/>
  <c r="EE91"/>
  <c r="EA91"/>
  <c r="DW91"/>
  <c r="DW94" s="1"/>
  <c r="DS91"/>
  <c r="DO91"/>
  <c r="DK91"/>
  <c r="DG91"/>
  <c r="DG94" s="1"/>
  <c r="DC91"/>
  <c r="CY91"/>
  <c r="CU91"/>
  <c r="CQ91"/>
  <c r="CQ94" s="1"/>
  <c r="CM91"/>
  <c r="CI91"/>
  <c r="CE91"/>
  <c r="CA91"/>
  <c r="CA94" s="1"/>
  <c r="BW91"/>
  <c r="BS91"/>
  <c r="BO91"/>
  <c r="BK91"/>
  <c r="BK94" s="1"/>
  <c r="BG91"/>
  <c r="BC91"/>
  <c r="AY91"/>
  <c r="AU91"/>
  <c r="AU94" s="1"/>
  <c r="AQ91"/>
  <c r="AM91"/>
  <c r="AI91"/>
  <c r="AE91"/>
  <c r="AA91"/>
  <c r="W91"/>
  <c r="S91"/>
  <c r="O91"/>
  <c r="O94" s="1"/>
  <c r="K91"/>
  <c r="G91"/>
  <c r="NG90"/>
  <c r="NC90"/>
  <c r="NC93" s="1"/>
  <c r="MU90"/>
  <c r="MQ90"/>
  <c r="MM90"/>
  <c r="MI90"/>
  <c r="MI93" s="1"/>
  <c r="MA90"/>
  <c r="LS90"/>
  <c r="LO90"/>
  <c r="LK90"/>
  <c r="LK93" s="1"/>
  <c r="LG90"/>
  <c r="LC90"/>
  <c r="KY90"/>
  <c r="KU90"/>
  <c r="KU93" s="1"/>
  <c r="KQ90"/>
  <c r="KM90"/>
  <c r="KI90"/>
  <c r="KE90"/>
  <c r="KE93" s="1"/>
  <c r="KA90"/>
  <c r="JW90"/>
  <c r="JS90"/>
  <c r="JO90"/>
  <c r="JO93" s="1"/>
  <c r="JK90"/>
  <c r="JG90"/>
  <c r="JC90"/>
  <c r="IY90"/>
  <c r="IY93" s="1"/>
  <c r="IU90"/>
  <c r="IQ90"/>
  <c r="IM90"/>
  <c r="II90"/>
  <c r="II93" s="1"/>
  <c r="IE90"/>
  <c r="IA90"/>
  <c r="HW90"/>
  <c r="HS90"/>
  <c r="HS93" s="1"/>
  <c r="HO90"/>
  <c r="HK90"/>
  <c r="HG90"/>
  <c r="HC90"/>
  <c r="GY90"/>
  <c r="GU90"/>
  <c r="GQ90"/>
  <c r="GM90"/>
  <c r="GM93" s="1"/>
  <c r="GI90"/>
  <c r="GE90"/>
  <c r="GA90"/>
  <c r="FW90"/>
  <c r="FW93" s="1"/>
  <c r="FS90"/>
  <c r="FO90"/>
  <c r="FK90"/>
  <c r="FG90"/>
  <c r="FG93" s="1"/>
  <c r="FC90"/>
  <c r="EY90"/>
  <c r="EU90"/>
  <c r="EQ90"/>
  <c r="EQ93" s="1"/>
  <c r="EM90"/>
  <c r="EI90"/>
  <c r="EE90"/>
  <c r="EA90"/>
  <c r="EA93" s="1"/>
  <c r="DW90"/>
  <c r="DS90"/>
  <c r="DO90"/>
  <c r="DK90"/>
  <c r="DK93" s="1"/>
  <c r="DG90"/>
  <c r="DC90"/>
  <c r="CY90"/>
  <c r="CU90"/>
  <c r="CU93" s="1"/>
  <c r="CQ90"/>
  <c r="CM90"/>
  <c r="CI90"/>
  <c r="CE90"/>
  <c r="CE93" s="1"/>
  <c r="CA90"/>
  <c r="BW90"/>
  <c r="BS90"/>
  <c r="BO90"/>
  <c r="BO93" s="1"/>
  <c r="BK90"/>
  <c r="BG90"/>
  <c r="BC90"/>
  <c r="AY90"/>
  <c r="AY93" s="1"/>
  <c r="AU90"/>
  <c r="AQ90"/>
  <c r="AM90"/>
  <c r="AI90"/>
  <c r="AI93" s="1"/>
  <c r="AE90"/>
  <c r="AA90"/>
  <c r="W90"/>
  <c r="S90"/>
  <c r="S93" s="1"/>
  <c r="O90"/>
  <c r="K90"/>
  <c r="G90"/>
  <c r="MY89"/>
  <c r="MY91" s="1"/>
  <c r="MY94" s="1"/>
  <c r="ME89"/>
  <c r="ME91" s="1"/>
  <c r="LW89"/>
  <c r="MY88"/>
  <c r="MY90" s="1"/>
  <c r="ME88"/>
  <c r="ME90" s="1"/>
  <c r="ME93" s="1"/>
  <c r="LW88"/>
  <c r="LW90" s="1"/>
  <c r="CC62"/>
  <c r="ND61"/>
  <c r="ND62" s="1"/>
  <c r="MV61"/>
  <c r="MV62" s="1"/>
  <c r="MR61"/>
  <c r="MR62" s="1"/>
  <c r="MN61"/>
  <c r="MN62" s="1"/>
  <c r="MJ61"/>
  <c r="MJ62" s="1"/>
  <c r="MF61"/>
  <c r="MF62" s="1"/>
  <c r="MC61"/>
  <c r="MC62" s="1"/>
  <c r="MB61"/>
  <c r="MB62" s="1"/>
  <c r="LX61"/>
  <c r="LX62" s="1"/>
  <c r="KB61"/>
  <c r="KB62" s="1"/>
  <c r="JX61"/>
  <c r="JX62" s="1"/>
  <c r="HP61"/>
  <c r="HP62" s="1"/>
  <c r="HL61"/>
  <c r="HL62" s="1"/>
  <c r="KN60"/>
  <c r="JP60"/>
  <c r="MZ59"/>
  <c r="MZ60" s="1"/>
  <c r="LT59"/>
  <c r="LT60" s="1"/>
  <c r="LL59"/>
  <c r="LH59"/>
  <c r="LD59"/>
  <c r="LD60" s="1"/>
  <c r="KZ59"/>
  <c r="KZ60" s="1"/>
  <c r="KV59"/>
  <c r="KN59"/>
  <c r="JT59"/>
  <c r="JT60" s="1"/>
  <c r="JP59"/>
  <c r="HH59"/>
  <c r="HH60" s="1"/>
  <c r="HD59"/>
  <c r="CC59"/>
  <c r="CC60" s="1"/>
  <c r="KR58"/>
  <c r="IR58"/>
  <c r="IB58"/>
  <c r="L58"/>
  <c r="LP57"/>
  <c r="LP58" s="1"/>
  <c r="KR57"/>
  <c r="KJ57"/>
  <c r="KJ58" s="1"/>
  <c r="KF57"/>
  <c r="JL57"/>
  <c r="JL58" s="1"/>
  <c r="JH57"/>
  <c r="JH58" s="1"/>
  <c r="IZ57"/>
  <c r="IV57"/>
  <c r="IV58" s="1"/>
  <c r="IR57"/>
  <c r="IN57"/>
  <c r="IN58" s="1"/>
  <c r="IB57"/>
  <c r="GZ57"/>
  <c r="GZ58" s="1"/>
  <c r="L57"/>
  <c r="IK56"/>
  <c r="GC56"/>
  <c r="EW56"/>
  <c r="EK56"/>
  <c r="DQ56"/>
  <c r="CB56"/>
  <c r="BE56"/>
  <c r="Y56"/>
  <c r="JE55"/>
  <c r="JE56" s="1"/>
  <c r="JF56" s="1"/>
  <c r="JD57" s="1"/>
  <c r="JD58" s="1"/>
  <c r="JD55"/>
  <c r="JD56" s="1"/>
  <c r="IK55"/>
  <c r="IJ55"/>
  <c r="IG55"/>
  <c r="IG56" s="1"/>
  <c r="IF55"/>
  <c r="HY55"/>
  <c r="HY56" s="1"/>
  <c r="HU55"/>
  <c r="HU56" s="1"/>
  <c r="GW55"/>
  <c r="GW56" s="1"/>
  <c r="GV55"/>
  <c r="GS55"/>
  <c r="GS56" s="1"/>
  <c r="GO55"/>
  <c r="GO56" s="1"/>
  <c r="GK55"/>
  <c r="GK56" s="1"/>
  <c r="GG55"/>
  <c r="GG56" s="1"/>
  <c r="GC55"/>
  <c r="FY55"/>
  <c r="FY56" s="1"/>
  <c r="FU55"/>
  <c r="FU56" s="1"/>
  <c r="FQ55"/>
  <c r="FQ56" s="1"/>
  <c r="FM55"/>
  <c r="FM56" s="1"/>
  <c r="FI55"/>
  <c r="FI56" s="1"/>
  <c r="FE55"/>
  <c r="FE56" s="1"/>
  <c r="FA55"/>
  <c r="FA56" s="1"/>
  <c r="EZ55"/>
  <c r="EW55"/>
  <c r="ES55"/>
  <c r="ES56" s="1"/>
  <c r="EO55"/>
  <c r="EO56" s="1"/>
  <c r="EK55"/>
  <c r="EG55"/>
  <c r="EG56" s="1"/>
  <c r="ED55"/>
  <c r="EC55"/>
  <c r="EC56" s="1"/>
  <c r="EB55"/>
  <c r="EB56" s="1"/>
  <c r="DY55"/>
  <c r="DY56" s="1"/>
  <c r="DU55"/>
  <c r="DU56" s="1"/>
  <c r="DQ55"/>
  <c r="DM55"/>
  <c r="DM56" s="1"/>
  <c r="DI55"/>
  <c r="DI56" s="1"/>
  <c r="DE55"/>
  <c r="DE56" s="1"/>
  <c r="DA55"/>
  <c r="DA56" s="1"/>
  <c r="CW55"/>
  <c r="CW56" s="1"/>
  <c r="CS55"/>
  <c r="CS56" s="1"/>
  <c r="CO55"/>
  <c r="CO56" s="1"/>
  <c r="CK55"/>
  <c r="CK56" s="1"/>
  <c r="CG55"/>
  <c r="CG56" s="1"/>
  <c r="CC55"/>
  <c r="CC56" s="1"/>
  <c r="BY55"/>
  <c r="BY56" s="1"/>
  <c r="BU55"/>
  <c r="BU56" s="1"/>
  <c r="BQ55"/>
  <c r="BQ56" s="1"/>
  <c r="BM55"/>
  <c r="BM56" s="1"/>
  <c r="BI55"/>
  <c r="BI56" s="1"/>
  <c r="BE55"/>
  <c r="BA55"/>
  <c r="BA56" s="1"/>
  <c r="AW55"/>
  <c r="AW56" s="1"/>
  <c r="AS55"/>
  <c r="AS56" s="1"/>
  <c r="AO55"/>
  <c r="AO56" s="1"/>
  <c r="AK55"/>
  <c r="AK56" s="1"/>
  <c r="AG55"/>
  <c r="AG56" s="1"/>
  <c r="AC55"/>
  <c r="AC56" s="1"/>
  <c r="Y55"/>
  <c r="U55"/>
  <c r="U56" s="1"/>
  <c r="Q55"/>
  <c r="Q56" s="1"/>
  <c r="I55"/>
  <c r="I56" s="1"/>
  <c r="E55"/>
  <c r="E56" s="1"/>
  <c r="GS54"/>
  <c r="GO54"/>
  <c r="FM54"/>
  <c r="EO54"/>
  <c r="DI54"/>
  <c r="DE54"/>
  <c r="BY54"/>
  <c r="BE54"/>
  <c r="BD54"/>
  <c r="AC54"/>
  <c r="Y54"/>
  <c r="HZ53"/>
  <c r="HY53"/>
  <c r="HY54" s="1"/>
  <c r="HX53"/>
  <c r="HX54" s="1"/>
  <c r="HZ54" s="1"/>
  <c r="HX55" s="1"/>
  <c r="HU53"/>
  <c r="HU54" s="1"/>
  <c r="HT53"/>
  <c r="GS53"/>
  <c r="GR53"/>
  <c r="GO53"/>
  <c r="GK53"/>
  <c r="GK54" s="1"/>
  <c r="GG53"/>
  <c r="GG54" s="1"/>
  <c r="GC53"/>
  <c r="GC54" s="1"/>
  <c r="FY53"/>
  <c r="FY54" s="1"/>
  <c r="FU53"/>
  <c r="FU54" s="1"/>
  <c r="FQ53"/>
  <c r="FQ54" s="1"/>
  <c r="FM53"/>
  <c r="FI53"/>
  <c r="FI54" s="1"/>
  <c r="FH53"/>
  <c r="FJ53" s="1"/>
  <c r="FE53"/>
  <c r="FE54" s="1"/>
  <c r="EW53"/>
  <c r="EW54" s="1"/>
  <c r="ES53"/>
  <c r="ES54" s="1"/>
  <c r="ER53"/>
  <c r="EO53"/>
  <c r="EK53"/>
  <c r="EK54" s="1"/>
  <c r="EJ53"/>
  <c r="EL53" s="1"/>
  <c r="EG53"/>
  <c r="EG54" s="1"/>
  <c r="DY53"/>
  <c r="DY54" s="1"/>
  <c r="DX53"/>
  <c r="DU53"/>
  <c r="DU54" s="1"/>
  <c r="DQ53"/>
  <c r="DQ54" s="1"/>
  <c r="DM53"/>
  <c r="DM54" s="1"/>
  <c r="DL53"/>
  <c r="DI53"/>
  <c r="DH53"/>
  <c r="DE53"/>
  <c r="DA53"/>
  <c r="DA54" s="1"/>
  <c r="CW53"/>
  <c r="CW54" s="1"/>
  <c r="CS53"/>
  <c r="CS54" s="1"/>
  <c r="CO53"/>
  <c r="CO54" s="1"/>
  <c r="CK53"/>
  <c r="CK54" s="1"/>
  <c r="CG53"/>
  <c r="CG54" s="1"/>
  <c r="BY53"/>
  <c r="BX53"/>
  <c r="BV53"/>
  <c r="BU53"/>
  <c r="BU54" s="1"/>
  <c r="BT53"/>
  <c r="BT54" s="1"/>
  <c r="BQ53"/>
  <c r="BQ54" s="1"/>
  <c r="BM53"/>
  <c r="BM54" s="1"/>
  <c r="BL53"/>
  <c r="BI53"/>
  <c r="BI54" s="1"/>
  <c r="BH53"/>
  <c r="BF53"/>
  <c r="BE53"/>
  <c r="BD53"/>
  <c r="BA53"/>
  <c r="BA54" s="1"/>
  <c r="AW53"/>
  <c r="AW54" s="1"/>
  <c r="AS53"/>
  <c r="AS54" s="1"/>
  <c r="AO53"/>
  <c r="AO54" s="1"/>
  <c r="AK53"/>
  <c r="AK54" s="1"/>
  <c r="AG53"/>
  <c r="AG54" s="1"/>
  <c r="AC53"/>
  <c r="Y53"/>
  <c r="U53"/>
  <c r="U54" s="1"/>
  <c r="Q53"/>
  <c r="Q54" s="1"/>
  <c r="I53"/>
  <c r="I54" s="1"/>
  <c r="E53"/>
  <c r="E54" s="1"/>
  <c r="GG52"/>
  <c r="AG52"/>
  <c r="GO51"/>
  <c r="GO52" s="1"/>
  <c r="GN51"/>
  <c r="GP51" s="1"/>
  <c r="GK51"/>
  <c r="GK52" s="1"/>
  <c r="GG51"/>
  <c r="GC51"/>
  <c r="GC52" s="1"/>
  <c r="FY51"/>
  <c r="FY52" s="1"/>
  <c r="FU51"/>
  <c r="FU52" s="1"/>
  <c r="FQ51"/>
  <c r="FQ52" s="1"/>
  <c r="FM51"/>
  <c r="FM52" s="1"/>
  <c r="FE51"/>
  <c r="FE52" s="1"/>
  <c r="EX51"/>
  <c r="EW51"/>
  <c r="EW52" s="1"/>
  <c r="EV51"/>
  <c r="EV52" s="1"/>
  <c r="EP51"/>
  <c r="EO51"/>
  <c r="EO52" s="1"/>
  <c r="EN51"/>
  <c r="EN52" s="1"/>
  <c r="EG51"/>
  <c r="EG52" s="1"/>
  <c r="EF51"/>
  <c r="DU51"/>
  <c r="DU52" s="1"/>
  <c r="DT51"/>
  <c r="DQ51"/>
  <c r="DQ52" s="1"/>
  <c r="DR52" s="1"/>
  <c r="DP53" s="1"/>
  <c r="DP51"/>
  <c r="DP52" s="1"/>
  <c r="DE51"/>
  <c r="DE52" s="1"/>
  <c r="DD51"/>
  <c r="DD52" s="1"/>
  <c r="DA51"/>
  <c r="DA52" s="1"/>
  <c r="CZ51"/>
  <c r="CW51"/>
  <c r="CW52" s="1"/>
  <c r="CS51"/>
  <c r="CS52" s="1"/>
  <c r="CO51"/>
  <c r="CO52" s="1"/>
  <c r="CK51"/>
  <c r="CK52" s="1"/>
  <c r="CJ51"/>
  <c r="CG51"/>
  <c r="CG52" s="1"/>
  <c r="BQ51"/>
  <c r="BQ52" s="1"/>
  <c r="BA51"/>
  <c r="BA52" s="1"/>
  <c r="AZ51"/>
  <c r="AZ52" s="1"/>
  <c r="AW51"/>
  <c r="AW52" s="1"/>
  <c r="AV51"/>
  <c r="AV52" s="1"/>
  <c r="AX52" s="1"/>
  <c r="AV53" s="1"/>
  <c r="AS51"/>
  <c r="AS52" s="1"/>
  <c r="AR51"/>
  <c r="AT51" s="1"/>
  <c r="AP51"/>
  <c r="AO51"/>
  <c r="AO52" s="1"/>
  <c r="AN51"/>
  <c r="AN52" s="1"/>
  <c r="AP52" s="1"/>
  <c r="AN53" s="1"/>
  <c r="AK51"/>
  <c r="AL51" s="1"/>
  <c r="AJ51"/>
  <c r="AJ52" s="1"/>
  <c r="AG51"/>
  <c r="AC51"/>
  <c r="AC52" s="1"/>
  <c r="Y51"/>
  <c r="Y52" s="1"/>
  <c r="U51"/>
  <c r="U52" s="1"/>
  <c r="Q51"/>
  <c r="Q52" s="1"/>
  <c r="I51"/>
  <c r="I52" s="1"/>
  <c r="E51"/>
  <c r="E52" s="1"/>
  <c r="FT50"/>
  <c r="FV50" s="1"/>
  <c r="FT51" s="1"/>
  <c r="FD50"/>
  <c r="BP50"/>
  <c r="BR50" s="1"/>
  <c r="BP51" s="1"/>
  <c r="X50"/>
  <c r="GK49"/>
  <c r="GK50" s="1"/>
  <c r="GJ49"/>
  <c r="GL49" s="1"/>
  <c r="GG49"/>
  <c r="GG50" s="1"/>
  <c r="GF49"/>
  <c r="GC49"/>
  <c r="GC50" s="1"/>
  <c r="GB49"/>
  <c r="FY49"/>
  <c r="FY50" s="1"/>
  <c r="FX49"/>
  <c r="FZ49" s="1"/>
  <c r="FV49"/>
  <c r="FU49"/>
  <c r="FU50" s="1"/>
  <c r="FT49"/>
  <c r="FQ49"/>
  <c r="FQ50" s="1"/>
  <c r="FP49"/>
  <c r="FM49"/>
  <c r="FM50" s="1"/>
  <c r="FL49"/>
  <c r="FF49"/>
  <c r="FE49"/>
  <c r="FE50" s="1"/>
  <c r="FD49"/>
  <c r="CW49"/>
  <c r="CW50" s="1"/>
  <c r="CV49"/>
  <c r="CX49" s="1"/>
  <c r="CS49"/>
  <c r="CS50" s="1"/>
  <c r="CR49"/>
  <c r="CO49"/>
  <c r="CO50" s="1"/>
  <c r="CN49"/>
  <c r="CG49"/>
  <c r="CG50" s="1"/>
  <c r="CF49"/>
  <c r="CF50" s="1"/>
  <c r="BR49"/>
  <c r="BQ49"/>
  <c r="BQ50" s="1"/>
  <c r="BP49"/>
  <c r="AG49"/>
  <c r="AG50" s="1"/>
  <c r="AF49"/>
  <c r="AC49"/>
  <c r="AC50" s="1"/>
  <c r="AB49"/>
  <c r="Z49"/>
  <c r="Y49"/>
  <c r="Y50" s="1"/>
  <c r="X49"/>
  <c r="U49"/>
  <c r="U50" s="1"/>
  <c r="Q49"/>
  <c r="Q50" s="1"/>
  <c r="I49"/>
  <c r="I50" s="1"/>
  <c r="E49"/>
  <c r="E50" s="1"/>
  <c r="E48"/>
  <c r="U47"/>
  <c r="U48" s="1"/>
  <c r="Q47"/>
  <c r="Q48" s="1"/>
  <c r="I47"/>
  <c r="I48" s="1"/>
  <c r="E47"/>
  <c r="I46"/>
  <c r="C46"/>
  <c r="C48" s="1"/>
  <c r="C50" s="1"/>
  <c r="C52" s="1"/>
  <c r="C54" s="1"/>
  <c r="C56" s="1"/>
  <c r="C58" s="1"/>
  <c r="C60" s="1"/>
  <c r="C62" s="1"/>
  <c r="B46"/>
  <c r="B48" s="1"/>
  <c r="B50" s="1"/>
  <c r="B102" s="1"/>
  <c r="V45"/>
  <c r="U45"/>
  <c r="U46" s="1"/>
  <c r="T45"/>
  <c r="T46" s="1"/>
  <c r="V46" s="1"/>
  <c r="T47" s="1"/>
  <c r="Q45"/>
  <c r="Q46" s="1"/>
  <c r="P45"/>
  <c r="I45"/>
  <c r="F45"/>
  <c r="E45"/>
  <c r="E46" s="1"/>
  <c r="D45"/>
  <c r="D46" s="1"/>
  <c r="C45"/>
  <c r="C47" s="1"/>
  <c r="C49" s="1"/>
  <c r="C51" s="1"/>
  <c r="C53" s="1"/>
  <c r="C55" s="1"/>
  <c r="C57" s="1"/>
  <c r="C59" s="1"/>
  <c r="C61" s="1"/>
  <c r="B45"/>
  <c r="B47" s="1"/>
  <c r="B49" s="1"/>
  <c r="I43"/>
  <c r="I44" s="1"/>
  <c r="H43"/>
  <c r="J43" s="1"/>
  <c r="CB39"/>
  <c r="CC57" s="1"/>
  <c r="CC58" s="1"/>
  <c r="H39"/>
  <c r="I57" s="1"/>
  <c r="I58" s="1"/>
  <c r="D39"/>
  <c r="E59" s="1"/>
  <c r="E60" s="1"/>
  <c r="E61" s="1"/>
  <c r="E62" s="1"/>
  <c r="L34"/>
  <c r="L39" s="1"/>
  <c r="H34"/>
  <c r="P34" s="1"/>
  <c r="CD56" l="1"/>
  <c r="CB57" s="1"/>
  <c r="CB58" s="1"/>
  <c r="CD58" s="1"/>
  <c r="CB59" s="1"/>
  <c r="HZ55"/>
  <c r="HX56"/>
  <c r="HZ56" s="1"/>
  <c r="HX57" s="1"/>
  <c r="P39"/>
  <c r="Q59" s="1"/>
  <c r="Q60" s="1"/>
  <c r="Q61" s="1"/>
  <c r="Q62" s="1"/>
  <c r="T34"/>
  <c r="T48"/>
  <c r="V48" s="1"/>
  <c r="T49" s="1"/>
  <c r="T50" s="1"/>
  <c r="V50" s="1"/>
  <c r="T51" s="1"/>
  <c r="T52" s="1"/>
  <c r="V52" s="1"/>
  <c r="T53" s="1"/>
  <c r="V47"/>
  <c r="FX50"/>
  <c r="GN52"/>
  <c r="CV50"/>
  <c r="CX50" s="1"/>
  <c r="CV51" s="1"/>
  <c r="H44"/>
  <c r="J44" s="1"/>
  <c r="H45" s="1"/>
  <c r="J45" s="1"/>
  <c r="CH49"/>
  <c r="BB51"/>
  <c r="DB51"/>
  <c r="DF51"/>
  <c r="EP52"/>
  <c r="EN53" s="1"/>
  <c r="B52"/>
  <c r="B54" s="1"/>
  <c r="B56" s="1"/>
  <c r="B58" s="1"/>
  <c r="B60" s="1"/>
  <c r="B62" s="1"/>
  <c r="FH54"/>
  <c r="MD61"/>
  <c r="AR52"/>
  <c r="AT52" s="1"/>
  <c r="AR53" s="1"/>
  <c r="GJ50"/>
  <c r="EJ54"/>
  <c r="EL54" s="1"/>
  <c r="EJ55" s="1"/>
  <c r="IH55"/>
  <c r="BB52"/>
  <c r="AZ53" s="1"/>
  <c r="BB53" s="1"/>
  <c r="DF52"/>
  <c r="DD53" s="1"/>
  <c r="DR51"/>
  <c r="CD55"/>
  <c r="JF55"/>
  <c r="IF56"/>
  <c r="IH56" s="1"/>
  <c r="IF57" s="1"/>
  <c r="E57"/>
  <c r="E58" s="1"/>
  <c r="LW94"/>
  <c r="MY93"/>
  <c r="G93"/>
  <c r="W93"/>
  <c r="AM93"/>
  <c r="BC93"/>
  <c r="BS93"/>
  <c r="CI93"/>
  <c r="CY93"/>
  <c r="DO93"/>
  <c r="EE93"/>
  <c r="EU93"/>
  <c r="FK93"/>
  <c r="GA93"/>
  <c r="GQ93"/>
  <c r="HG93"/>
  <c r="HW93"/>
  <c r="IM93"/>
  <c r="JC93"/>
  <c r="JS93"/>
  <c r="KI93"/>
  <c r="KY93"/>
  <c r="LO93"/>
  <c r="MM93"/>
  <c r="S94"/>
  <c r="AY94"/>
  <c r="CE94"/>
  <c r="DK94"/>
  <c r="EQ94"/>
  <c r="FW94"/>
  <c r="HC94"/>
  <c r="II94"/>
  <c r="JO94"/>
  <c r="KU94"/>
  <c r="MA94"/>
  <c r="MU94"/>
  <c r="HC93"/>
  <c r="CU94"/>
  <c r="LK94"/>
  <c r="EM93"/>
  <c r="AE94"/>
  <c r="IY94"/>
  <c r="DG93"/>
  <c r="NG93"/>
  <c r="HS94"/>
  <c r="K93"/>
  <c r="AA93"/>
  <c r="AQ93"/>
  <c r="BG93"/>
  <c r="BW93"/>
  <c r="CM93"/>
  <c r="DC93"/>
  <c r="DS93"/>
  <c r="EI93"/>
  <c r="EY93"/>
  <c r="FO93"/>
  <c r="GE93"/>
  <c r="GU93"/>
  <c r="HK93"/>
  <c r="IA93"/>
  <c r="IQ93"/>
  <c r="JG93"/>
  <c r="JW93"/>
  <c r="KM93"/>
  <c r="LC93"/>
  <c r="LS93"/>
  <c r="MQ93"/>
  <c r="G94"/>
  <c r="W94"/>
  <c r="AM94"/>
  <c r="BC94"/>
  <c r="BS94"/>
  <c r="CI94"/>
  <c r="CY94"/>
  <c r="DO94"/>
  <c r="EE94"/>
  <c r="EU94"/>
  <c r="FK94"/>
  <c r="GA94"/>
  <c r="GQ94"/>
  <c r="HG94"/>
  <c r="HW94"/>
  <c r="IM94"/>
  <c r="JC94"/>
  <c r="JS94"/>
  <c r="KI94"/>
  <c r="KY94"/>
  <c r="LO94"/>
  <c r="MI94"/>
  <c r="NC94"/>
  <c r="O93"/>
  <c r="IE93"/>
  <c r="EA94"/>
  <c r="MM94"/>
  <c r="CA93"/>
  <c r="GY93"/>
  <c r="KQ93"/>
  <c r="BO94"/>
  <c r="GM94"/>
  <c r="KE94"/>
  <c r="LW93"/>
  <c r="ME94"/>
  <c r="AE93"/>
  <c r="BK93"/>
  <c r="CQ93"/>
  <c r="DW93"/>
  <c r="FC93"/>
  <c r="GI93"/>
  <c r="HO93"/>
  <c r="IU93"/>
  <c r="KA93"/>
  <c r="LG93"/>
  <c r="MA93"/>
  <c r="MU93"/>
  <c r="K94"/>
  <c r="AA94"/>
  <c r="AQ94"/>
  <c r="BG94"/>
  <c r="BW94"/>
  <c r="CM94"/>
  <c r="DC94"/>
  <c r="DS94"/>
  <c r="EI94"/>
  <c r="EY94"/>
  <c r="FO94"/>
  <c r="GE94"/>
  <c r="GU94"/>
  <c r="HK94"/>
  <c r="IA94"/>
  <c r="IQ94"/>
  <c r="JG94"/>
  <c r="JW94"/>
  <c r="KM94"/>
  <c r="LC94"/>
  <c r="LS94"/>
  <c r="NG94"/>
  <c r="AU93"/>
  <c r="FS93"/>
  <c r="JK93"/>
  <c r="AI94"/>
  <c r="FG94"/>
  <c r="KA94"/>
  <c r="MQ94"/>
  <c r="DV51"/>
  <c r="DT52"/>
  <c r="DV52" s="1"/>
  <c r="DT53" s="1"/>
  <c r="DL54"/>
  <c r="DN54" s="1"/>
  <c r="DL55" s="1"/>
  <c r="DN53"/>
  <c r="M57"/>
  <c r="M58" s="1"/>
  <c r="N58" s="1"/>
  <c r="L59" s="1"/>
  <c r="M59"/>
  <c r="M60" s="1"/>
  <c r="M61" s="1"/>
  <c r="M62" s="1"/>
  <c r="AP53"/>
  <c r="AN54"/>
  <c r="AP54" s="1"/>
  <c r="AN55" s="1"/>
  <c r="DF53"/>
  <c r="DD54"/>
  <c r="DF54" s="1"/>
  <c r="DD55" s="1"/>
  <c r="B101"/>
  <c r="B51"/>
  <c r="B53" s="1"/>
  <c r="B55" s="1"/>
  <c r="B57" s="1"/>
  <c r="B59" s="1"/>
  <c r="B61" s="1"/>
  <c r="BP52"/>
  <c r="BR52" s="1"/>
  <c r="BP53" s="1"/>
  <c r="BR51"/>
  <c r="DP54"/>
  <c r="DR54" s="1"/>
  <c r="DP55" s="1"/>
  <c r="DR53"/>
  <c r="LO92"/>
  <c r="LS92" s="1"/>
  <c r="LW92" s="1"/>
  <c r="MA92" s="1"/>
  <c r="ME92" s="1"/>
  <c r="MI92" s="1"/>
  <c r="MM92" s="1"/>
  <c r="MQ92" s="1"/>
  <c r="MU92" s="1"/>
  <c r="MY92" s="1"/>
  <c r="NC92" s="1"/>
  <c r="NG92" s="1"/>
  <c r="LK92"/>
  <c r="CZ52"/>
  <c r="DB52" s="1"/>
  <c r="CZ53" s="1"/>
  <c r="EX52"/>
  <c r="EV53" s="1"/>
  <c r="V51"/>
  <c r="EP53"/>
  <c r="EN54"/>
  <c r="EP54" s="1"/>
  <c r="EN55" s="1"/>
  <c r="AV54"/>
  <c r="AX54" s="1"/>
  <c r="AV55" s="1"/>
  <c r="AX53"/>
  <c r="AR54"/>
  <c r="AT54" s="1"/>
  <c r="AR55" s="1"/>
  <c r="AT53"/>
  <c r="AZ54"/>
  <c r="BB54" s="1"/>
  <c r="AZ55" s="1"/>
  <c r="CL51"/>
  <c r="CJ52"/>
  <c r="CL52" s="1"/>
  <c r="CJ53" s="1"/>
  <c r="T39"/>
  <c r="X34"/>
  <c r="H46"/>
  <c r="J46" s="1"/>
  <c r="H47" s="1"/>
  <c r="AB50"/>
  <c r="AD50" s="1"/>
  <c r="AB51" s="1"/>
  <c r="AD49"/>
  <c r="CR50"/>
  <c r="CT50" s="1"/>
  <c r="CR51" s="1"/>
  <c r="CT49"/>
  <c r="FL50"/>
  <c r="FN50" s="1"/>
  <c r="FL51" s="1"/>
  <c r="FN49"/>
  <c r="GF50"/>
  <c r="GH50" s="1"/>
  <c r="GF51" s="1"/>
  <c r="GH49"/>
  <c r="FT52"/>
  <c r="FV52" s="1"/>
  <c r="FT53" s="1"/>
  <c r="FV51"/>
  <c r="GR54"/>
  <c r="GT54" s="1"/>
  <c r="GR55" s="1"/>
  <c r="GT53"/>
  <c r="IF58"/>
  <c r="AK52"/>
  <c r="AL52" s="1"/>
  <c r="AJ53" s="1"/>
  <c r="ER54"/>
  <c r="ET54" s="1"/>
  <c r="ER55" s="1"/>
  <c r="ET53"/>
  <c r="IZ58"/>
  <c r="P46"/>
  <c r="R46" s="1"/>
  <c r="P47" s="1"/>
  <c r="R45"/>
  <c r="AF50"/>
  <c r="AH50" s="1"/>
  <c r="AF51" s="1"/>
  <c r="AH49"/>
  <c r="CN50"/>
  <c r="CP50" s="1"/>
  <c r="CN51" s="1"/>
  <c r="CP49"/>
  <c r="FP50"/>
  <c r="FR50" s="1"/>
  <c r="FP51" s="1"/>
  <c r="FR49"/>
  <c r="GB50"/>
  <c r="GD50" s="1"/>
  <c r="GB51" s="1"/>
  <c r="GD49"/>
  <c r="BX54"/>
  <c r="BZ54" s="1"/>
  <c r="BX55" s="1"/>
  <c r="BZ53"/>
  <c r="DH54"/>
  <c r="DJ54" s="1"/>
  <c r="DH55" s="1"/>
  <c r="DJ53"/>
  <c r="DX54"/>
  <c r="DZ54" s="1"/>
  <c r="DX55" s="1"/>
  <c r="DZ53"/>
  <c r="HT54"/>
  <c r="HV54" s="1"/>
  <c r="HT55" s="1"/>
  <c r="HV53"/>
  <c r="KF58"/>
  <c r="HD60"/>
  <c r="BV54"/>
  <c r="BT55" s="1"/>
  <c r="Q57"/>
  <c r="Q58" s="1"/>
  <c r="GL50"/>
  <c r="GJ51" s="1"/>
  <c r="EH51"/>
  <c r="EF52"/>
  <c r="EH52" s="1"/>
  <c r="EF53" s="1"/>
  <c r="FB55"/>
  <c r="EZ56"/>
  <c r="FB56" s="1"/>
  <c r="EZ57" s="1"/>
  <c r="GX55"/>
  <c r="GV56"/>
  <c r="GX56" s="1"/>
  <c r="GV57" s="1"/>
  <c r="IL55"/>
  <c r="IJ56"/>
  <c r="IL56" s="1"/>
  <c r="IJ57" s="1"/>
  <c r="BL54"/>
  <c r="BN54" s="1"/>
  <c r="BL55" s="1"/>
  <c r="BN53"/>
  <c r="LH60"/>
  <c r="BH54"/>
  <c r="BJ54" s="1"/>
  <c r="BH55" s="1"/>
  <c r="BJ53"/>
  <c r="Z50"/>
  <c r="X51" s="1"/>
  <c r="FF50"/>
  <c r="FD51" s="1"/>
  <c r="AX51"/>
  <c r="GP52"/>
  <c r="GN53" s="1"/>
  <c r="F46"/>
  <c r="D47" s="1"/>
  <c r="CH50"/>
  <c r="CF51" s="1"/>
  <c r="FZ50"/>
  <c r="FX51" s="1"/>
  <c r="BF54"/>
  <c r="BD55" s="1"/>
  <c r="FJ54"/>
  <c r="FH55" s="1"/>
  <c r="ED56"/>
  <c r="EB57" s="1"/>
  <c r="I59"/>
  <c r="I60" s="1"/>
  <c r="I61" s="1"/>
  <c r="I62" s="1"/>
  <c r="MD62"/>
  <c r="KV60"/>
  <c r="LL60"/>
  <c r="CD57" l="1"/>
  <c r="N57"/>
  <c r="V49"/>
  <c r="AL53"/>
  <c r="AJ54"/>
  <c r="AL54" s="1"/>
  <c r="AJ55" s="1"/>
  <c r="HX58"/>
  <c r="X52"/>
  <c r="Z52" s="1"/>
  <c r="X53" s="1"/>
  <c r="Z51"/>
  <c r="GV58"/>
  <c r="X39"/>
  <c r="AB34"/>
  <c r="BB55"/>
  <c r="AZ56"/>
  <c r="BB56" s="1"/>
  <c r="AZ57" s="1"/>
  <c r="EV54"/>
  <c r="EX54" s="1"/>
  <c r="EV55" s="1"/>
  <c r="EX53"/>
  <c r="DF55"/>
  <c r="DD56"/>
  <c r="DF56" s="1"/>
  <c r="DD57" s="1"/>
  <c r="BD56"/>
  <c r="BF56" s="1"/>
  <c r="BD57" s="1"/>
  <c r="BF55"/>
  <c r="FF51"/>
  <c r="FD52"/>
  <c r="FF52" s="1"/>
  <c r="FD53" s="1"/>
  <c r="BH56"/>
  <c r="BJ56" s="1"/>
  <c r="BH57" s="1"/>
  <c r="BJ55"/>
  <c r="L60"/>
  <c r="N60" s="1"/>
  <c r="L61" s="1"/>
  <c r="N59"/>
  <c r="HT56"/>
  <c r="HV56" s="1"/>
  <c r="HT57" s="1"/>
  <c r="HV55"/>
  <c r="GD51"/>
  <c r="GB52"/>
  <c r="GD52" s="1"/>
  <c r="GB53" s="1"/>
  <c r="P48"/>
  <c r="R48" s="1"/>
  <c r="P49" s="1"/>
  <c r="R47"/>
  <c r="FN51"/>
  <c r="FL52"/>
  <c r="FN52" s="1"/>
  <c r="FL53" s="1"/>
  <c r="AR56"/>
  <c r="AT56" s="1"/>
  <c r="AR57" s="1"/>
  <c r="AT55"/>
  <c r="CZ54"/>
  <c r="DB54" s="1"/>
  <c r="CZ55" s="1"/>
  <c r="DB53"/>
  <c r="BP54"/>
  <c r="BR54" s="1"/>
  <c r="BP55" s="1"/>
  <c r="BR53"/>
  <c r="EB58"/>
  <c r="CH51"/>
  <c r="CF52"/>
  <c r="CH52" s="1"/>
  <c r="CF53" s="1"/>
  <c r="GN54"/>
  <c r="GP54" s="1"/>
  <c r="GN55" s="1"/>
  <c r="GP53"/>
  <c r="GJ52"/>
  <c r="GL52" s="1"/>
  <c r="GJ53" s="1"/>
  <c r="GL51"/>
  <c r="DX56"/>
  <c r="DZ56" s="1"/>
  <c r="DX57" s="1"/>
  <c r="DZ55"/>
  <c r="BX56"/>
  <c r="BZ56" s="1"/>
  <c r="BX57" s="1"/>
  <c r="BZ55"/>
  <c r="FP52"/>
  <c r="FR52" s="1"/>
  <c r="FP53" s="1"/>
  <c r="FR51"/>
  <c r="AH51"/>
  <c r="AF52"/>
  <c r="AH52" s="1"/>
  <c r="AF53" s="1"/>
  <c r="ET55"/>
  <c r="ER56"/>
  <c r="ET56" s="1"/>
  <c r="ER57" s="1"/>
  <c r="V53"/>
  <c r="T54"/>
  <c r="V54" s="1"/>
  <c r="T55" s="1"/>
  <c r="GT55"/>
  <c r="GR56"/>
  <c r="GT56" s="1"/>
  <c r="GR57" s="1"/>
  <c r="GF52"/>
  <c r="GH52" s="1"/>
  <c r="GF53" s="1"/>
  <c r="GH51"/>
  <c r="CR52"/>
  <c r="CT52" s="1"/>
  <c r="CR53" s="1"/>
  <c r="CT51"/>
  <c r="H48"/>
  <c r="J48" s="1"/>
  <c r="H49" s="1"/>
  <c r="J47"/>
  <c r="U59"/>
  <c r="U60" s="1"/>
  <c r="U61" s="1"/>
  <c r="U62" s="1"/>
  <c r="U57"/>
  <c r="U58" s="1"/>
  <c r="AV56"/>
  <c r="AX56" s="1"/>
  <c r="AV57" s="1"/>
  <c r="AX55"/>
  <c r="DR55"/>
  <c r="DP56"/>
  <c r="DR56" s="1"/>
  <c r="DP57" s="1"/>
  <c r="DL56"/>
  <c r="DN56" s="1"/>
  <c r="DL57" s="1"/>
  <c r="DN55"/>
  <c r="FZ51"/>
  <c r="FX52"/>
  <c r="FZ52" s="1"/>
  <c r="FX53" s="1"/>
  <c r="BL56"/>
  <c r="BN56" s="1"/>
  <c r="BL57" s="1"/>
  <c r="BN55"/>
  <c r="EF54"/>
  <c r="EH54" s="1"/>
  <c r="EF55" s="1"/>
  <c r="EH53"/>
  <c r="BT56"/>
  <c r="BV56" s="1"/>
  <c r="BT57" s="1"/>
  <c r="BV55"/>
  <c r="DH56"/>
  <c r="DJ56" s="1"/>
  <c r="DH57" s="1"/>
  <c r="DJ55"/>
  <c r="CN52"/>
  <c r="CP52" s="1"/>
  <c r="CN53" s="1"/>
  <c r="CP51"/>
  <c r="FV53"/>
  <c r="FT54"/>
  <c r="FV54" s="1"/>
  <c r="FT55" s="1"/>
  <c r="AD51"/>
  <c r="AB52"/>
  <c r="AD52" s="1"/>
  <c r="AB53" s="1"/>
  <c r="FH56"/>
  <c r="FJ56" s="1"/>
  <c r="FH57" s="1"/>
  <c r="FJ55"/>
  <c r="D48"/>
  <c r="F48" s="1"/>
  <c r="D49" s="1"/>
  <c r="F47"/>
  <c r="IJ58"/>
  <c r="EZ58"/>
  <c r="EL55"/>
  <c r="EJ56"/>
  <c r="EL56" s="1"/>
  <c r="EJ57" s="1"/>
  <c r="CX51"/>
  <c r="CV52"/>
  <c r="CX52" s="1"/>
  <c r="CV53" s="1"/>
  <c r="CB60"/>
  <c r="CD60" s="1"/>
  <c r="CB61" s="1"/>
  <c r="CD59"/>
  <c r="CL53"/>
  <c r="CJ54"/>
  <c r="CL54" s="1"/>
  <c r="CJ55" s="1"/>
  <c r="EN56"/>
  <c r="EP56" s="1"/>
  <c r="EN57" s="1"/>
  <c r="EP55"/>
  <c r="AN56"/>
  <c r="AP56" s="1"/>
  <c r="AN57" s="1"/>
  <c r="AP55"/>
  <c r="DT54"/>
  <c r="DV54" s="1"/>
  <c r="DT55" s="1"/>
  <c r="DV53"/>
  <c r="DV55" l="1"/>
  <c r="DT56"/>
  <c r="DV56" s="1"/>
  <c r="DT57" s="1"/>
  <c r="CB62"/>
  <c r="CD61"/>
  <c r="CV54"/>
  <c r="CX54" s="1"/>
  <c r="CV55" s="1"/>
  <c r="CX53"/>
  <c r="FP54"/>
  <c r="FR54" s="1"/>
  <c r="FP55" s="1"/>
  <c r="FR53"/>
  <c r="D50"/>
  <c r="F50" s="1"/>
  <c r="D51" s="1"/>
  <c r="F49"/>
  <c r="CN54"/>
  <c r="CP54" s="1"/>
  <c r="CN55" s="1"/>
  <c r="CP53"/>
  <c r="BL58"/>
  <c r="GR58"/>
  <c r="GB54"/>
  <c r="GD54" s="1"/>
  <c r="GB55" s="1"/>
  <c r="GD53"/>
  <c r="DD58"/>
  <c r="AZ58"/>
  <c r="AJ56"/>
  <c r="AL56" s="1"/>
  <c r="AJ57" s="1"/>
  <c r="AL55"/>
  <c r="AN58"/>
  <c r="EJ58"/>
  <c r="AB54"/>
  <c r="AD54" s="1"/>
  <c r="AB55" s="1"/>
  <c r="AD53"/>
  <c r="FX54"/>
  <c r="FZ54" s="1"/>
  <c r="FX55" s="1"/>
  <c r="FZ53"/>
  <c r="DL58"/>
  <c r="AV58"/>
  <c r="H50"/>
  <c r="J50" s="1"/>
  <c r="H51" s="1"/>
  <c r="J49"/>
  <c r="GF54"/>
  <c r="GH54" s="1"/>
  <c r="GF55" s="1"/>
  <c r="GH53"/>
  <c r="BX58"/>
  <c r="GL53"/>
  <c r="GJ54"/>
  <c r="GL54" s="1"/>
  <c r="GJ55" s="1"/>
  <c r="BR55"/>
  <c r="BP56"/>
  <c r="BR56" s="1"/>
  <c r="BP57" s="1"/>
  <c r="AR58"/>
  <c r="P50"/>
  <c r="R50" s="1"/>
  <c r="P51" s="1"/>
  <c r="R49"/>
  <c r="HT58"/>
  <c r="BD58"/>
  <c r="EX55"/>
  <c r="EV56"/>
  <c r="EX56" s="1"/>
  <c r="EV57" s="1"/>
  <c r="Y57"/>
  <c r="Y58" s="1"/>
  <c r="Y59"/>
  <c r="Y60" s="1"/>
  <c r="Y61" s="1"/>
  <c r="Y62" s="1"/>
  <c r="EN58"/>
  <c r="FT56"/>
  <c r="FV56" s="1"/>
  <c r="FT57" s="1"/>
  <c r="FV55"/>
  <c r="CR54"/>
  <c r="CT54" s="1"/>
  <c r="CR55" s="1"/>
  <c r="CT53"/>
  <c r="DX58"/>
  <c r="GN56"/>
  <c r="GP56" s="1"/>
  <c r="GN57" s="1"/>
  <c r="GP55"/>
  <c r="DB55"/>
  <c r="CZ56"/>
  <c r="DB56" s="1"/>
  <c r="CZ57" s="1"/>
  <c r="L62"/>
  <c r="N61"/>
  <c r="BH58"/>
  <c r="X54"/>
  <c r="Z54" s="1"/>
  <c r="X55" s="1"/>
  <c r="Z53"/>
  <c r="BT58"/>
  <c r="DP58"/>
  <c r="ER58"/>
  <c r="FL54"/>
  <c r="FN54" s="1"/>
  <c r="FL55" s="1"/>
  <c r="FN53"/>
  <c r="CL55"/>
  <c r="CJ56"/>
  <c r="CL56" s="1"/>
  <c r="CJ57" s="1"/>
  <c r="FH58"/>
  <c r="DH58"/>
  <c r="EH55"/>
  <c r="EF56"/>
  <c r="EH56" s="1"/>
  <c r="EF57" s="1"/>
  <c r="T56"/>
  <c r="V56" s="1"/>
  <c r="T57" s="1"/>
  <c r="V55"/>
  <c r="AF54"/>
  <c r="AH54" s="1"/>
  <c r="AF55" s="1"/>
  <c r="AH53"/>
  <c r="CF54"/>
  <c r="CH54" s="1"/>
  <c r="CF55" s="1"/>
  <c r="CH53"/>
  <c r="FD54"/>
  <c r="FF54" s="1"/>
  <c r="FD55" s="1"/>
  <c r="FF53"/>
  <c r="AF34"/>
  <c r="AB39"/>
  <c r="N62" l="1"/>
  <c r="CR56"/>
  <c r="CT56" s="1"/>
  <c r="CR57" s="1"/>
  <c r="CT55"/>
  <c r="EV58"/>
  <c r="AF56"/>
  <c r="AH56" s="1"/>
  <c r="AF57" s="1"/>
  <c r="AH55"/>
  <c r="R51"/>
  <c r="P52"/>
  <c r="R52" s="1"/>
  <c r="P53" s="1"/>
  <c r="GD55"/>
  <c r="GB56"/>
  <c r="GD56" s="1"/>
  <c r="GB57" s="1"/>
  <c r="D52"/>
  <c r="F52" s="1"/>
  <c r="D53" s="1"/>
  <c r="F51"/>
  <c r="DT58"/>
  <c r="EF58"/>
  <c r="FT58"/>
  <c r="BP58"/>
  <c r="CD62"/>
  <c r="AC57"/>
  <c r="AC58" s="1"/>
  <c r="AC59"/>
  <c r="AC60" s="1"/>
  <c r="AC61" s="1"/>
  <c r="AC62" s="1"/>
  <c r="CJ58"/>
  <c r="GN58"/>
  <c r="GJ56"/>
  <c r="GL56" s="1"/>
  <c r="GJ57" s="1"/>
  <c r="GL55"/>
  <c r="FD56"/>
  <c r="FF56" s="1"/>
  <c r="FD57" s="1"/>
  <c r="FF55"/>
  <c r="FN55"/>
  <c r="FL56"/>
  <c r="FN56" s="1"/>
  <c r="FL57" s="1"/>
  <c r="Z55"/>
  <c r="X56"/>
  <c r="Z56" s="1"/>
  <c r="X57" s="1"/>
  <c r="J51"/>
  <c r="H52"/>
  <c r="J52" s="1"/>
  <c r="H53" s="1"/>
  <c r="AB56"/>
  <c r="AD56" s="1"/>
  <c r="AB57" s="1"/>
  <c r="AD55"/>
  <c r="CV56"/>
  <c r="CX56" s="1"/>
  <c r="CV57" s="1"/>
  <c r="CX55"/>
  <c r="AF39"/>
  <c r="AJ34"/>
  <c r="CF56"/>
  <c r="CH56" s="1"/>
  <c r="CF57" s="1"/>
  <c r="CH55"/>
  <c r="T58"/>
  <c r="V58" s="1"/>
  <c r="T59" s="1"/>
  <c r="V57"/>
  <c r="CZ58"/>
  <c r="GH55"/>
  <c r="GF56"/>
  <c r="GH56" s="1"/>
  <c r="GF57" s="1"/>
  <c r="FZ55"/>
  <c r="FX56"/>
  <c r="FZ56" s="1"/>
  <c r="FX57" s="1"/>
  <c r="AJ58"/>
  <c r="CP55"/>
  <c r="CN56"/>
  <c r="CP56" s="1"/>
  <c r="CN57" s="1"/>
  <c r="FR55"/>
  <c r="FP56"/>
  <c r="FR56" s="1"/>
  <c r="FP57" s="1"/>
  <c r="FP58" l="1"/>
  <c r="GF58"/>
  <c r="AJ39"/>
  <c r="AN34"/>
  <c r="CF58"/>
  <c r="GJ58"/>
  <c r="P54"/>
  <c r="R54" s="1"/>
  <c r="P55" s="1"/>
  <c r="R53"/>
  <c r="CN58"/>
  <c r="FX58"/>
  <c r="H54"/>
  <c r="J54" s="1"/>
  <c r="H55" s="1"/>
  <c r="J53"/>
  <c r="FL58"/>
  <c r="AF58"/>
  <c r="CR58"/>
  <c r="X58"/>
  <c r="Z58" s="1"/>
  <c r="X59" s="1"/>
  <c r="Z57"/>
  <c r="D54"/>
  <c r="F54" s="1"/>
  <c r="D55" s="1"/>
  <c r="F53"/>
  <c r="CV58"/>
  <c r="T60"/>
  <c r="V60" s="1"/>
  <c r="T61" s="1"/>
  <c r="V59"/>
  <c r="AG59"/>
  <c r="AG60" s="1"/>
  <c r="AG61" s="1"/>
  <c r="AG62" s="1"/>
  <c r="AG57"/>
  <c r="AG58" s="1"/>
  <c r="AD57"/>
  <c r="AB58"/>
  <c r="AD58" s="1"/>
  <c r="AB59" s="1"/>
  <c r="FD58"/>
  <c r="GB58"/>
  <c r="AK59" l="1"/>
  <c r="AK60" s="1"/>
  <c r="AK61" s="1"/>
  <c r="AK62" s="1"/>
  <c r="AK57"/>
  <c r="D56"/>
  <c r="F56" s="1"/>
  <c r="D57" s="1"/>
  <c r="F55"/>
  <c r="AB60"/>
  <c r="AD60" s="1"/>
  <c r="AB61" s="1"/>
  <c r="AD59"/>
  <c r="P56"/>
  <c r="R56" s="1"/>
  <c r="P57" s="1"/>
  <c r="R55"/>
  <c r="AH57"/>
  <c r="H56"/>
  <c r="J56" s="1"/>
  <c r="H57" s="1"/>
  <c r="J55"/>
  <c r="T62"/>
  <c r="V61"/>
  <c r="AN39"/>
  <c r="AR34"/>
  <c r="X60"/>
  <c r="Z60" s="1"/>
  <c r="X61" s="1"/>
  <c r="Z59"/>
  <c r="AH58"/>
  <c r="AF59" s="1"/>
  <c r="AO57" l="1"/>
  <c r="AO59"/>
  <c r="AO60" s="1"/>
  <c r="AO61" s="1"/>
  <c r="AO62" s="1"/>
  <c r="AV34"/>
  <c r="AR39"/>
  <c r="V62"/>
  <c r="AF60"/>
  <c r="AH60" s="1"/>
  <c r="AF61" s="1"/>
  <c r="AH59"/>
  <c r="X62"/>
  <c r="Z61"/>
  <c r="R57"/>
  <c r="P58"/>
  <c r="R58" s="1"/>
  <c r="P59" s="1"/>
  <c r="D58"/>
  <c r="F58" s="1"/>
  <c r="D59" s="1"/>
  <c r="F57"/>
  <c r="AB62"/>
  <c r="AD61"/>
  <c r="AK58"/>
  <c r="AL58" s="1"/>
  <c r="AJ59" s="1"/>
  <c r="AL57"/>
  <c r="H58"/>
  <c r="J58" s="1"/>
  <c r="H59" s="1"/>
  <c r="J57"/>
  <c r="P60" l="1"/>
  <c r="R60" s="1"/>
  <c r="P61" s="1"/>
  <c r="R59"/>
  <c r="AO58"/>
  <c r="AP58" s="1"/>
  <c r="AN59" s="1"/>
  <c r="AP57"/>
  <c r="D60"/>
  <c r="F60" s="1"/>
  <c r="D61" s="1"/>
  <c r="F59"/>
  <c r="AJ60"/>
  <c r="AL60" s="1"/>
  <c r="AJ61" s="1"/>
  <c r="AL59"/>
  <c r="AF62"/>
  <c r="AH61"/>
  <c r="AV39"/>
  <c r="AZ34"/>
  <c r="J59"/>
  <c r="H60"/>
  <c r="J60" s="1"/>
  <c r="H61" s="1"/>
  <c r="Z62"/>
  <c r="AD62"/>
  <c r="AS57"/>
  <c r="AS59"/>
  <c r="AS60" s="1"/>
  <c r="AS61" s="1"/>
  <c r="AS62" s="1"/>
  <c r="AH62" l="1"/>
  <c r="D62"/>
  <c r="F61"/>
  <c r="H62"/>
  <c r="J61"/>
  <c r="AJ62"/>
  <c r="AL61"/>
  <c r="AP59"/>
  <c r="AN60"/>
  <c r="AP60" s="1"/>
  <c r="AN61" s="1"/>
  <c r="AZ39"/>
  <c r="BD34"/>
  <c r="P62"/>
  <c r="R61"/>
  <c r="AS58"/>
  <c r="AT58" s="1"/>
  <c r="AR59" s="1"/>
  <c r="AT57"/>
  <c r="AW59"/>
  <c r="AW60" s="1"/>
  <c r="AW61" s="1"/>
  <c r="AW62" s="1"/>
  <c r="AW57"/>
  <c r="AW58" l="1"/>
  <c r="AX58" s="1"/>
  <c r="AV59" s="1"/>
  <c r="AX57"/>
  <c r="BD39"/>
  <c r="BH34"/>
  <c r="AN62"/>
  <c r="AP61"/>
  <c r="AL62"/>
  <c r="BA59"/>
  <c r="BA60" s="1"/>
  <c r="BA61" s="1"/>
  <c r="BA62" s="1"/>
  <c r="BA57"/>
  <c r="J62"/>
  <c r="AR60"/>
  <c r="AT60" s="1"/>
  <c r="AR61" s="1"/>
  <c r="AT59"/>
  <c r="F62"/>
  <c r="R62"/>
  <c r="BA58" l="1"/>
  <c r="BB58" s="1"/>
  <c r="AZ59" s="1"/>
  <c r="BB57"/>
  <c r="AP62"/>
  <c r="AV60"/>
  <c r="AX60" s="1"/>
  <c r="AV61" s="1"/>
  <c r="AX59"/>
  <c r="BE57"/>
  <c r="BE59"/>
  <c r="BE60" s="1"/>
  <c r="BE61" s="1"/>
  <c r="BE62" s="1"/>
  <c r="AR62"/>
  <c r="AT61"/>
  <c r="BL34"/>
  <c r="BH39"/>
  <c r="BI57" l="1"/>
  <c r="BI59"/>
  <c r="BI60" s="1"/>
  <c r="BI61" s="1"/>
  <c r="BI62" s="1"/>
  <c r="AT62"/>
  <c r="AV62"/>
  <c r="AX61"/>
  <c r="AZ60"/>
  <c r="BB60" s="1"/>
  <c r="AZ61" s="1"/>
  <c r="BB59"/>
  <c r="BE58"/>
  <c r="BF58" s="1"/>
  <c r="BD59" s="1"/>
  <c r="BF57"/>
  <c r="BL39"/>
  <c r="BP34"/>
  <c r="BD60" l="1"/>
  <c r="BF60" s="1"/>
  <c r="BD61" s="1"/>
  <c r="BF59"/>
  <c r="BP39"/>
  <c r="BT34"/>
  <c r="AX62"/>
  <c r="BI58"/>
  <c r="BJ58" s="1"/>
  <c r="BH59" s="1"/>
  <c r="BJ57"/>
  <c r="BM59"/>
  <c r="BM60" s="1"/>
  <c r="BM61" s="1"/>
  <c r="BM62" s="1"/>
  <c r="BM57"/>
  <c r="AZ62"/>
  <c r="BB61"/>
  <c r="BM58" l="1"/>
  <c r="BN58" s="1"/>
  <c r="BL59" s="1"/>
  <c r="BN57"/>
  <c r="BB62"/>
  <c r="BD62"/>
  <c r="BF61"/>
  <c r="BH60"/>
  <c r="BJ60" s="1"/>
  <c r="BH61" s="1"/>
  <c r="BJ59"/>
  <c r="BQ59"/>
  <c r="BQ60" s="1"/>
  <c r="BQ61" s="1"/>
  <c r="BQ62" s="1"/>
  <c r="BQ57"/>
  <c r="BX34"/>
  <c r="BT39"/>
  <c r="CB34" l="1"/>
  <c r="CF34" s="1"/>
  <c r="BX39"/>
  <c r="BH62"/>
  <c r="BJ61"/>
  <c r="BF62"/>
  <c r="BL60"/>
  <c r="BN60" s="1"/>
  <c r="BL61" s="1"/>
  <c r="BN59"/>
  <c r="BU57"/>
  <c r="BU59"/>
  <c r="BU60" s="1"/>
  <c r="BU61" s="1"/>
  <c r="BU62" s="1"/>
  <c r="BQ58"/>
  <c r="BR58" s="1"/>
  <c r="BP59" s="1"/>
  <c r="BR57"/>
  <c r="BU58" l="1"/>
  <c r="BV58" s="1"/>
  <c r="BT59" s="1"/>
  <c r="BV57"/>
  <c r="BY57"/>
  <c r="BY59"/>
  <c r="BY60" s="1"/>
  <c r="BY61" s="1"/>
  <c r="BY62" s="1"/>
  <c r="BJ62"/>
  <c r="CF39"/>
  <c r="CJ34"/>
  <c r="BP60"/>
  <c r="BR60" s="1"/>
  <c r="BP61" s="1"/>
  <c r="BR59"/>
  <c r="BL62"/>
  <c r="BN61"/>
  <c r="CN34" l="1"/>
  <c r="CJ39"/>
  <c r="BN62"/>
  <c r="CG59"/>
  <c r="CG60" s="1"/>
  <c r="CG61" s="1"/>
  <c r="CG62" s="1"/>
  <c r="CG57"/>
  <c r="BY58"/>
  <c r="BZ58" s="1"/>
  <c r="BX59" s="1"/>
  <c r="BZ57"/>
  <c r="BP62"/>
  <c r="BR61"/>
  <c r="BV59"/>
  <c r="BT60"/>
  <c r="BV60" s="1"/>
  <c r="BT61" s="1"/>
  <c r="CG58" l="1"/>
  <c r="CH58" s="1"/>
  <c r="CF59" s="1"/>
  <c r="CH57"/>
  <c r="BT62"/>
  <c r="BV61"/>
  <c r="BR62"/>
  <c r="CN39"/>
  <c r="CR34"/>
  <c r="CK59"/>
  <c r="CK60" s="1"/>
  <c r="CK61" s="1"/>
  <c r="CK62" s="1"/>
  <c r="CK57"/>
  <c r="BX60"/>
  <c r="BZ60" s="1"/>
  <c r="BX61" s="1"/>
  <c r="BZ59"/>
  <c r="BV62" l="1"/>
  <c r="CR39"/>
  <c r="CV34"/>
  <c r="CF60"/>
  <c r="CH60" s="1"/>
  <c r="CF61" s="1"/>
  <c r="CH59"/>
  <c r="CK58"/>
  <c r="CL58" s="1"/>
  <c r="CJ59" s="1"/>
  <c r="CL57"/>
  <c r="BX62"/>
  <c r="BZ61"/>
  <c r="CO57"/>
  <c r="CO59"/>
  <c r="CO60" s="1"/>
  <c r="CO61" s="1"/>
  <c r="CO62" s="1"/>
  <c r="CO58" l="1"/>
  <c r="CP58" s="1"/>
  <c r="CN59" s="1"/>
  <c r="CP57"/>
  <c r="CV39"/>
  <c r="CZ34"/>
  <c r="CJ60"/>
  <c r="CL60" s="1"/>
  <c r="CJ61" s="1"/>
  <c r="CL59"/>
  <c r="CS57"/>
  <c r="CS59"/>
  <c r="CS60" s="1"/>
  <c r="CS61" s="1"/>
  <c r="CS62" s="1"/>
  <c r="BZ62"/>
  <c r="CF62"/>
  <c r="CH61"/>
  <c r="CJ62" l="1"/>
  <c r="CL61"/>
  <c r="CH62"/>
  <c r="CS58"/>
  <c r="CT58" s="1"/>
  <c r="CR59" s="1"/>
  <c r="CT57"/>
  <c r="CW59"/>
  <c r="CW60" s="1"/>
  <c r="CW61" s="1"/>
  <c r="CW62" s="1"/>
  <c r="CW57"/>
  <c r="DD34"/>
  <c r="CZ39"/>
  <c r="CP59"/>
  <c r="CN60"/>
  <c r="CP60" s="1"/>
  <c r="CN61" s="1"/>
  <c r="CN62" l="1"/>
  <c r="CP61"/>
  <c r="CW58"/>
  <c r="CX58" s="1"/>
  <c r="CV59" s="1"/>
  <c r="CX57"/>
  <c r="CL62"/>
  <c r="DD39"/>
  <c r="DH34"/>
  <c r="CR60"/>
  <c r="CT60" s="1"/>
  <c r="CR61" s="1"/>
  <c r="CT59"/>
  <c r="DA59"/>
  <c r="DA60" s="1"/>
  <c r="DA61" s="1"/>
  <c r="DA62" s="1"/>
  <c r="DA57"/>
  <c r="CR62" l="1"/>
  <c r="CT61"/>
  <c r="CV60"/>
  <c r="CX60" s="1"/>
  <c r="CV61" s="1"/>
  <c r="CX59"/>
  <c r="DA58"/>
  <c r="DB58" s="1"/>
  <c r="CZ59" s="1"/>
  <c r="DB57"/>
  <c r="DH39"/>
  <c r="DL34"/>
  <c r="CP62"/>
  <c r="DE57"/>
  <c r="DE59"/>
  <c r="DE60" s="1"/>
  <c r="DE61" s="1"/>
  <c r="DE62" s="1"/>
  <c r="DE58" l="1"/>
  <c r="DF58" s="1"/>
  <c r="DD59" s="1"/>
  <c r="DF57"/>
  <c r="DL39"/>
  <c r="DP34"/>
  <c r="DI57"/>
  <c r="DI59"/>
  <c r="DI60" s="1"/>
  <c r="DI61" s="1"/>
  <c r="DI62" s="1"/>
  <c r="CV62"/>
  <c r="CX61"/>
  <c r="CT62"/>
  <c r="CZ60"/>
  <c r="DB60" s="1"/>
  <c r="CZ61" s="1"/>
  <c r="DB59"/>
  <c r="CZ62" l="1"/>
  <c r="DB61"/>
  <c r="DM59"/>
  <c r="DM60" s="1"/>
  <c r="DM61" s="1"/>
  <c r="DM62" s="1"/>
  <c r="DM57"/>
  <c r="CX62"/>
  <c r="DD60"/>
  <c r="DF60" s="1"/>
  <c r="DD61" s="1"/>
  <c r="DF59"/>
  <c r="DI58"/>
  <c r="DJ58" s="1"/>
  <c r="DH59" s="1"/>
  <c r="DJ57"/>
  <c r="DT34"/>
  <c r="DP39"/>
  <c r="DH60" l="1"/>
  <c r="DJ60" s="1"/>
  <c r="DH61" s="1"/>
  <c r="DJ59"/>
  <c r="DQ59"/>
  <c r="DQ60" s="1"/>
  <c r="DQ61" s="1"/>
  <c r="DQ62" s="1"/>
  <c r="DQ57"/>
  <c r="DM58"/>
  <c r="DN58" s="1"/>
  <c r="DL59" s="1"/>
  <c r="DN57"/>
  <c r="DB62"/>
  <c r="DX34"/>
  <c r="DT39"/>
  <c r="DD62"/>
  <c r="DF61"/>
  <c r="DQ58" l="1"/>
  <c r="DR58" s="1"/>
  <c r="DP59" s="1"/>
  <c r="DR57"/>
  <c r="DF62"/>
  <c r="DX39"/>
  <c r="EB34"/>
  <c r="DL60"/>
  <c r="DN60" s="1"/>
  <c r="DL61" s="1"/>
  <c r="DN59"/>
  <c r="DH62"/>
  <c r="DJ61"/>
  <c r="DU57"/>
  <c r="DU59"/>
  <c r="DU60" s="1"/>
  <c r="DU61" s="1"/>
  <c r="DU62" s="1"/>
  <c r="DU58" l="1"/>
  <c r="DV58" s="1"/>
  <c r="DT59" s="1"/>
  <c r="DV57"/>
  <c r="DJ62"/>
  <c r="DY57"/>
  <c r="DY59"/>
  <c r="DY60" s="1"/>
  <c r="DY61" s="1"/>
  <c r="DY62" s="1"/>
  <c r="DP60"/>
  <c r="DR60" s="1"/>
  <c r="DP61" s="1"/>
  <c r="DR59"/>
  <c r="DL62"/>
  <c r="DN61"/>
  <c r="EB39"/>
  <c r="EF34"/>
  <c r="EC59" l="1"/>
  <c r="EC60" s="1"/>
  <c r="EC61" s="1"/>
  <c r="EC62" s="1"/>
  <c r="EC57"/>
  <c r="DY58"/>
  <c r="DZ58" s="1"/>
  <c r="DX59" s="1"/>
  <c r="DZ57"/>
  <c r="DP62"/>
  <c r="DR61"/>
  <c r="DV59"/>
  <c r="DT60"/>
  <c r="DV60" s="1"/>
  <c r="DT61" s="1"/>
  <c r="EJ34"/>
  <c r="EF39"/>
  <c r="DN62"/>
  <c r="EJ39" l="1"/>
  <c r="EN34"/>
  <c r="DT62"/>
  <c r="DV61"/>
  <c r="DR62"/>
  <c r="EC58"/>
  <c r="ED58" s="1"/>
  <c r="EB59" s="1"/>
  <c r="ED57"/>
  <c r="EG59"/>
  <c r="EG60" s="1"/>
  <c r="EG61" s="1"/>
  <c r="EG62" s="1"/>
  <c r="EG57"/>
  <c r="DX60"/>
  <c r="DZ60" s="1"/>
  <c r="DX61" s="1"/>
  <c r="DZ59"/>
  <c r="EG58" l="1"/>
  <c r="EH58" s="1"/>
  <c r="EF59" s="1"/>
  <c r="EH57"/>
  <c r="DV62"/>
  <c r="EK57"/>
  <c r="EK59"/>
  <c r="EK60" s="1"/>
  <c r="EK61" s="1"/>
  <c r="EK62" s="1"/>
  <c r="DX62"/>
  <c r="DZ61"/>
  <c r="EB60"/>
  <c r="ED60" s="1"/>
  <c r="EB61" s="1"/>
  <c r="ED59"/>
  <c r="EN39"/>
  <c r="ER34"/>
  <c r="EK58" l="1"/>
  <c r="EL58" s="1"/>
  <c r="EJ59" s="1"/>
  <c r="EL57"/>
  <c r="DZ62"/>
  <c r="EO57"/>
  <c r="EO59"/>
  <c r="EO60" s="1"/>
  <c r="EO61" s="1"/>
  <c r="EO62" s="1"/>
  <c r="ER39"/>
  <c r="EV34"/>
  <c r="EF60"/>
  <c r="EH60" s="1"/>
  <c r="EF61" s="1"/>
  <c r="EH59"/>
  <c r="EB62"/>
  <c r="ED61"/>
  <c r="ES59" l="1"/>
  <c r="ES60" s="1"/>
  <c r="ES61" s="1"/>
  <c r="ES62" s="1"/>
  <c r="ES57"/>
  <c r="EJ60"/>
  <c r="EL60" s="1"/>
  <c r="EJ61" s="1"/>
  <c r="EL59"/>
  <c r="ED62"/>
  <c r="EZ34"/>
  <c r="EV39"/>
  <c r="EF62"/>
  <c r="EH61"/>
  <c r="EO58"/>
  <c r="EP58" s="1"/>
  <c r="EN59" s="1"/>
  <c r="EP57"/>
  <c r="FD34" l="1"/>
  <c r="EZ39"/>
  <c r="EW59"/>
  <c r="EW60" s="1"/>
  <c r="EW61" s="1"/>
  <c r="EW62" s="1"/>
  <c r="EW57"/>
  <c r="EH62"/>
  <c r="EJ62"/>
  <c r="EL61"/>
  <c r="EN60"/>
  <c r="EP60" s="1"/>
  <c r="EN61" s="1"/>
  <c r="EP59"/>
  <c r="ES58"/>
  <c r="ET58" s="1"/>
  <c r="ER59" s="1"/>
  <c r="ET57"/>
  <c r="EL62" l="1"/>
  <c r="EW58"/>
  <c r="EX58" s="1"/>
  <c r="EV59" s="1"/>
  <c r="EX57"/>
  <c r="FD39"/>
  <c r="FH34"/>
  <c r="ER60"/>
  <c r="ET60" s="1"/>
  <c r="ER61" s="1"/>
  <c r="ET59"/>
  <c r="EN62"/>
  <c r="EP61"/>
  <c r="FA57"/>
  <c r="FA59"/>
  <c r="FA60" s="1"/>
  <c r="FA61" s="1"/>
  <c r="FA62" s="1"/>
  <c r="EP62" l="1"/>
  <c r="FH39"/>
  <c r="FL34"/>
  <c r="ER62"/>
  <c r="ET61"/>
  <c r="EV60"/>
  <c r="EX60" s="1"/>
  <c r="EV61" s="1"/>
  <c r="EX59"/>
  <c r="FE57"/>
  <c r="FE59"/>
  <c r="FE60" s="1"/>
  <c r="FE61" s="1"/>
  <c r="FE62" s="1"/>
  <c r="FA58"/>
  <c r="FB58" s="1"/>
  <c r="EZ59" s="1"/>
  <c r="FB57"/>
  <c r="ET62" l="1"/>
  <c r="FI59"/>
  <c r="FI60" s="1"/>
  <c r="FI61" s="1"/>
  <c r="FI62" s="1"/>
  <c r="FI57"/>
  <c r="FB59"/>
  <c r="EZ60"/>
  <c r="FB60" s="1"/>
  <c r="EZ61" s="1"/>
  <c r="EV62"/>
  <c r="EX61"/>
  <c r="FP34"/>
  <c r="FL39"/>
  <c r="FE58"/>
  <c r="FF58" s="1"/>
  <c r="FD59" s="1"/>
  <c r="FF57"/>
  <c r="FI58" l="1"/>
  <c r="FJ58" s="1"/>
  <c r="FH59" s="1"/>
  <c r="FJ57"/>
  <c r="FM59"/>
  <c r="FM60" s="1"/>
  <c r="FM61" s="1"/>
  <c r="FM62" s="1"/>
  <c r="FM57"/>
  <c r="EX62"/>
  <c r="FF59"/>
  <c r="FD60"/>
  <c r="FF60" s="1"/>
  <c r="FD61" s="1"/>
  <c r="FP39"/>
  <c r="FT34"/>
  <c r="EZ62"/>
  <c r="FB61"/>
  <c r="FQ57" l="1"/>
  <c r="FQ59"/>
  <c r="FQ60" s="1"/>
  <c r="FQ61" s="1"/>
  <c r="FQ62" s="1"/>
  <c r="FB62"/>
  <c r="FH60"/>
  <c r="FJ60" s="1"/>
  <c r="FH61" s="1"/>
  <c r="FJ59"/>
  <c r="FT39"/>
  <c r="FX34"/>
  <c r="FD62"/>
  <c r="FF61"/>
  <c r="FM58"/>
  <c r="FN58" s="1"/>
  <c r="FL59" s="1"/>
  <c r="FN57"/>
  <c r="FL60" l="1"/>
  <c r="FN60" s="1"/>
  <c r="FL61" s="1"/>
  <c r="FN59"/>
  <c r="FF62"/>
  <c r="FH62"/>
  <c r="FJ61"/>
  <c r="FQ58"/>
  <c r="FR58" s="1"/>
  <c r="FP59" s="1"/>
  <c r="FR57"/>
  <c r="FU57"/>
  <c r="FU59"/>
  <c r="FU60" s="1"/>
  <c r="FU61" s="1"/>
  <c r="FU62" s="1"/>
  <c r="FX39"/>
  <c r="GB34"/>
  <c r="FP60" l="1"/>
  <c r="FR60" s="1"/>
  <c r="FP61" s="1"/>
  <c r="FR59"/>
  <c r="FY59"/>
  <c r="FY60" s="1"/>
  <c r="FY61" s="1"/>
  <c r="FY62" s="1"/>
  <c r="FY57"/>
  <c r="FJ62"/>
  <c r="FU58"/>
  <c r="FV58" s="1"/>
  <c r="FT59" s="1"/>
  <c r="FV57"/>
  <c r="FL62"/>
  <c r="FN61"/>
  <c r="GB39"/>
  <c r="GF34"/>
  <c r="FT60" l="1"/>
  <c r="FV60" s="1"/>
  <c r="FT61" s="1"/>
  <c r="FV59"/>
  <c r="GF39"/>
  <c r="GJ34"/>
  <c r="FN62"/>
  <c r="FP62"/>
  <c r="FR61"/>
  <c r="GC59"/>
  <c r="GC60" s="1"/>
  <c r="GC61" s="1"/>
  <c r="GC62" s="1"/>
  <c r="GC57"/>
  <c r="FY58"/>
  <c r="FZ58" s="1"/>
  <c r="FX59" s="1"/>
  <c r="FZ57"/>
  <c r="GC58" l="1"/>
  <c r="GD58" s="1"/>
  <c r="GB59" s="1"/>
  <c r="GD57"/>
  <c r="FR62"/>
  <c r="GG57"/>
  <c r="GG59"/>
  <c r="GG60" s="1"/>
  <c r="GG61" s="1"/>
  <c r="GG62" s="1"/>
  <c r="GJ39"/>
  <c r="GN34"/>
  <c r="FT62"/>
  <c r="FV61"/>
  <c r="FX60"/>
  <c r="FZ60" s="1"/>
  <c r="FX61" s="1"/>
  <c r="FZ59"/>
  <c r="FV62" l="1"/>
  <c r="GG58"/>
  <c r="GH58" s="1"/>
  <c r="GF59" s="1"/>
  <c r="GH57"/>
  <c r="GB60"/>
  <c r="GD60" s="1"/>
  <c r="GB61" s="1"/>
  <c r="GD59"/>
  <c r="GK59"/>
  <c r="GK60" s="1"/>
  <c r="GK61" s="1"/>
  <c r="GK62" s="1"/>
  <c r="GK57"/>
  <c r="FX62"/>
  <c r="FZ61"/>
  <c r="GN39"/>
  <c r="GR34"/>
  <c r="GF60" l="1"/>
  <c r="GH60" s="1"/>
  <c r="GF61" s="1"/>
  <c r="GH59"/>
  <c r="GV34"/>
  <c r="GR39"/>
  <c r="FZ62"/>
  <c r="GB62"/>
  <c r="GD61"/>
  <c r="GO57"/>
  <c r="GO59"/>
  <c r="GO60" s="1"/>
  <c r="GO61" s="1"/>
  <c r="GO62" s="1"/>
  <c r="GK58"/>
  <c r="GL58" s="1"/>
  <c r="GJ59" s="1"/>
  <c r="GL57"/>
  <c r="GD62" l="1"/>
  <c r="GV39"/>
  <c r="GZ34"/>
  <c r="GL59"/>
  <c r="GJ60"/>
  <c r="GL60" s="1"/>
  <c r="GJ61" s="1"/>
  <c r="GS59"/>
  <c r="GS60" s="1"/>
  <c r="GS61" s="1"/>
  <c r="GS62" s="1"/>
  <c r="GS57"/>
  <c r="GF62"/>
  <c r="GH61"/>
  <c r="GO58"/>
  <c r="GP58" s="1"/>
  <c r="GN59" s="1"/>
  <c r="GP57"/>
  <c r="GJ62" l="1"/>
  <c r="GL61"/>
  <c r="GW59"/>
  <c r="GW60" s="1"/>
  <c r="GW61" s="1"/>
  <c r="GW62" s="1"/>
  <c r="GW57"/>
  <c r="GH62"/>
  <c r="GP59"/>
  <c r="GN60"/>
  <c r="GP60" s="1"/>
  <c r="GN61" s="1"/>
  <c r="GS58"/>
  <c r="GT58" s="1"/>
  <c r="GR59" s="1"/>
  <c r="GT57"/>
  <c r="GZ39"/>
  <c r="HD34"/>
  <c r="HT34"/>
  <c r="GW58" l="1"/>
  <c r="GX58" s="1"/>
  <c r="GV59" s="1"/>
  <c r="GX57"/>
  <c r="HD39"/>
  <c r="HH34"/>
  <c r="GN62"/>
  <c r="GP61"/>
  <c r="GL62"/>
  <c r="HT39"/>
  <c r="HX34"/>
  <c r="GR60"/>
  <c r="GT60" s="1"/>
  <c r="GR61" s="1"/>
  <c r="GT59"/>
  <c r="HA59"/>
  <c r="HA60" s="1"/>
  <c r="HA61" s="1"/>
  <c r="HA62" s="1"/>
  <c r="HA57"/>
  <c r="GV60" l="1"/>
  <c r="GX60" s="1"/>
  <c r="GV61" s="1"/>
  <c r="GX59"/>
  <c r="HU59"/>
  <c r="HU60" s="1"/>
  <c r="HU61" s="1"/>
  <c r="HU62" s="1"/>
  <c r="HU57"/>
  <c r="HA58"/>
  <c r="HB58" s="1"/>
  <c r="GZ59" s="1"/>
  <c r="HB57"/>
  <c r="IB34"/>
  <c r="HX39"/>
  <c r="HE61"/>
  <c r="HE62" s="1"/>
  <c r="HE59"/>
  <c r="GP62"/>
  <c r="GR62"/>
  <c r="GT61"/>
  <c r="HL34"/>
  <c r="HH39"/>
  <c r="HL39" l="1"/>
  <c r="HM61" s="1"/>
  <c r="HP34"/>
  <c r="HP39" s="1"/>
  <c r="HQ61" s="1"/>
  <c r="HY59"/>
  <c r="HY60" s="1"/>
  <c r="HY61" s="1"/>
  <c r="HY62" s="1"/>
  <c r="HY57"/>
  <c r="HU58"/>
  <c r="HV58" s="1"/>
  <c r="HT59" s="1"/>
  <c r="HV57"/>
  <c r="HI61"/>
  <c r="HI62" s="1"/>
  <c r="HI59"/>
  <c r="GT62"/>
  <c r="HB59"/>
  <c r="GZ60"/>
  <c r="HB60" s="1"/>
  <c r="GZ61" s="1"/>
  <c r="GV62"/>
  <c r="GX61"/>
  <c r="IB39"/>
  <c r="IF34"/>
  <c r="HE60"/>
  <c r="HF60" s="1"/>
  <c r="HD61" s="1"/>
  <c r="HF59"/>
  <c r="IF39" l="1"/>
  <c r="IJ34"/>
  <c r="GX62"/>
  <c r="HV59"/>
  <c r="HT60"/>
  <c r="HV60" s="1"/>
  <c r="HT61" s="1"/>
  <c r="HM62"/>
  <c r="HN62" s="1"/>
  <c r="HN61"/>
  <c r="IC57"/>
  <c r="IC59"/>
  <c r="IC60" s="1"/>
  <c r="IC61" s="1"/>
  <c r="IC62" s="1"/>
  <c r="GZ62"/>
  <c r="HB61"/>
  <c r="HI60"/>
  <c r="HJ60" s="1"/>
  <c r="HH61" s="1"/>
  <c r="HJ59"/>
  <c r="HY58"/>
  <c r="HZ58" s="1"/>
  <c r="HX59" s="1"/>
  <c r="HZ57"/>
  <c r="HD62"/>
  <c r="HF61"/>
  <c r="HQ62"/>
  <c r="HR62" s="1"/>
  <c r="HR61"/>
  <c r="HB62" l="1"/>
  <c r="IJ39"/>
  <c r="IN34"/>
  <c r="IC58"/>
  <c r="ID58" s="1"/>
  <c r="IB59" s="1"/>
  <c r="ID57"/>
  <c r="IG59"/>
  <c r="IG60" s="1"/>
  <c r="IG61" s="1"/>
  <c r="IG62" s="1"/>
  <c r="IG57"/>
  <c r="HZ59"/>
  <c r="HX60"/>
  <c r="HZ60" s="1"/>
  <c r="HX61" s="1"/>
  <c r="HT62"/>
  <c r="HV61"/>
  <c r="HF62"/>
  <c r="HH62"/>
  <c r="HJ61"/>
  <c r="HV62" l="1"/>
  <c r="IK59"/>
  <c r="IK60" s="1"/>
  <c r="IK61" s="1"/>
  <c r="IK62" s="1"/>
  <c r="IK57"/>
  <c r="HJ62"/>
  <c r="IG58"/>
  <c r="IH58" s="1"/>
  <c r="IF59" s="1"/>
  <c r="IH57"/>
  <c r="IR34"/>
  <c r="IN39"/>
  <c r="ID59"/>
  <c r="IB60"/>
  <c r="ID60" s="1"/>
  <c r="IB61" s="1"/>
  <c r="HX62"/>
  <c r="HZ61"/>
  <c r="HZ62" l="1"/>
  <c r="IR39"/>
  <c r="IV34"/>
  <c r="IF60"/>
  <c r="IH60" s="1"/>
  <c r="IF61" s="1"/>
  <c r="IH59"/>
  <c r="IB62"/>
  <c r="ID61"/>
  <c r="IK58"/>
  <c r="IL58" s="1"/>
  <c r="IJ59" s="1"/>
  <c r="IL57"/>
  <c r="IO59"/>
  <c r="IO60" s="1"/>
  <c r="IO61" s="1"/>
  <c r="IO62" s="1"/>
  <c r="IO57"/>
  <c r="IV39" l="1"/>
  <c r="IZ34"/>
  <c r="IO58"/>
  <c r="IP58" s="1"/>
  <c r="IN59" s="1"/>
  <c r="IP57"/>
  <c r="ID62"/>
  <c r="IS59"/>
  <c r="IS60" s="1"/>
  <c r="IS61" s="1"/>
  <c r="IS62" s="1"/>
  <c r="IS57"/>
  <c r="IF62"/>
  <c r="IH61"/>
  <c r="IJ60"/>
  <c r="IL60" s="1"/>
  <c r="IJ61" s="1"/>
  <c r="IL59"/>
  <c r="IW57" l="1"/>
  <c r="IW59"/>
  <c r="IW60" s="1"/>
  <c r="IW61" s="1"/>
  <c r="IW62" s="1"/>
  <c r="IZ39"/>
  <c r="JD34"/>
  <c r="IP59"/>
  <c r="IN60"/>
  <c r="IP60" s="1"/>
  <c r="IN61" s="1"/>
  <c r="IH62"/>
  <c r="IJ62"/>
  <c r="IL61"/>
  <c r="IS58"/>
  <c r="IT58" s="1"/>
  <c r="IR59" s="1"/>
  <c r="IT57"/>
  <c r="IL62" l="1"/>
  <c r="IN62"/>
  <c r="IP61"/>
  <c r="JA59"/>
  <c r="JA60" s="1"/>
  <c r="JA61" s="1"/>
  <c r="JA62" s="1"/>
  <c r="JA57"/>
  <c r="IW58"/>
  <c r="IX58" s="1"/>
  <c r="IV59" s="1"/>
  <c r="IX57"/>
  <c r="IT59"/>
  <c r="IR60"/>
  <c r="IT60" s="1"/>
  <c r="IR61" s="1"/>
  <c r="JH34"/>
  <c r="JD39"/>
  <c r="JH39" l="1"/>
  <c r="JL34"/>
  <c r="IV60"/>
  <c r="IX60" s="1"/>
  <c r="IV61" s="1"/>
  <c r="IX59"/>
  <c r="JE59"/>
  <c r="JE60" s="1"/>
  <c r="JE61" s="1"/>
  <c r="JE62" s="1"/>
  <c r="JE57"/>
  <c r="IR62"/>
  <c r="IT61"/>
  <c r="JA58"/>
  <c r="JB58" s="1"/>
  <c r="IZ59" s="1"/>
  <c r="JB57"/>
  <c r="IP62"/>
  <c r="JB59" l="1"/>
  <c r="IZ60"/>
  <c r="JB60" s="1"/>
  <c r="IZ61" s="1"/>
  <c r="JE58"/>
  <c r="JF58" s="1"/>
  <c r="JD59" s="1"/>
  <c r="JF57"/>
  <c r="JL39"/>
  <c r="JP34"/>
  <c r="KF34"/>
  <c r="IV62"/>
  <c r="IX61"/>
  <c r="JI57"/>
  <c r="JI59"/>
  <c r="JI60" s="1"/>
  <c r="JI61" s="1"/>
  <c r="JI62" s="1"/>
  <c r="IT62"/>
  <c r="JP39" l="1"/>
  <c r="JT34"/>
  <c r="JX34"/>
  <c r="JX39" s="1"/>
  <c r="JY61" s="1"/>
  <c r="IZ62"/>
  <c r="JB61"/>
  <c r="JI58"/>
  <c r="JJ58" s="1"/>
  <c r="JH59" s="1"/>
  <c r="JJ57"/>
  <c r="JF59"/>
  <c r="JD60"/>
  <c r="JF60" s="1"/>
  <c r="JD61" s="1"/>
  <c r="JM59"/>
  <c r="JM60" s="1"/>
  <c r="JM61" s="1"/>
  <c r="JM62" s="1"/>
  <c r="JM57"/>
  <c r="KF39"/>
  <c r="KJ34"/>
  <c r="IX62"/>
  <c r="KG59" l="1"/>
  <c r="KG60" s="1"/>
  <c r="KG61" s="1"/>
  <c r="KG62" s="1"/>
  <c r="KG57"/>
  <c r="KR34"/>
  <c r="KN34"/>
  <c r="KN39" s="1"/>
  <c r="KJ39"/>
  <c r="JD62"/>
  <c r="JF61"/>
  <c r="JT39"/>
  <c r="KB34"/>
  <c r="KB39" s="1"/>
  <c r="KC61" s="1"/>
  <c r="JJ59"/>
  <c r="JH60"/>
  <c r="JJ60" s="1"/>
  <c r="JH61" s="1"/>
  <c r="JY62"/>
  <c r="JZ62" s="1"/>
  <c r="JZ61"/>
  <c r="JQ61"/>
  <c r="JQ62" s="1"/>
  <c r="JQ59"/>
  <c r="JM58"/>
  <c r="JN58" s="1"/>
  <c r="JL59" s="1"/>
  <c r="JN57"/>
  <c r="JB62"/>
  <c r="KK57" l="1"/>
  <c r="KK59"/>
  <c r="KK60" s="1"/>
  <c r="KK61" s="1"/>
  <c r="KK62" s="1"/>
  <c r="KC62"/>
  <c r="KD62" s="1"/>
  <c r="KD61"/>
  <c r="KG58"/>
  <c r="KH58" s="1"/>
  <c r="KF59" s="1"/>
  <c r="KH57"/>
  <c r="KR39"/>
  <c r="LP34"/>
  <c r="LX34"/>
  <c r="LX39" s="1"/>
  <c r="LY61" s="1"/>
  <c r="KV34"/>
  <c r="JL60"/>
  <c r="JN60" s="1"/>
  <c r="JL61" s="1"/>
  <c r="JN59"/>
  <c r="JU61"/>
  <c r="JU62" s="1"/>
  <c r="JU59"/>
  <c r="JF62"/>
  <c r="JQ60"/>
  <c r="JR60" s="1"/>
  <c r="JP61" s="1"/>
  <c r="JR59"/>
  <c r="JH62"/>
  <c r="JJ61"/>
  <c r="KO61"/>
  <c r="KO62" s="1"/>
  <c r="KO59"/>
  <c r="LY62" l="1"/>
  <c r="LZ62" s="1"/>
  <c r="LZ61"/>
  <c r="KK58"/>
  <c r="KL58" s="1"/>
  <c r="KJ59" s="1"/>
  <c r="KL57"/>
  <c r="KV39"/>
  <c r="KZ34"/>
  <c r="LT34"/>
  <c r="MB34"/>
  <c r="KO60"/>
  <c r="KP60" s="1"/>
  <c r="KN61" s="1"/>
  <c r="KP59"/>
  <c r="JJ62"/>
  <c r="JL62"/>
  <c r="JN61"/>
  <c r="KS59"/>
  <c r="KS60" s="1"/>
  <c r="KS61" s="1"/>
  <c r="KS62" s="1"/>
  <c r="KS57"/>
  <c r="JP62"/>
  <c r="JR61"/>
  <c r="KH59"/>
  <c r="KF60"/>
  <c r="KH60" s="1"/>
  <c r="KF61" s="1"/>
  <c r="JU60"/>
  <c r="JV60" s="1"/>
  <c r="JT61" s="1"/>
  <c r="JV59"/>
  <c r="ND34"/>
  <c r="ND39" s="1"/>
  <c r="NE61" s="1"/>
  <c r="LP39"/>
  <c r="MR34"/>
  <c r="MR39" s="1"/>
  <c r="MS61" s="1"/>
  <c r="NE62" l="1"/>
  <c r="NF62" s="1"/>
  <c r="NF61"/>
  <c r="KS58"/>
  <c r="KT58" s="1"/>
  <c r="KR59" s="1"/>
  <c r="KT57"/>
  <c r="KN62"/>
  <c r="KP61"/>
  <c r="KW61"/>
  <c r="KW62" s="1"/>
  <c r="KW59"/>
  <c r="LQ57"/>
  <c r="LQ59"/>
  <c r="LQ60" s="1"/>
  <c r="LQ61" s="1"/>
  <c r="LQ62" s="1"/>
  <c r="JR62"/>
  <c r="MS62"/>
  <c r="MT62" s="1"/>
  <c r="MT61"/>
  <c r="JT62"/>
  <c r="JV61"/>
  <c r="LT39"/>
  <c r="MV34"/>
  <c r="MV39" s="1"/>
  <c r="MW61" s="1"/>
  <c r="KJ60"/>
  <c r="KL60" s="1"/>
  <c r="KJ61" s="1"/>
  <c r="KL59"/>
  <c r="JN62"/>
  <c r="KF62"/>
  <c r="KH61"/>
  <c r="MF34"/>
  <c r="LD34"/>
  <c r="KZ39"/>
  <c r="MF39" l="1"/>
  <c r="MG61" s="1"/>
  <c r="MZ34"/>
  <c r="MZ39" s="1"/>
  <c r="KJ62"/>
  <c r="KL61"/>
  <c r="LU61"/>
  <c r="LU62" s="1"/>
  <c r="LU59"/>
  <c r="KT59"/>
  <c r="KR60"/>
  <c r="KT60" s="1"/>
  <c r="KR61" s="1"/>
  <c r="MW62"/>
  <c r="MX62" s="1"/>
  <c r="MX61"/>
  <c r="JV62"/>
  <c r="MJ34"/>
  <c r="MJ39" s="1"/>
  <c r="MK61" s="1"/>
  <c r="LD39"/>
  <c r="LH34"/>
  <c r="LH39" s="1"/>
  <c r="LL34"/>
  <c r="KH62"/>
  <c r="KW60"/>
  <c r="KX60" s="1"/>
  <c r="KV61" s="1"/>
  <c r="KX59"/>
  <c r="KP62"/>
  <c r="LA61"/>
  <c r="LA62" s="1"/>
  <c r="LA59"/>
  <c r="LQ58"/>
  <c r="LR58" s="1"/>
  <c r="LP59" s="1"/>
  <c r="LR57"/>
  <c r="LE61" l="1"/>
  <c r="LE62" s="1"/>
  <c r="LE59"/>
  <c r="KR62"/>
  <c r="KT61"/>
  <c r="LI61"/>
  <c r="LI62" s="1"/>
  <c r="LI59"/>
  <c r="LL39"/>
  <c r="MN34"/>
  <c r="MN39" s="1"/>
  <c r="MO61" s="1"/>
  <c r="LU60"/>
  <c r="LV60" s="1"/>
  <c r="LT61" s="1"/>
  <c r="LV59"/>
  <c r="KL62"/>
  <c r="MG62"/>
  <c r="MH62" s="1"/>
  <c r="MH61"/>
  <c r="KV62"/>
  <c r="KX61"/>
  <c r="NA61"/>
  <c r="NA62" s="1"/>
  <c r="NA59"/>
  <c r="LA60"/>
  <c r="LB60" s="1"/>
  <c r="KZ61" s="1"/>
  <c r="LB59"/>
  <c r="LP60"/>
  <c r="LR60" s="1"/>
  <c r="LP61" s="1"/>
  <c r="LR59"/>
  <c r="MK62"/>
  <c r="ML62" s="1"/>
  <c r="ML61"/>
  <c r="LI60" l="1"/>
  <c r="LJ60" s="1"/>
  <c r="LH61" s="1"/>
  <c r="LJ59"/>
  <c r="LP62"/>
  <c r="LR61"/>
  <c r="NA60"/>
  <c r="NB60" s="1"/>
  <c r="MZ61" s="1"/>
  <c r="NB59"/>
  <c r="KX62"/>
  <c r="MO62"/>
  <c r="MP62" s="1"/>
  <c r="MP61"/>
  <c r="KT62"/>
  <c r="LM61"/>
  <c r="LM62" s="1"/>
  <c r="LM59"/>
  <c r="LE60"/>
  <c r="LF60" s="1"/>
  <c r="LD61" s="1"/>
  <c r="LF59"/>
  <c r="KZ62"/>
  <c r="LB61"/>
  <c r="LT62"/>
  <c r="LV61"/>
  <c r="LB62" l="1"/>
  <c r="LR62"/>
  <c r="LM60"/>
  <c r="LN60" s="1"/>
  <c r="LL61" s="1"/>
  <c r="LN59"/>
  <c r="LD62"/>
  <c r="LF61"/>
  <c r="LH62"/>
  <c r="LJ61"/>
  <c r="LV62"/>
  <c r="MZ62"/>
  <c r="NB61"/>
  <c r="LL62" l="1"/>
  <c r="LN61"/>
  <c r="NB62"/>
  <c r="LF62"/>
  <c r="LJ62"/>
  <c r="LN62" l="1"/>
  <c r="E310" i="2" l="1"/>
  <c r="F13" i="21" l="1"/>
  <c r="E13"/>
  <c r="G12"/>
  <c r="F12"/>
  <c r="F11"/>
  <c r="H464" i="2" l="1"/>
  <c r="E464" s="1"/>
  <c r="E38" l="1"/>
  <c r="I23" i="29" l="1"/>
  <c r="E25"/>
  <c r="H25" s="1"/>
  <c r="G25"/>
  <c r="E26"/>
  <c r="H26" s="1"/>
  <c r="G26"/>
  <c r="E27"/>
  <c r="H27" s="1"/>
  <c r="G27"/>
  <c r="E28"/>
  <c r="H28" s="1"/>
  <c r="G28"/>
  <c r="E29"/>
  <c r="H29" s="1"/>
  <c r="G29"/>
  <c r="E30"/>
  <c r="H30" s="1"/>
  <c r="G30"/>
  <c r="E31"/>
  <c r="H31" s="1"/>
  <c r="G31"/>
  <c r="E32"/>
  <c r="H32" s="1"/>
  <c r="G32"/>
  <c r="E33"/>
  <c r="H33" s="1"/>
  <c r="G33"/>
  <c r="E34"/>
  <c r="H34" s="1"/>
  <c r="G34"/>
  <c r="E35"/>
  <c r="H35" s="1"/>
  <c r="G35"/>
  <c r="E36"/>
  <c r="H36" s="1"/>
  <c r="G36"/>
  <c r="J38"/>
  <c r="J40" s="1"/>
  <c r="J39"/>
  <c r="J43"/>
  <c r="I81"/>
  <c r="I83" s="1"/>
  <c r="I84" s="1"/>
  <c r="I85" s="1"/>
  <c r="I86" s="1"/>
  <c r="E83"/>
  <c r="G83"/>
  <c r="H83"/>
  <c r="E84"/>
  <c r="G84"/>
  <c r="H84"/>
  <c r="E85"/>
  <c r="G85"/>
  <c r="H85"/>
  <c r="E86"/>
  <c r="G86"/>
  <c r="H86"/>
  <c r="E87"/>
  <c r="G87"/>
  <c r="H87"/>
  <c r="E88"/>
  <c r="G88"/>
  <c r="H88"/>
  <c r="E89"/>
  <c r="G89"/>
  <c r="H89"/>
  <c r="E90"/>
  <c r="G90"/>
  <c r="H90"/>
  <c r="E91"/>
  <c r="G91"/>
  <c r="H91"/>
  <c r="E92"/>
  <c r="G92"/>
  <c r="H92"/>
  <c r="E93"/>
  <c r="G93"/>
  <c r="H93"/>
  <c r="E94"/>
  <c r="G94"/>
  <c r="H94"/>
  <c r="J96"/>
  <c r="J97"/>
  <c r="J98"/>
  <c r="J101"/>
  <c r="I135"/>
  <c r="E137"/>
  <c r="G137"/>
  <c r="H137"/>
  <c r="I137" s="1"/>
  <c r="I138" s="1"/>
  <c r="I139" s="1"/>
  <c r="I140" s="1"/>
  <c r="E138"/>
  <c r="G138"/>
  <c r="H138"/>
  <c r="E139"/>
  <c r="G139"/>
  <c r="H139"/>
  <c r="E140"/>
  <c r="G140"/>
  <c r="H140"/>
  <c r="E141"/>
  <c r="G141"/>
  <c r="H141"/>
  <c r="E142"/>
  <c r="G142"/>
  <c r="H142"/>
  <c r="E143"/>
  <c r="G143"/>
  <c r="H143"/>
  <c r="E144"/>
  <c r="G144"/>
  <c r="H144"/>
  <c r="E145"/>
  <c r="G145"/>
  <c r="H145"/>
  <c r="E146"/>
  <c r="G146"/>
  <c r="H146"/>
  <c r="E147"/>
  <c r="G147"/>
  <c r="H147"/>
  <c r="E148"/>
  <c r="G148"/>
  <c r="H148"/>
  <c r="J150"/>
  <c r="J151"/>
  <c r="J152"/>
  <c r="J155"/>
  <c r="I175"/>
  <c r="E177"/>
  <c r="G177"/>
  <c r="H177"/>
  <c r="I177" s="1"/>
  <c r="I178" s="1"/>
  <c r="I179" s="1"/>
  <c r="I180" s="1"/>
  <c r="E178"/>
  <c r="G178"/>
  <c r="H178"/>
  <c r="E179"/>
  <c r="G179"/>
  <c r="H179"/>
  <c r="E180"/>
  <c r="G180"/>
  <c r="H180"/>
  <c r="E181"/>
  <c r="G181"/>
  <c r="H181"/>
  <c r="E182"/>
  <c r="G182"/>
  <c r="H182"/>
  <c r="E183"/>
  <c r="G183"/>
  <c r="H183"/>
  <c r="E184"/>
  <c r="G184"/>
  <c r="H184"/>
  <c r="E185"/>
  <c r="G185"/>
  <c r="H185"/>
  <c r="E186"/>
  <c r="G186"/>
  <c r="H186"/>
  <c r="E187"/>
  <c r="G187"/>
  <c r="H187"/>
  <c r="E188"/>
  <c r="G188"/>
  <c r="H188"/>
  <c r="J190"/>
  <c r="J191"/>
  <c r="J192"/>
  <c r="J195"/>
  <c r="I181" l="1"/>
  <c r="I182" s="1"/>
  <c r="I183" s="1"/>
  <c r="I184" s="1"/>
  <c r="I185" s="1"/>
  <c r="I186" s="1"/>
  <c r="I187" s="1"/>
  <c r="I188" s="1"/>
  <c r="J194"/>
  <c r="J196" s="1"/>
  <c r="J198" s="1"/>
  <c r="I141"/>
  <c r="I142" s="1"/>
  <c r="I143" s="1"/>
  <c r="I144" s="1"/>
  <c r="I145" s="1"/>
  <c r="I146" s="1"/>
  <c r="I147" s="1"/>
  <c r="I148" s="1"/>
  <c r="I87"/>
  <c r="I88" s="1"/>
  <c r="I89" s="1"/>
  <c r="I90" s="1"/>
  <c r="I91" s="1"/>
  <c r="I92" s="1"/>
  <c r="I93" s="1"/>
  <c r="I94" s="1"/>
  <c r="J100"/>
  <c r="J102" s="1"/>
  <c r="J104" s="1"/>
  <c r="I25"/>
  <c r="I26" s="1"/>
  <c r="I27" s="1"/>
  <c r="I28" s="1"/>
  <c r="I29" l="1"/>
  <c r="I30" s="1"/>
  <c r="I31" s="1"/>
  <c r="I32" s="1"/>
  <c r="I33" s="1"/>
  <c r="I34" s="1"/>
  <c r="I35" s="1"/>
  <c r="I36" s="1"/>
  <c r="J154"/>
  <c r="J156" s="1"/>
  <c r="J158" s="1"/>
  <c r="J42" l="1"/>
  <c r="J44" s="1"/>
  <c r="J46" s="1"/>
  <c r="J50" s="1"/>
  <c r="F811" i="2" l="1"/>
  <c r="G811"/>
  <c r="H811"/>
  <c r="E811"/>
  <c r="F808" i="21"/>
  <c r="G808"/>
  <c r="H808"/>
  <c r="E808"/>
  <c r="F311" i="2"/>
  <c r="G311"/>
  <c r="H311"/>
  <c r="E311"/>
  <c r="S161" i="7" l="1"/>
  <c r="T57" l="1"/>
  <c r="D155" i="21"/>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66"/>
  <c r="D567"/>
  <c r="D568"/>
  <c r="D569"/>
  <c r="D570"/>
  <c r="D571"/>
  <c r="D572"/>
  <c r="D573"/>
  <c r="D574"/>
  <c r="D575"/>
  <c r="D576"/>
  <c r="D577"/>
  <c r="D578"/>
  <c r="D579"/>
  <c r="D580"/>
  <c r="D581"/>
  <c r="D582"/>
  <c r="D583"/>
  <c r="D584"/>
  <c r="D585"/>
  <c r="D586"/>
  <c r="D587"/>
  <c r="D588"/>
  <c r="D589"/>
  <c r="D590"/>
  <c r="D591"/>
  <c r="D592"/>
  <c r="D593"/>
  <c r="D594"/>
  <c r="D595"/>
  <c r="D596"/>
  <c r="D597"/>
  <c r="D598"/>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D636"/>
  <c r="D637"/>
  <c r="D638"/>
  <c r="D639"/>
  <c r="D640"/>
  <c r="D641"/>
  <c r="D642"/>
  <c r="D643"/>
  <c r="D644"/>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D682"/>
  <c r="D683"/>
  <c r="D684"/>
  <c r="D685"/>
  <c r="D686"/>
  <c r="D687"/>
  <c r="D688"/>
  <c r="D689"/>
  <c r="D690"/>
  <c r="D691"/>
  <c r="D692"/>
  <c r="D693"/>
  <c r="D694"/>
  <c r="D695"/>
  <c r="D696"/>
  <c r="D697"/>
  <c r="D698"/>
  <c r="D699"/>
  <c r="D700"/>
  <c r="D701"/>
  <c r="D702"/>
  <c r="D703"/>
  <c r="D704"/>
  <c r="D705"/>
  <c r="D706"/>
  <c r="D707"/>
  <c r="D708"/>
  <c r="D709"/>
  <c r="D710"/>
  <c r="D711"/>
  <c r="D712"/>
  <c r="D713"/>
  <c r="D714"/>
  <c r="D715"/>
  <c r="D716"/>
  <c r="D717"/>
  <c r="D718"/>
  <c r="D719"/>
  <c r="D720"/>
  <c r="D721"/>
  <c r="D722"/>
  <c r="D723"/>
  <c r="D724"/>
  <c r="D725"/>
  <c r="D726"/>
  <c r="D727"/>
  <c r="D728"/>
  <c r="D729"/>
  <c r="D730"/>
  <c r="D731"/>
  <c r="D732"/>
  <c r="D733"/>
  <c r="D734"/>
  <c r="D735"/>
  <c r="D736"/>
  <c r="D737"/>
  <c r="D738"/>
  <c r="D739"/>
  <c r="D740"/>
  <c r="D741"/>
  <c r="D742"/>
  <c r="D743"/>
  <c r="D744"/>
  <c r="D745"/>
  <c r="D746"/>
  <c r="D747"/>
  <c r="D748"/>
  <c r="D749"/>
  <c r="D750"/>
  <c r="D751"/>
  <c r="D752"/>
  <c r="D753"/>
  <c r="D754"/>
  <c r="D755"/>
  <c r="D756"/>
  <c r="D757"/>
  <c r="D758"/>
  <c r="D759"/>
  <c r="D760"/>
  <c r="D761"/>
  <c r="D762"/>
  <c r="D763"/>
  <c r="D764"/>
  <c r="D765"/>
  <c r="D766"/>
  <c r="D767"/>
  <c r="D768"/>
  <c r="D769"/>
  <c r="D770"/>
  <c r="D771"/>
  <c r="D772"/>
  <c r="D773"/>
  <c r="D774"/>
  <c r="D775"/>
  <c r="D776"/>
  <c r="D777"/>
  <c r="D778"/>
  <c r="D779"/>
  <c r="D780"/>
  <c r="D781"/>
  <c r="D782"/>
  <c r="D783"/>
  <c r="D784"/>
  <c r="D785"/>
  <c r="D786"/>
  <c r="D787"/>
  <c r="D788"/>
  <c r="D789"/>
  <c r="D790"/>
  <c r="D791"/>
  <c r="D792"/>
  <c r="D793"/>
  <c r="D794"/>
  <c r="D795"/>
  <c r="D796"/>
  <c r="D797"/>
  <c r="D798"/>
  <c r="D799"/>
  <c r="D800"/>
  <c r="D801"/>
  <c r="D802"/>
  <c r="D803"/>
  <c r="D804"/>
  <c r="D805"/>
  <c r="D519"/>
  <c r="D326"/>
  <c r="D327"/>
  <c r="D328"/>
  <c r="D330"/>
  <c r="D331"/>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3"/>
  <c r="D444"/>
  <c r="D445"/>
  <c r="D446"/>
  <c r="D447"/>
  <c r="D448"/>
  <c r="D449"/>
  <c r="D450"/>
  <c r="D451"/>
  <c r="D452"/>
  <c r="D453"/>
  <c r="D454"/>
  <c r="D455"/>
  <c r="D456"/>
  <c r="D457"/>
  <c r="D458"/>
  <c r="D459"/>
  <c r="D460"/>
  <c r="D461"/>
  <c r="D462"/>
  <c r="D463"/>
  <c r="D464"/>
  <c r="D465"/>
  <c r="D466"/>
  <c r="D468"/>
  <c r="D469"/>
  <c r="D470"/>
  <c r="D471"/>
  <c r="D472"/>
  <c r="D473"/>
  <c r="D474"/>
  <c r="D475"/>
  <c r="D476"/>
  <c r="D477"/>
  <c r="D478"/>
  <c r="D479"/>
  <c r="D480"/>
  <c r="D481"/>
  <c r="D482"/>
  <c r="D483"/>
  <c r="D484"/>
  <c r="D485"/>
  <c r="D486"/>
  <c r="D487"/>
  <c r="D325"/>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2"/>
  <c r="D806" l="1"/>
  <c r="E806"/>
  <c r="F806"/>
  <c r="G806"/>
  <c r="H806"/>
  <c r="E807"/>
  <c r="F807"/>
  <c r="G807"/>
  <c r="H807"/>
  <c r="D808"/>
  <c r="B816"/>
  <c r="H156" i="28"/>
  <c r="G156"/>
  <c r="E156"/>
  <c r="B156"/>
  <c r="H155"/>
  <c r="G155"/>
  <c r="E155"/>
  <c r="B155"/>
  <c r="G154"/>
  <c r="E154"/>
  <c r="H154" s="1"/>
  <c r="B154"/>
  <c r="G153"/>
  <c r="E153"/>
  <c r="H153" s="1"/>
  <c r="B153"/>
  <c r="H152"/>
  <c r="G152"/>
  <c r="E152"/>
  <c r="B152"/>
  <c r="H151"/>
  <c r="G151"/>
  <c r="E151"/>
  <c r="B151"/>
  <c r="G150"/>
  <c r="E150"/>
  <c r="H150" s="1"/>
  <c r="B150"/>
  <c r="G149"/>
  <c r="E149"/>
  <c r="H149" s="1"/>
  <c r="B149"/>
  <c r="H148"/>
  <c r="G148"/>
  <c r="E148"/>
  <c r="B148"/>
  <c r="H147"/>
  <c r="G147"/>
  <c r="E147"/>
  <c r="B147"/>
  <c r="G146"/>
  <c r="E146"/>
  <c r="H146" s="1"/>
  <c r="B146"/>
  <c r="G145"/>
  <c r="H145" s="1"/>
  <c r="F145"/>
  <c r="E145"/>
  <c r="B145"/>
  <c r="I143"/>
  <c r="B143"/>
  <c r="A130"/>
  <c r="H124"/>
  <c r="G124"/>
  <c r="E124"/>
  <c r="B124"/>
  <c r="G123"/>
  <c r="E123"/>
  <c r="H123" s="1"/>
  <c r="B123"/>
  <c r="G122"/>
  <c r="E122"/>
  <c r="H122" s="1"/>
  <c r="B122"/>
  <c r="H121"/>
  <c r="G121"/>
  <c r="E121"/>
  <c r="B121"/>
  <c r="H120"/>
  <c r="G120"/>
  <c r="E120"/>
  <c r="B120"/>
  <c r="G119"/>
  <c r="E119"/>
  <c r="H119" s="1"/>
  <c r="B119"/>
  <c r="G118"/>
  <c r="E118"/>
  <c r="H118" s="1"/>
  <c r="B118"/>
  <c r="H117"/>
  <c r="G117"/>
  <c r="E117"/>
  <c r="B117"/>
  <c r="H116"/>
  <c r="G116"/>
  <c r="E116"/>
  <c r="B116"/>
  <c r="G115"/>
  <c r="E115"/>
  <c r="H115" s="1"/>
  <c r="B115"/>
  <c r="G114"/>
  <c r="E114"/>
  <c r="H114" s="1"/>
  <c r="B114"/>
  <c r="H113"/>
  <c r="G113"/>
  <c r="F113"/>
  <c r="E113"/>
  <c r="B113"/>
  <c r="I111"/>
  <c r="B111"/>
  <c r="A98"/>
  <c r="G82"/>
  <c r="E82"/>
  <c r="H82" s="1"/>
  <c r="B82"/>
  <c r="G81"/>
  <c r="E81"/>
  <c r="H81" s="1"/>
  <c r="B81"/>
  <c r="H80"/>
  <c r="G80"/>
  <c r="E80"/>
  <c r="B80"/>
  <c r="H79"/>
  <c r="G79"/>
  <c r="E79"/>
  <c r="B79"/>
  <c r="G78"/>
  <c r="E78"/>
  <c r="H78" s="1"/>
  <c r="B78"/>
  <c r="G77"/>
  <c r="E77"/>
  <c r="H77" s="1"/>
  <c r="B77"/>
  <c r="H76"/>
  <c r="G76"/>
  <c r="E76"/>
  <c r="B76"/>
  <c r="H75"/>
  <c r="G75"/>
  <c r="E75"/>
  <c r="B75"/>
  <c r="G74"/>
  <c r="E74"/>
  <c r="H74" s="1"/>
  <c r="B74"/>
  <c r="G73"/>
  <c r="E73"/>
  <c r="H73" s="1"/>
  <c r="B73"/>
  <c r="H72"/>
  <c r="G72"/>
  <c r="E72"/>
  <c r="B72"/>
  <c r="F71"/>
  <c r="G71" s="1"/>
  <c r="E71"/>
  <c r="B71"/>
  <c r="I69"/>
  <c r="B69"/>
  <c r="A58"/>
  <c r="H37"/>
  <c r="G37"/>
  <c r="E37"/>
  <c r="B37"/>
  <c r="H36"/>
  <c r="G36"/>
  <c r="E36"/>
  <c r="B36"/>
  <c r="G35"/>
  <c r="E35"/>
  <c r="H35" s="1"/>
  <c r="B35"/>
  <c r="G34"/>
  <c r="E34"/>
  <c r="H34" s="1"/>
  <c r="B34"/>
  <c r="H33"/>
  <c r="G33"/>
  <c r="E33"/>
  <c r="B33"/>
  <c r="H32"/>
  <c r="G32"/>
  <c r="E32"/>
  <c r="B32"/>
  <c r="G31"/>
  <c r="E31"/>
  <c r="H31" s="1"/>
  <c r="B31"/>
  <c r="G30"/>
  <c r="E30"/>
  <c r="H30" s="1"/>
  <c r="B30"/>
  <c r="H29"/>
  <c r="G29"/>
  <c r="E29"/>
  <c r="B29"/>
  <c r="H28"/>
  <c r="G28"/>
  <c r="E28"/>
  <c r="B28"/>
  <c r="G27"/>
  <c r="E27"/>
  <c r="H27" s="1"/>
  <c r="B27"/>
  <c r="G26"/>
  <c r="H26" s="1"/>
  <c r="F26"/>
  <c r="E26"/>
  <c r="I24"/>
  <c r="I17"/>
  <c r="H809" i="21" l="1"/>
  <c r="E809"/>
  <c r="D807"/>
  <c r="D809" s="1"/>
  <c r="G809"/>
  <c r="F809"/>
  <c r="J126" i="28"/>
  <c r="H71"/>
  <c r="I71" s="1"/>
  <c r="J158"/>
  <c r="I26"/>
  <c r="I27" s="1"/>
  <c r="I28" s="1"/>
  <c r="I29" s="1"/>
  <c r="I30" s="1"/>
  <c r="I31" s="1"/>
  <c r="I32" s="1"/>
  <c r="I33" s="1"/>
  <c r="I34" s="1"/>
  <c r="I35" s="1"/>
  <c r="I36" s="1"/>
  <c r="I37" s="1"/>
  <c r="I145"/>
  <c r="I146" s="1"/>
  <c r="I147" s="1"/>
  <c r="I148" s="1"/>
  <c r="I149" s="1"/>
  <c r="I150" s="1"/>
  <c r="I151" s="1"/>
  <c r="I152" s="1"/>
  <c r="I153" s="1"/>
  <c r="I154" s="1"/>
  <c r="I155" s="1"/>
  <c r="I156" s="1"/>
  <c r="I113"/>
  <c r="I114" s="1"/>
  <c r="I115" s="1"/>
  <c r="I116" s="1"/>
  <c r="I117" s="1"/>
  <c r="I118" s="1"/>
  <c r="I119" s="1"/>
  <c r="I120" s="1"/>
  <c r="I121" s="1"/>
  <c r="I122" s="1"/>
  <c r="I123" s="1"/>
  <c r="I124" s="1"/>
  <c r="I72" l="1"/>
  <c r="I73" s="1"/>
  <c r="I74" s="1"/>
  <c r="I75" s="1"/>
  <c r="I76" s="1"/>
  <c r="I77" s="1"/>
  <c r="I78" s="1"/>
  <c r="I79" s="1"/>
  <c r="I80" s="1"/>
  <c r="I81" s="1"/>
  <c r="I82" s="1"/>
  <c r="J37"/>
  <c r="J84" l="1"/>
  <c r="D304" i="21" l="1"/>
  <c r="E304"/>
  <c r="F304"/>
  <c r="G304"/>
  <c r="H304"/>
  <c r="E305"/>
  <c r="F305"/>
  <c r="G305"/>
  <c r="H305"/>
  <c r="E306"/>
  <c r="F306"/>
  <c r="G306"/>
  <c r="H306"/>
  <c r="G488"/>
  <c r="H488"/>
  <c r="E489"/>
  <c r="F489"/>
  <c r="G489"/>
  <c r="H489"/>
  <c r="D490"/>
  <c r="E12"/>
  <c r="D807" i="2"/>
  <c r="D806"/>
  <c r="D774"/>
  <c r="D743"/>
  <c r="D708"/>
  <c r="D691"/>
  <c r="D688"/>
  <c r="D661"/>
  <c r="D576"/>
  <c r="D577"/>
  <c r="D578"/>
  <c r="D579"/>
  <c r="D580"/>
  <c r="D581"/>
  <c r="D582"/>
  <c r="D583"/>
  <c r="D584"/>
  <c r="D585"/>
  <c r="D586"/>
  <c r="D587"/>
  <c r="D588"/>
  <c r="D589"/>
  <c r="D590"/>
  <c r="D591"/>
  <c r="D592"/>
  <c r="D593"/>
  <c r="D594"/>
  <c r="D337"/>
  <c r="D485"/>
  <c r="D461"/>
  <c r="D462"/>
  <c r="D463"/>
  <c r="D464"/>
  <c r="D465"/>
  <c r="D466"/>
  <c r="D467"/>
  <c r="D468"/>
  <c r="D469"/>
  <c r="D471"/>
  <c r="D472"/>
  <c r="D473"/>
  <c r="D448"/>
  <c r="D374"/>
  <c r="D375"/>
  <c r="D376"/>
  <c r="D377"/>
  <c r="D378"/>
  <c r="D379"/>
  <c r="D380"/>
  <c r="D381"/>
  <c r="D382"/>
  <c r="D383"/>
  <c r="D384"/>
  <c r="D385"/>
  <c r="D386"/>
  <c r="D387"/>
  <c r="D388"/>
  <c r="D389"/>
  <c r="D390"/>
  <c r="D391"/>
  <c r="D372"/>
  <c r="D306"/>
  <c r="D301"/>
  <c r="D64"/>
  <c r="D65"/>
  <c r="D273"/>
  <c r="D274"/>
  <c r="D275"/>
  <c r="D276"/>
  <c r="D277"/>
  <c r="D278"/>
  <c r="D248"/>
  <c r="D234"/>
  <c r="D218"/>
  <c r="D176"/>
  <c r="D146"/>
  <c r="D136"/>
  <c r="D94"/>
  <c r="D95"/>
  <c r="D56"/>
  <c r="D57"/>
  <c r="D58"/>
  <c r="D59"/>
  <c r="D60"/>
  <c r="G491" i="21" l="1"/>
  <c r="E307"/>
  <c r="D489"/>
  <c r="F307"/>
  <c r="D305"/>
  <c r="H307"/>
  <c r="G13" s="1"/>
  <c r="H491"/>
  <c r="G11" s="1"/>
  <c r="G307"/>
  <c r="D306"/>
  <c r="F14" l="1"/>
  <c r="G14"/>
  <c r="D307"/>
  <c r="H182" i="1" l="1"/>
  <c r="H184"/>
  <c r="H188"/>
  <c r="H189"/>
  <c r="H272" l="1"/>
  <c r="H309" i="2" l="1"/>
  <c r="H11" i="1"/>
  <c r="H12"/>
  <c r="H15"/>
  <c r="T18" i="7"/>
  <c r="H47" i="1" s="1"/>
  <c r="T19" i="7"/>
  <c r="H48" i="1" s="1"/>
  <c r="H53"/>
  <c r="D454" i="2"/>
  <c r="S188" i="7"/>
  <c r="H175" i="1" s="1"/>
  <c r="U80" i="7"/>
  <c r="C16" i="5"/>
  <c r="C13"/>
  <c r="E8" i="6"/>
  <c r="E21" s="1"/>
  <c r="F310" i="2"/>
  <c r="G310"/>
  <c r="H310"/>
  <c r="D770"/>
  <c r="D771"/>
  <c r="D772"/>
  <c r="D773"/>
  <c r="D775"/>
  <c r="D776"/>
  <c r="D777"/>
  <c r="D778"/>
  <c r="D779"/>
  <c r="D780"/>
  <c r="D781"/>
  <c r="D782"/>
  <c r="D783"/>
  <c r="D784"/>
  <c r="D785"/>
  <c r="D786"/>
  <c r="D787"/>
  <c r="D788"/>
  <c r="D789"/>
  <c r="D790"/>
  <c r="D791"/>
  <c r="D792"/>
  <c r="D793"/>
  <c r="D794"/>
  <c r="D795"/>
  <c r="D796"/>
  <c r="D797"/>
  <c r="D798"/>
  <c r="D799"/>
  <c r="D800"/>
  <c r="D801"/>
  <c r="D802"/>
  <c r="D803"/>
  <c r="D804"/>
  <c r="D805"/>
  <c r="D768"/>
  <c r="H809"/>
  <c r="F809"/>
  <c r="G809"/>
  <c r="D524"/>
  <c r="D525"/>
  <c r="D526"/>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74"/>
  <c r="D575"/>
  <c r="D595"/>
  <c r="D596"/>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D636"/>
  <c r="D637"/>
  <c r="D638"/>
  <c r="D639"/>
  <c r="D640"/>
  <c r="D641"/>
  <c r="D642"/>
  <c r="D643"/>
  <c r="D644"/>
  <c r="D645"/>
  <c r="D646"/>
  <c r="D647"/>
  <c r="D648"/>
  <c r="D649"/>
  <c r="D650"/>
  <c r="D651"/>
  <c r="D652"/>
  <c r="D653"/>
  <c r="D655"/>
  <c r="D656"/>
  <c r="D657"/>
  <c r="D658"/>
  <c r="D659"/>
  <c r="D660"/>
  <c r="D662"/>
  <c r="D663"/>
  <c r="D664"/>
  <c r="D666"/>
  <c r="D667"/>
  <c r="D668"/>
  <c r="D669"/>
  <c r="D670"/>
  <c r="D671"/>
  <c r="D672"/>
  <c r="D673"/>
  <c r="D674"/>
  <c r="D675"/>
  <c r="D676"/>
  <c r="D677"/>
  <c r="D678"/>
  <c r="D679"/>
  <c r="D680"/>
  <c r="D681"/>
  <c r="D682"/>
  <c r="D683"/>
  <c r="D684"/>
  <c r="D685"/>
  <c r="D686"/>
  <c r="D687"/>
  <c r="D689"/>
  <c r="D690"/>
  <c r="D692"/>
  <c r="D693"/>
  <c r="D694"/>
  <c r="D695"/>
  <c r="D696"/>
  <c r="D697"/>
  <c r="D698"/>
  <c r="D699"/>
  <c r="D700"/>
  <c r="D701"/>
  <c r="D702"/>
  <c r="D703"/>
  <c r="D704"/>
  <c r="D705"/>
  <c r="D706"/>
  <c r="D707"/>
  <c r="D709"/>
  <c r="D710"/>
  <c r="D711"/>
  <c r="D712"/>
  <c r="D713"/>
  <c r="D714"/>
  <c r="D715"/>
  <c r="D716"/>
  <c r="D717"/>
  <c r="D718"/>
  <c r="D719"/>
  <c r="D720"/>
  <c r="D721"/>
  <c r="D722"/>
  <c r="D723"/>
  <c r="D724"/>
  <c r="D725"/>
  <c r="D726"/>
  <c r="D727"/>
  <c r="D728"/>
  <c r="D729"/>
  <c r="D730"/>
  <c r="D731"/>
  <c r="D732"/>
  <c r="D733"/>
  <c r="D734"/>
  <c r="D735"/>
  <c r="D736"/>
  <c r="D737"/>
  <c r="D738"/>
  <c r="D739"/>
  <c r="D740"/>
  <c r="D741"/>
  <c r="D742"/>
  <c r="D744"/>
  <c r="D745"/>
  <c r="D746"/>
  <c r="D747"/>
  <c r="D748"/>
  <c r="D749"/>
  <c r="D750"/>
  <c r="D751"/>
  <c r="D752"/>
  <c r="D753"/>
  <c r="D754"/>
  <c r="D755"/>
  <c r="D756"/>
  <c r="D757"/>
  <c r="D758"/>
  <c r="D759"/>
  <c r="D760"/>
  <c r="D761"/>
  <c r="D762"/>
  <c r="D763"/>
  <c r="D764"/>
  <c r="D766"/>
  <c r="D767"/>
  <c r="D769"/>
  <c r="D569"/>
  <c r="D665"/>
  <c r="D654"/>
  <c r="D573"/>
  <c r="D572"/>
  <c r="D571"/>
  <c r="D570"/>
  <c r="D568"/>
  <c r="D567"/>
  <c r="D522"/>
  <c r="D523"/>
  <c r="D336"/>
  <c r="E492"/>
  <c r="D474"/>
  <c r="D475"/>
  <c r="D476"/>
  <c r="D477"/>
  <c r="D478"/>
  <c r="D479"/>
  <c r="D480"/>
  <c r="D481"/>
  <c r="D482"/>
  <c r="D486"/>
  <c r="D487"/>
  <c r="D488"/>
  <c r="D489"/>
  <c r="D483"/>
  <c r="D434"/>
  <c r="D402"/>
  <c r="D401"/>
  <c r="D398"/>
  <c r="D397"/>
  <c r="D396"/>
  <c r="D254"/>
  <c r="D255"/>
  <c r="D256"/>
  <c r="D257"/>
  <c r="D258"/>
  <c r="D259"/>
  <c r="D260"/>
  <c r="D261"/>
  <c r="D262"/>
  <c r="D264"/>
  <c r="D266"/>
  <c r="D267"/>
  <c r="D268"/>
  <c r="D269"/>
  <c r="D270"/>
  <c r="D271"/>
  <c r="D253"/>
  <c r="D252"/>
  <c r="D251"/>
  <c r="D250"/>
  <c r="D249"/>
  <c r="D302"/>
  <c r="D303"/>
  <c r="D304"/>
  <c r="D305"/>
  <c r="D279"/>
  <c r="D280"/>
  <c r="D281"/>
  <c r="D282"/>
  <c r="D283"/>
  <c r="D284"/>
  <c r="D285"/>
  <c r="D286"/>
  <c r="D287"/>
  <c r="D288"/>
  <c r="D289"/>
  <c r="D290"/>
  <c r="D291"/>
  <c r="D292"/>
  <c r="D293"/>
  <c r="D294"/>
  <c r="D295"/>
  <c r="D296"/>
  <c r="D297"/>
  <c r="D298"/>
  <c r="D299"/>
  <c r="D300"/>
  <c r="D206"/>
  <c r="D243"/>
  <c r="D238"/>
  <c r="D239"/>
  <c r="D220"/>
  <c r="D219"/>
  <c r="D196"/>
  <c r="D191"/>
  <c r="D188"/>
  <c r="D189"/>
  <c r="D179"/>
  <c r="D169"/>
  <c r="D91"/>
  <c r="D158"/>
  <c r="D159"/>
  <c r="D160"/>
  <c r="D161"/>
  <c r="D162"/>
  <c r="D67"/>
  <c r="D69"/>
  <c r="D70"/>
  <c r="D71"/>
  <c r="D72"/>
  <c r="D73"/>
  <c r="D63"/>
  <c r="D47"/>
  <c r="D566"/>
  <c r="G491"/>
  <c r="D484"/>
  <c r="H216" i="1"/>
  <c r="S59" i="7"/>
  <c r="U59" s="1"/>
  <c r="U57" s="1"/>
  <c r="T12"/>
  <c r="H27" i="1" s="1"/>
  <c r="T13" i="7"/>
  <c r="H28" i="1" s="1"/>
  <c r="H190"/>
  <c r="D490" i="2"/>
  <c r="D329"/>
  <c r="D330"/>
  <c r="D331"/>
  <c r="D333"/>
  <c r="D334"/>
  <c r="D338"/>
  <c r="D339"/>
  <c r="D340"/>
  <c r="D341"/>
  <c r="D342"/>
  <c r="D343"/>
  <c r="D344"/>
  <c r="D345"/>
  <c r="D346"/>
  <c r="D347"/>
  <c r="D348"/>
  <c r="D349"/>
  <c r="D350"/>
  <c r="D351"/>
  <c r="D352"/>
  <c r="D353"/>
  <c r="D354"/>
  <c r="D355"/>
  <c r="D356"/>
  <c r="D357"/>
  <c r="D358"/>
  <c r="D359"/>
  <c r="D360"/>
  <c r="D361"/>
  <c r="D362"/>
  <c r="D363"/>
  <c r="D364"/>
  <c r="D365"/>
  <c r="D366"/>
  <c r="D367"/>
  <c r="D368"/>
  <c r="D369"/>
  <c r="D370"/>
  <c r="D371"/>
  <c r="D373"/>
  <c r="D392"/>
  <c r="D393"/>
  <c r="D394"/>
  <c r="D395"/>
  <c r="D399"/>
  <c r="D400"/>
  <c r="D403"/>
  <c r="D404"/>
  <c r="D405"/>
  <c r="D406"/>
  <c r="D407"/>
  <c r="D408"/>
  <c r="D409"/>
  <c r="D410"/>
  <c r="D411"/>
  <c r="D412"/>
  <c r="D413"/>
  <c r="D414"/>
  <c r="D415"/>
  <c r="D416"/>
  <c r="D417"/>
  <c r="D418"/>
  <c r="D419"/>
  <c r="D420"/>
  <c r="D421"/>
  <c r="D422"/>
  <c r="D423"/>
  <c r="D424"/>
  <c r="D425"/>
  <c r="D426"/>
  <c r="D427"/>
  <c r="D428"/>
  <c r="D429"/>
  <c r="D430"/>
  <c r="D431"/>
  <c r="D432"/>
  <c r="D433"/>
  <c r="D435"/>
  <c r="D436"/>
  <c r="D437"/>
  <c r="D438"/>
  <c r="D439"/>
  <c r="D440"/>
  <c r="D441"/>
  <c r="D442"/>
  <c r="D443"/>
  <c r="D444"/>
  <c r="D445"/>
  <c r="D446"/>
  <c r="D447"/>
  <c r="D449"/>
  <c r="D450"/>
  <c r="D451"/>
  <c r="D452"/>
  <c r="D453"/>
  <c r="D455"/>
  <c r="D456"/>
  <c r="D457"/>
  <c r="D458"/>
  <c r="D459"/>
  <c r="D460"/>
  <c r="D39"/>
  <c r="D40"/>
  <c r="D41"/>
  <c r="D42"/>
  <c r="D43"/>
  <c r="D44"/>
  <c r="D45"/>
  <c r="D46"/>
  <c r="D48"/>
  <c r="D49"/>
  <c r="D50"/>
  <c r="D51"/>
  <c r="D52"/>
  <c r="D53"/>
  <c r="D54"/>
  <c r="D55"/>
  <c r="D61"/>
  <c r="D62"/>
  <c r="D66"/>
  <c r="D68"/>
  <c r="D74"/>
  <c r="D75"/>
  <c r="D76"/>
  <c r="D77"/>
  <c r="D78"/>
  <c r="D79"/>
  <c r="D80"/>
  <c r="D81"/>
  <c r="D82"/>
  <c r="D83"/>
  <c r="D84"/>
  <c r="D85"/>
  <c r="D86"/>
  <c r="D87"/>
  <c r="D88"/>
  <c r="D89"/>
  <c r="D90"/>
  <c r="D92"/>
  <c r="D93"/>
  <c r="D96"/>
  <c r="D97"/>
  <c r="D98"/>
  <c r="D99"/>
  <c r="D100"/>
  <c r="D101"/>
  <c r="D102"/>
  <c r="D103"/>
  <c r="D104"/>
  <c r="D105"/>
  <c r="D106"/>
  <c r="D107"/>
  <c r="D108"/>
  <c r="D109"/>
  <c r="D110"/>
  <c r="D111"/>
  <c r="D112"/>
  <c r="D113"/>
  <c r="D114"/>
  <c r="D115"/>
  <c r="D116"/>
  <c r="D125"/>
  <c r="D126"/>
  <c r="D127"/>
  <c r="D128"/>
  <c r="D129"/>
  <c r="D130"/>
  <c r="D131"/>
  <c r="D132"/>
  <c r="D133"/>
  <c r="D134"/>
  <c r="D135"/>
  <c r="D137"/>
  <c r="D138"/>
  <c r="D139"/>
  <c r="D140"/>
  <c r="D141"/>
  <c r="D142"/>
  <c r="D143"/>
  <c r="D144"/>
  <c r="D145"/>
  <c r="D147"/>
  <c r="D148"/>
  <c r="D149"/>
  <c r="D150"/>
  <c r="D151"/>
  <c r="D152"/>
  <c r="D153"/>
  <c r="D154"/>
  <c r="D155"/>
  <c r="D156"/>
  <c r="D157"/>
  <c r="D163"/>
  <c r="D164"/>
  <c r="D165"/>
  <c r="D166"/>
  <c r="D167"/>
  <c r="D168"/>
  <c r="D170"/>
  <c r="D171"/>
  <c r="D172"/>
  <c r="D173"/>
  <c r="D174"/>
  <c r="D175"/>
  <c r="D177"/>
  <c r="D178"/>
  <c r="D180"/>
  <c r="D181"/>
  <c r="D182"/>
  <c r="D183"/>
  <c r="D184"/>
  <c r="D185"/>
  <c r="D186"/>
  <c r="D187"/>
  <c r="D190"/>
  <c r="D192"/>
  <c r="D193"/>
  <c r="D194"/>
  <c r="D195"/>
  <c r="D197"/>
  <c r="D198"/>
  <c r="D199"/>
  <c r="D200"/>
  <c r="D201"/>
  <c r="D202"/>
  <c r="D203"/>
  <c r="D204"/>
  <c r="D205"/>
  <c r="D207"/>
  <c r="D208"/>
  <c r="D209"/>
  <c r="D210"/>
  <c r="D211"/>
  <c r="D212"/>
  <c r="D213"/>
  <c r="D214"/>
  <c r="D215"/>
  <c r="D216"/>
  <c r="D217"/>
  <c r="D221"/>
  <c r="D222"/>
  <c r="D223"/>
  <c r="D224"/>
  <c r="D225"/>
  <c r="D226"/>
  <c r="D227"/>
  <c r="D228"/>
  <c r="D229"/>
  <c r="D230"/>
  <c r="D232"/>
  <c r="D233"/>
  <c r="D235"/>
  <c r="D236"/>
  <c r="D237"/>
  <c r="D240"/>
  <c r="D241"/>
  <c r="D242"/>
  <c r="D244"/>
  <c r="D245"/>
  <c r="D246"/>
  <c r="D247"/>
  <c r="D272"/>
  <c r="D308"/>
  <c r="A1" i="15"/>
  <c r="F492" i="2"/>
  <c r="G492"/>
  <c r="H492"/>
  <c r="F169" i="7"/>
  <c r="C169"/>
  <c r="S167" s="1"/>
  <c r="C161"/>
  <c r="B160"/>
  <c r="A158"/>
  <c r="S150"/>
  <c r="U146"/>
  <c r="I140"/>
  <c r="I138"/>
  <c r="C138"/>
  <c r="I130"/>
  <c r="I127"/>
  <c r="C125"/>
  <c r="I119"/>
  <c r="D109"/>
  <c r="S97"/>
  <c r="V93"/>
  <c r="F93"/>
  <c r="C93"/>
  <c r="C87"/>
  <c r="F80"/>
  <c r="C80"/>
  <c r="T74"/>
  <c r="H131" i="1"/>
  <c r="F74" i="7"/>
  <c r="C74"/>
  <c r="U72"/>
  <c r="F72"/>
  <c r="C72"/>
  <c r="F66"/>
  <c r="C66"/>
  <c r="C57"/>
  <c r="C39"/>
  <c r="C38"/>
  <c r="F39"/>
  <c r="F38"/>
  <c r="F35"/>
  <c r="T31"/>
  <c r="F31"/>
  <c r="C31"/>
  <c r="T28"/>
  <c r="F28"/>
  <c r="C28"/>
  <c r="C24"/>
  <c r="C21"/>
  <c r="C19"/>
  <c r="E15"/>
  <c r="C13"/>
  <c r="C12"/>
  <c r="C11"/>
  <c r="A1"/>
  <c r="G69" i="15"/>
  <c r="G64"/>
  <c r="I62"/>
  <c r="C57"/>
  <c r="C55"/>
  <c r="D54"/>
  <c r="D53"/>
  <c r="D52"/>
  <c r="I50"/>
  <c r="D50"/>
  <c r="D49"/>
  <c r="D48"/>
  <c r="D46"/>
  <c r="D45"/>
  <c r="D44"/>
  <c r="G40"/>
  <c r="D42"/>
  <c r="D41"/>
  <c r="D40"/>
  <c r="D39"/>
  <c r="D38"/>
  <c r="G36"/>
  <c r="G35"/>
  <c r="G34"/>
  <c r="D36"/>
  <c r="D35"/>
  <c r="D34"/>
  <c r="C33"/>
  <c r="G30"/>
  <c r="G28"/>
  <c r="D31"/>
  <c r="D30"/>
  <c r="D29"/>
  <c r="D28"/>
  <c r="C27"/>
  <c r="I25"/>
  <c r="G25"/>
  <c r="C25"/>
  <c r="G22"/>
  <c r="D23"/>
  <c r="D22"/>
  <c r="D21"/>
  <c r="C20"/>
  <c r="C17"/>
  <c r="D12"/>
  <c r="E834" i="2"/>
  <c r="E838" s="1"/>
  <c r="F831"/>
  <c r="F834" s="1"/>
  <c r="F838" s="1"/>
  <c r="B819"/>
  <c r="D811"/>
  <c r="H810"/>
  <c r="G810"/>
  <c r="F810"/>
  <c r="D493"/>
  <c r="D328"/>
  <c r="G309"/>
  <c r="F309"/>
  <c r="D38"/>
  <c r="A1"/>
  <c r="E272" i="1"/>
  <c r="E169" i="7" s="1"/>
  <c r="H266" i="1"/>
  <c r="C259"/>
  <c r="C248"/>
  <c r="H222"/>
  <c r="E221"/>
  <c r="E216"/>
  <c r="E87" i="7" s="1"/>
  <c r="E203" i="1"/>
  <c r="H202"/>
  <c r="I35" i="15"/>
  <c r="I34"/>
  <c r="F191" i="1"/>
  <c r="G38" i="15" s="1"/>
  <c r="D191" i="1"/>
  <c r="I30" i="15"/>
  <c r="H183" i="1"/>
  <c r="H176"/>
  <c r="E176"/>
  <c r="E22" i="15" s="1"/>
  <c r="H158" i="1"/>
  <c r="H157"/>
  <c r="E158"/>
  <c r="E39" i="7" s="1"/>
  <c r="E157" i="1"/>
  <c r="E38" i="7" s="1"/>
  <c r="H149" i="1"/>
  <c r="E152"/>
  <c r="E35" i="7" s="1"/>
  <c r="H136" i="1"/>
  <c r="E136"/>
  <c r="E80" i="7" s="1"/>
  <c r="H132" i="1"/>
  <c r="E132"/>
  <c r="E93" i="7" s="1"/>
  <c r="E131" i="1"/>
  <c r="E74" i="7" s="1"/>
  <c r="H123" i="1"/>
  <c r="E125"/>
  <c r="E66" i="7" s="1"/>
  <c r="E123" i="1"/>
  <c r="E72" i="7" s="1"/>
  <c r="E120" i="1"/>
  <c r="E31" i="7" s="1"/>
  <c r="E116" i="1"/>
  <c r="H103"/>
  <c r="H102"/>
  <c r="F103"/>
  <c r="E102"/>
  <c r="E90"/>
  <c r="E28" i="7" s="1"/>
  <c r="E85" i="1"/>
  <c r="C68"/>
  <c r="C65"/>
  <c r="C64"/>
  <c r="E64"/>
  <c r="E63"/>
  <c r="E24" i="7" s="1"/>
  <c r="E61" i="1"/>
  <c r="E60"/>
  <c r="E59"/>
  <c r="E21" i="7" s="1"/>
  <c r="E53" i="1"/>
  <c r="E57" i="7" s="1"/>
  <c r="E47" i="1"/>
  <c r="E19" i="7" s="1"/>
  <c r="E37" i="1"/>
  <c r="E34"/>
  <c r="E28"/>
  <c r="E13" i="7" s="1"/>
  <c r="E27" i="1"/>
  <c r="E12" i="7" s="1"/>
  <c r="E26" i="1"/>
  <c r="E11" i="7" s="1"/>
  <c r="E25" i="1"/>
  <c r="E9" i="7" s="1"/>
  <c r="E21" i="1"/>
  <c r="E18"/>
  <c r="A12"/>
  <c r="D311" i="2"/>
  <c r="I28" i="15"/>
  <c r="I40"/>
  <c r="H491" i="2"/>
  <c r="F13" i="6"/>
  <c r="F7"/>
  <c r="F8" s="1"/>
  <c r="F29"/>
  <c r="F18"/>
  <c r="E41" i="4"/>
  <c r="G16"/>
  <c r="G17"/>
  <c r="G18"/>
  <c r="G19"/>
  <c r="G20"/>
  <c r="A1" i="18"/>
  <c r="A1" i="4"/>
  <c r="B49"/>
  <c r="B50"/>
  <c r="B51" s="1"/>
  <c r="B52" s="1"/>
  <c r="B57"/>
  <c r="B58"/>
  <c r="B59"/>
  <c r="B60" s="1"/>
  <c r="B61" s="1"/>
  <c r="B63" s="1"/>
  <c r="B65" s="1"/>
  <c r="B67" s="1"/>
  <c r="A1" i="6"/>
  <c r="A12"/>
  <c r="A13"/>
  <c r="A14"/>
  <c r="A15"/>
  <c r="A16"/>
  <c r="A17"/>
  <c r="A18"/>
  <c r="A19"/>
  <c r="A21"/>
  <c r="F14"/>
  <c r="F15"/>
  <c r="F16"/>
  <c r="F19"/>
  <c r="E28"/>
  <c r="E30" s="1"/>
  <c r="E31" s="1"/>
  <c r="E33" s="1"/>
  <c r="E34" s="1"/>
  <c r="E22" s="1"/>
  <c r="B37" i="18"/>
  <c r="A40"/>
  <c r="B40"/>
  <c r="A43"/>
  <c r="A1" i="9"/>
  <c r="B14"/>
  <c r="C14"/>
  <c r="C18"/>
  <c r="F17" i="6"/>
  <c r="D8"/>
  <c r="D21" s="1"/>
  <c r="D28"/>
  <c r="D30" s="1"/>
  <c r="D31" s="1"/>
  <c r="D33" s="1"/>
  <c r="D34" s="1"/>
  <c r="D22" s="1"/>
  <c r="F22" s="1"/>
  <c r="C22" i="5"/>
  <c r="E53" i="4"/>
  <c r="H152" i="1"/>
  <c r="T66" i="7"/>
  <c r="H125" i="1" s="1"/>
  <c r="H135"/>
  <c r="I129" i="7"/>
  <c r="I117"/>
  <c r="I118"/>
  <c r="K118" s="1"/>
  <c r="I115"/>
  <c r="K115" s="1"/>
  <c r="I116"/>
  <c r="I126"/>
  <c r="T24"/>
  <c r="H63" i="1" s="1"/>
  <c r="H114"/>
  <c r="T45" i="7"/>
  <c r="H115" i="1" s="1"/>
  <c r="T43" i="7"/>
  <c r="H113" i="1" s="1"/>
  <c r="S179" i="7"/>
  <c r="H121" i="1" s="1"/>
  <c r="I29" i="15" l="1"/>
  <c r="I31" s="1"/>
  <c r="I36"/>
  <c r="F312" i="2"/>
  <c r="E13" s="1"/>
  <c r="I22" i="15"/>
  <c r="I69"/>
  <c r="F812" i="2"/>
  <c r="E12" s="1"/>
  <c r="G812"/>
  <c r="F12" s="1"/>
  <c r="G312"/>
  <c r="F13" s="1"/>
  <c r="H312"/>
  <c r="G13" s="1"/>
  <c r="H812"/>
  <c r="G12" s="1"/>
  <c r="D492"/>
  <c r="D310"/>
  <c r="H494"/>
  <c r="G11" s="1"/>
  <c r="G494"/>
  <c r="F11" s="1"/>
  <c r="I49" i="15"/>
  <c r="H185" i="1"/>
  <c r="A13"/>
  <c r="F13"/>
  <c r="E103"/>
  <c r="E140" i="7" s="1"/>
  <c r="E138"/>
  <c r="E10"/>
  <c r="I38" i="15"/>
  <c r="I39" s="1"/>
  <c r="H104" i="1"/>
  <c r="H137"/>
  <c r="H66"/>
  <c r="H65"/>
  <c r="H117"/>
  <c r="H22"/>
  <c r="H192"/>
  <c r="H13"/>
  <c r="H133"/>
  <c r="H159"/>
  <c r="H264"/>
  <c r="D265" i="2"/>
  <c r="I21" i="15"/>
  <c r="I23" s="1"/>
  <c r="H177" i="1"/>
  <c r="E23" i="6"/>
  <c r="F21"/>
  <c r="F23" s="1"/>
  <c r="D23"/>
  <c r="H267" i="1" s="1"/>
  <c r="H49"/>
  <c r="H218"/>
  <c r="I63" i="15"/>
  <c r="F28" i="6"/>
  <c r="F30" s="1"/>
  <c r="F31" s="1"/>
  <c r="F33" s="1"/>
  <c r="F34" s="1"/>
  <c r="X87" i="7"/>
  <c r="S93"/>
  <c r="U93" s="1"/>
  <c r="H124" i="1"/>
  <c r="H194" l="1"/>
  <c r="H195" s="1"/>
  <c r="G14" i="2"/>
  <c r="F14"/>
  <c r="A14" i="1"/>
  <c r="I48" i="15"/>
  <c r="H126" i="1"/>
  <c r="H201"/>
  <c r="I65" i="15"/>
  <c r="I66" s="1"/>
  <c r="H219" i="1"/>
  <c r="I41" i="15" l="1"/>
  <c r="I42" s="1"/>
  <c r="A15" i="1"/>
  <c r="A16" s="1"/>
  <c r="H197"/>
  <c r="H199"/>
  <c r="H198"/>
  <c r="H223"/>
  <c r="H205" l="1"/>
  <c r="F16"/>
  <c r="A18"/>
  <c r="F18"/>
  <c r="I44" i="15"/>
  <c r="I52" s="1"/>
  <c r="H207" i="1"/>
  <c r="I46" i="15"/>
  <c r="I54" s="1"/>
  <c r="I45"/>
  <c r="I53" s="1"/>
  <c r="H206" i="1"/>
  <c r="I70" i="15"/>
  <c r="I71" s="1"/>
  <c r="H224" i="1"/>
  <c r="F154" l="1"/>
  <c r="F160"/>
  <c r="A21"/>
  <c r="F68"/>
  <c r="F50"/>
  <c r="F91"/>
  <c r="F127"/>
  <c r="I55" i="15"/>
  <c r="H208" i="1"/>
  <c r="A22" l="1"/>
  <c r="A23" s="1"/>
  <c r="F23" l="1"/>
  <c r="A25"/>
  <c r="A26" s="1"/>
  <c r="A27" l="1"/>
  <c r="F64"/>
  <c r="A11" i="7"/>
  <c r="A12" l="1"/>
  <c r="A28" i="1"/>
  <c r="F65"/>
  <c r="F66" l="1"/>
  <c r="A13" i="7"/>
  <c r="A29" i="1"/>
  <c r="F25" l="1"/>
  <c r="A31"/>
  <c r="A33" s="1"/>
  <c r="F31"/>
  <c r="A34" l="1"/>
  <c r="A36" s="1"/>
  <c r="F34"/>
  <c r="A37" l="1"/>
  <c r="F37"/>
  <c r="A42" l="1"/>
  <c r="F138"/>
  <c r="F45" l="1"/>
  <c r="A43"/>
  <c r="A44" s="1"/>
  <c r="A45" s="1"/>
  <c r="A47" l="1"/>
  <c r="A48" l="1"/>
  <c r="F49" s="1"/>
  <c r="A19" i="7" l="1"/>
  <c r="A49" i="1"/>
  <c r="F22"/>
  <c r="F51" l="1"/>
  <c r="A50"/>
  <c r="A51" s="1"/>
  <c r="A53" l="1"/>
  <c r="F55" s="1"/>
  <c r="A57" i="7" l="1"/>
  <c r="A55" i="1"/>
  <c r="F33" l="1"/>
  <c r="A59"/>
  <c r="A60" l="1"/>
  <c r="A61" s="1"/>
  <c r="A62" s="1"/>
  <c r="A63" l="1"/>
  <c r="F249"/>
  <c r="F62"/>
  <c r="A24" i="7" l="1"/>
  <c r="A64" i="1"/>
  <c r="A65" s="1"/>
  <c r="A66" s="1"/>
  <c r="A67" s="1"/>
  <c r="A68" l="1"/>
  <c r="A69" s="1"/>
  <c r="F67"/>
  <c r="F69" l="1"/>
  <c r="A71"/>
  <c r="F71"/>
  <c r="A73" l="1"/>
  <c r="F73"/>
  <c r="A78" l="1"/>
  <c r="F235"/>
  <c r="F36"/>
  <c r="F79" l="1"/>
  <c r="A79"/>
  <c r="A82" l="1"/>
  <c r="A85" l="1"/>
  <c r="A114" i="7"/>
  <c r="F86" i="1" l="1"/>
  <c r="A86"/>
  <c r="A124" i="7"/>
  <c r="A90" i="1" l="1"/>
  <c r="A91" l="1"/>
  <c r="A92" s="1"/>
  <c r="A28" i="7"/>
  <c r="F92" i="1" l="1"/>
  <c r="F94"/>
  <c r="A93"/>
  <c r="A94" s="1"/>
  <c r="A97" l="1"/>
  <c r="A98" l="1"/>
  <c r="A99" s="1"/>
  <c r="F99" l="1"/>
  <c r="A102"/>
  <c r="A103" l="1"/>
  <c r="F104" s="1"/>
  <c r="A138" i="7"/>
  <c r="A104" i="1" l="1"/>
  <c r="A140" i="7"/>
  <c r="A106" i="1" l="1"/>
  <c r="F106"/>
  <c r="A108" l="1"/>
  <c r="F236"/>
  <c r="F108"/>
  <c r="G17" i="15" s="1"/>
  <c r="F237" i="1" l="1"/>
  <c r="A17" i="15"/>
  <c r="A113" i="1"/>
  <c r="A43" i="7" l="1"/>
  <c r="A114" i="1"/>
  <c r="A44" i="7" l="1"/>
  <c r="A115" i="1"/>
  <c r="A116" l="1"/>
  <c r="A117" s="1"/>
  <c r="A45" i="7"/>
  <c r="A120" i="1" l="1"/>
  <c r="F117"/>
  <c r="A121" l="1"/>
  <c r="A31" i="7"/>
  <c r="A122" i="1" l="1"/>
  <c r="A179" i="7"/>
  <c r="A123" i="1" l="1"/>
  <c r="A72" i="7" l="1"/>
  <c r="A124" i="1"/>
  <c r="A125" s="1"/>
  <c r="A66" i="7" l="1"/>
  <c r="A126" i="1"/>
  <c r="F126"/>
  <c r="A127" l="1"/>
  <c r="A128" s="1"/>
  <c r="A131" l="1"/>
  <c r="F128"/>
  <c r="A74" i="7" l="1"/>
  <c r="A132" i="1"/>
  <c r="F133" s="1"/>
  <c r="A93" i="7" l="1"/>
  <c r="A133" i="1"/>
  <c r="A135" l="1"/>
  <c r="A136" l="1"/>
  <c r="A137" l="1"/>
  <c r="A80" i="7"/>
  <c r="F137" i="1"/>
  <c r="A138" l="1"/>
  <c r="A139" s="1"/>
  <c r="F139" l="1"/>
  <c r="A141"/>
  <c r="F141"/>
  <c r="A146" l="1"/>
  <c r="F239"/>
  <c r="F97"/>
  <c r="A147" l="1"/>
  <c r="A33" i="7"/>
  <c r="A148" i="1" l="1"/>
  <c r="A36" i="7"/>
  <c r="A37" l="1"/>
  <c r="A149" i="1"/>
  <c r="A146" i="7" l="1"/>
  <c r="A150" i="1"/>
  <c r="F150"/>
  <c r="A151" l="1"/>
  <c r="A34" i="7" l="1"/>
  <c r="A152" i="1"/>
  <c r="F153" s="1"/>
  <c r="A35" i="7" l="1"/>
  <c r="A153" i="1"/>
  <c r="A154" l="1"/>
  <c r="A155" s="1"/>
  <c r="F155" l="1"/>
  <c r="A157"/>
  <c r="A158" l="1"/>
  <c r="F159" s="1"/>
  <c r="A38" i="7"/>
  <c r="A159" i="1" l="1"/>
  <c r="A39" i="7"/>
  <c r="A160" i="1" l="1"/>
  <c r="A161" s="1"/>
  <c r="F161" l="1"/>
  <c r="A164"/>
  <c r="F164"/>
  <c r="A168" l="1"/>
  <c r="F240"/>
  <c r="F170" l="1"/>
  <c r="A170"/>
  <c r="A175" l="1"/>
  <c r="F241"/>
  <c r="A176" l="1"/>
  <c r="A21" i="15"/>
  <c r="A22" s="1"/>
  <c r="A23" s="1"/>
  <c r="A25" s="1"/>
  <c r="A28" s="1"/>
  <c r="A29" s="1"/>
  <c r="A30" s="1"/>
  <c r="A31" s="1"/>
  <c r="A34" s="1"/>
  <c r="A35" s="1"/>
  <c r="A36" s="1"/>
  <c r="A38" s="1"/>
  <c r="A39" s="1"/>
  <c r="A40" s="1"/>
  <c r="A41" s="1"/>
  <c r="A42" s="1"/>
  <c r="A44" s="1"/>
  <c r="A45" s="1"/>
  <c r="A46" s="1"/>
  <c r="A48" s="1"/>
  <c r="A49" s="1"/>
  <c r="A50" s="1"/>
  <c r="A52" s="1"/>
  <c r="A53" s="1"/>
  <c r="A54" s="1"/>
  <c r="A55" s="1"/>
  <c r="A57" s="1"/>
  <c r="A62" s="1"/>
  <c r="A63" s="1"/>
  <c r="A64" s="1"/>
  <c r="A65" s="1"/>
  <c r="A66" s="1"/>
  <c r="A69" s="1"/>
  <c r="A70" s="1"/>
  <c r="A71" s="1"/>
  <c r="A75" s="1"/>
  <c r="A77" s="1"/>
  <c r="G10" s="1"/>
  <c r="A177" i="1" l="1"/>
  <c r="A14" i="9"/>
  <c r="F177" i="1"/>
  <c r="G23" i="15" s="1"/>
  <c r="A179" i="1" l="1"/>
  <c r="A182" l="1"/>
  <c r="A183" l="1"/>
  <c r="A184" s="1"/>
  <c r="A185" s="1"/>
  <c r="F185" l="1"/>
  <c r="G31" i="15" s="1"/>
  <c r="A188" i="1"/>
  <c r="F194"/>
  <c r="G41" i="15" s="1"/>
  <c r="A189" i="1" l="1"/>
  <c r="A190" s="1"/>
  <c r="A191" s="1"/>
  <c r="F192" s="1"/>
  <c r="G39" i="15" s="1"/>
  <c r="A192" i="1" l="1"/>
  <c r="A18" i="9"/>
  <c r="A193" i="1" l="1"/>
  <c r="F201"/>
  <c r="G48" i="15" s="1"/>
  <c r="F183" i="1" l="1"/>
  <c r="G29" i="15" s="1"/>
  <c r="A194" i="1"/>
  <c r="F202"/>
  <c r="G49" i="15" s="1"/>
  <c r="A195" i="1" l="1"/>
  <c r="F199" s="1"/>
  <c r="G46" i="15" s="1"/>
  <c r="F195" i="1"/>
  <c r="G42" i="15" s="1"/>
  <c r="A197" i="1" l="1"/>
  <c r="F197"/>
  <c r="G44" i="15" s="1"/>
  <c r="F198" i="1"/>
  <c r="G45" i="15" s="1"/>
  <c r="A198" i="1" l="1"/>
  <c r="A199" l="1"/>
  <c r="A201" l="1"/>
  <c r="A202" l="1"/>
  <c r="F205"/>
  <c r="G52" i="15" s="1"/>
  <c r="A203" i="1" l="1"/>
  <c r="F206"/>
  <c r="G53" i="15" s="1"/>
  <c r="A205" i="1" l="1"/>
  <c r="F207"/>
  <c r="G54" i="15" s="1"/>
  <c r="A206" i="1" l="1"/>
  <c r="A207" s="1"/>
  <c r="A208" s="1"/>
  <c r="F208" l="1"/>
  <c r="G55" i="15" s="1"/>
  <c r="A210" i="1"/>
  <c r="F210"/>
  <c r="G57" i="15" s="1"/>
  <c r="F242" i="1" l="1"/>
  <c r="A215"/>
  <c r="A216" s="1"/>
  <c r="A217" l="1"/>
  <c r="A218" s="1"/>
  <c r="A219" s="1"/>
  <c r="A87" i="7"/>
  <c r="F228" i="1" l="1"/>
  <c r="F223"/>
  <c r="G70" i="15" s="1"/>
  <c r="A222" i="1"/>
  <c r="A223" l="1"/>
  <c r="A224" s="1"/>
  <c r="F224" l="1"/>
  <c r="G71" i="15" s="1"/>
  <c r="F230" i="1"/>
  <c r="G77" i="15" s="1"/>
  <c r="A228" i="1"/>
  <c r="A230" s="1"/>
  <c r="F243" l="1"/>
  <c r="A235"/>
  <c r="A236" s="1"/>
  <c r="A237" s="1"/>
  <c r="A239" s="1"/>
  <c r="A240" l="1"/>
  <c r="A241" s="1"/>
  <c r="A242" s="1"/>
  <c r="A243" s="1"/>
  <c r="A244" s="1"/>
  <c r="A245" s="1"/>
  <c r="F245" l="1"/>
  <c r="F256"/>
  <c r="F248"/>
  <c r="F263"/>
  <c r="A248"/>
  <c r="F250" l="1"/>
  <c r="F252"/>
  <c r="A249"/>
  <c r="F251" s="1"/>
  <c r="A250" l="1"/>
  <c r="A251" s="1"/>
  <c r="A252" s="1"/>
  <c r="A256" s="1"/>
  <c r="F259"/>
  <c r="A257" l="1"/>
  <c r="A258" s="1"/>
  <c r="A259" l="1"/>
  <c r="A260" s="1"/>
  <c r="A261" s="1"/>
  <c r="A263" s="1"/>
  <c r="F258"/>
  <c r="F261" l="1"/>
  <c r="F260"/>
  <c r="A264"/>
  <c r="A265" s="1"/>
  <c r="A266" s="1"/>
  <c r="A267" l="1"/>
  <c r="A268" s="1"/>
  <c r="A269" s="1"/>
  <c r="A161" i="7"/>
  <c r="HT266" i="1"/>
  <c r="F269" l="1"/>
  <c r="F273"/>
  <c r="A272"/>
  <c r="A273" l="1"/>
  <c r="A169" i="7"/>
  <c r="A275" i="1" l="1"/>
  <c r="F275"/>
  <c r="D117" i="2" l="1"/>
  <c r="D124"/>
  <c r="D123"/>
  <c r="D122"/>
  <c r="D120"/>
  <c r="D119"/>
  <c r="D118"/>
  <c r="D121"/>
  <c r="D231"/>
  <c r="E309"/>
  <c r="E312" s="1"/>
  <c r="D263"/>
  <c r="D309" l="1"/>
  <c r="D312" s="1"/>
  <c r="E810"/>
  <c r="D810" s="1"/>
  <c r="D598"/>
  <c r="D597"/>
  <c r="D765"/>
  <c r="D808"/>
  <c r="E809"/>
  <c r="D809" l="1"/>
  <c r="D812" s="1"/>
  <c r="E812"/>
  <c r="T23" i="7" l="1"/>
  <c r="H61" i="1" s="1"/>
  <c r="T22" i="7"/>
  <c r="H60" i="1" s="1"/>
  <c r="T17" i="7" l="1"/>
  <c r="H44" i="1" s="1"/>
  <c r="T16" i="7"/>
  <c r="H43" i="1" l="1"/>
  <c r="T11" i="7" l="1"/>
  <c r="H26" i="1" s="1"/>
  <c r="H64" l="1"/>
  <c r="H67" l="1"/>
  <c r="T15" i="7" l="1"/>
  <c r="J39" i="28" s="1"/>
  <c r="H42" i="1" l="1"/>
  <c r="H45" l="1"/>
  <c r="J41" i="28"/>
  <c r="F470" i="2" l="1"/>
  <c r="E470" s="1"/>
  <c r="D470" s="1"/>
  <c r="F467" i="21"/>
  <c r="E467" s="1"/>
  <c r="D467" s="1"/>
  <c r="F488" l="1"/>
  <c r="F491" s="1"/>
  <c r="F491" i="2"/>
  <c r="F494" s="1"/>
  <c r="E11" l="1"/>
  <c r="E14" s="1"/>
  <c r="E17" s="1"/>
  <c r="E11" i="21"/>
  <c r="E14" s="1"/>
  <c r="E17" s="1"/>
  <c r="E18" i="2" s="1"/>
  <c r="D329" i="21"/>
  <c r="D332" i="2"/>
  <c r="D332" i="21"/>
  <c r="D335" i="2"/>
  <c r="E32" i="4"/>
  <c r="E19" i="2" l="1"/>
  <c r="D491"/>
  <c r="D494" s="1"/>
  <c r="D488" i="21"/>
  <c r="D491" s="1"/>
  <c r="E488"/>
  <c r="E491" s="1"/>
  <c r="E491" i="2"/>
  <c r="E494" s="1"/>
  <c r="H148" i="1" l="1"/>
  <c r="H147"/>
  <c r="H14" l="1"/>
  <c r="H146"/>
  <c r="H150" l="1"/>
  <c r="H16"/>
  <c r="H18" l="1"/>
  <c r="H127" l="1"/>
  <c r="H154"/>
  <c r="C17" i="5"/>
  <c r="C18" s="1"/>
  <c r="C23" s="1"/>
  <c r="C24" s="1"/>
  <c r="E14" i="4" s="1"/>
  <c r="H160" i="1"/>
  <c r="J125" i="7"/>
  <c r="J126" s="1"/>
  <c r="H50" i="1"/>
  <c r="F32" i="4"/>
  <c r="G32" s="1"/>
  <c r="G15" i="2"/>
  <c r="H91" i="1"/>
  <c r="H68"/>
  <c r="H151"/>
  <c r="J116" i="7" l="1"/>
  <c r="K116" s="1"/>
  <c r="H92" i="1"/>
  <c r="J129" i="7"/>
  <c r="K126"/>
  <c r="H128" i="1"/>
  <c r="H69"/>
  <c r="H51"/>
  <c r="G14" i="4"/>
  <c r="E52"/>
  <c r="E63" s="1"/>
  <c r="E21"/>
  <c r="H153" i="1"/>
  <c r="G17" i="2"/>
  <c r="G15" i="21"/>
  <c r="G17" s="1"/>
  <c r="G18" i="2" s="1"/>
  <c r="H161" i="1"/>
  <c r="E43" i="4" l="1"/>
  <c r="E65"/>
  <c r="E67" s="1"/>
  <c r="H94" i="1"/>
  <c r="H155"/>
  <c r="H55"/>
  <c r="K129" i="7"/>
  <c r="J130"/>
  <c r="K130" s="1"/>
  <c r="G19" i="2"/>
  <c r="H85" i="1" l="1"/>
  <c r="H33"/>
  <c r="H164"/>
  <c r="T21" i="7"/>
  <c r="H59" i="1" s="1"/>
  <c r="H86" l="1"/>
  <c r="H240"/>
  <c r="H62"/>
  <c r="H71" l="1"/>
  <c r="H249"/>
  <c r="H73" l="1"/>
  <c r="H259"/>
  <c r="H235" l="1"/>
  <c r="H36"/>
  <c r="T9" i="7"/>
  <c r="H21" i="1" s="1"/>
  <c r="H23" l="1"/>
  <c r="H34" l="1"/>
  <c r="F15" i="4" l="1"/>
  <c r="G15" s="1"/>
  <c r="G21" s="1"/>
  <c r="F41"/>
  <c r="G41" s="1"/>
  <c r="F16" i="2"/>
  <c r="J117" i="7"/>
  <c r="K117" s="1"/>
  <c r="K119" s="1"/>
  <c r="H82" i="1" s="1"/>
  <c r="F16" i="21" l="1"/>
  <c r="F17" s="1"/>
  <c r="F17" i="2"/>
  <c r="H17" s="1"/>
  <c r="G43" i="4"/>
  <c r="H168" i="1" s="1"/>
  <c r="F18" i="2" l="1"/>
  <c r="F19" s="1"/>
  <c r="H17" i="21"/>
  <c r="H18" i="2" s="1"/>
  <c r="E24" s="1"/>
  <c r="E23"/>
  <c r="H170" i="1"/>
  <c r="E25" i="2" l="1"/>
  <c r="H78" i="1" s="1"/>
  <c r="H241"/>
  <c r="H19" i="2"/>
  <c r="H79" i="1" l="1"/>
  <c r="T10" i="7" l="1"/>
  <c r="H29" i="1" s="1"/>
  <c r="H25" l="1"/>
  <c r="H31"/>
  <c r="H37" l="1"/>
  <c r="H138" l="1"/>
  <c r="H139" l="1"/>
  <c r="H141" l="1"/>
  <c r="H97" l="1"/>
  <c r="H239"/>
  <c r="H99" l="1"/>
  <c r="H106" l="1"/>
  <c r="H108" l="1"/>
  <c r="H236"/>
  <c r="H210" l="1"/>
  <c r="I17" i="15"/>
  <c r="I57" s="1"/>
  <c r="I75" s="1"/>
  <c r="I77" s="1"/>
  <c r="I10" s="1"/>
  <c r="H257" i="1" s="1"/>
  <c r="H237"/>
  <c r="H228" l="1"/>
  <c r="H242"/>
  <c r="H230" l="1"/>
  <c r="H243" l="1"/>
  <c r="H245" l="1"/>
  <c r="H248" l="1"/>
  <c r="H256"/>
  <c r="H263"/>
  <c r="H258" l="1"/>
  <c r="H252"/>
  <c r="H250"/>
  <c r="H251"/>
  <c r="K25" i="27" l="1"/>
  <c r="K19"/>
  <c r="FT35" s="1"/>
  <c r="H261" i="1"/>
  <c r="H260"/>
  <c r="AN35" i="27" l="1"/>
  <c r="AQ61" s="1"/>
  <c r="AQ100" s="1"/>
  <c r="ND35"/>
  <c r="NG61" s="1"/>
  <c r="NG100" s="1"/>
  <c r="MR35"/>
  <c r="AR35"/>
  <c r="AF35"/>
  <c r="AI61" s="1"/>
  <c r="AI100" s="1"/>
  <c r="MJ35"/>
  <c r="MM61" s="1"/>
  <c r="MM100" s="1"/>
  <c r="AV35"/>
  <c r="AY61" s="1"/>
  <c r="AY100" s="1"/>
  <c r="IZ35"/>
  <c r="JC61" s="1"/>
  <c r="JC100" s="1"/>
  <c r="CJ35"/>
  <c r="CM61" s="1"/>
  <c r="CM100" s="1"/>
  <c r="MZ35"/>
  <c r="NC61" s="1"/>
  <c r="NC100" s="1"/>
  <c r="BH35"/>
  <c r="BK61" s="1"/>
  <c r="BK100" s="1"/>
  <c r="LL35"/>
  <c r="LO61" s="1"/>
  <c r="LO100" s="1"/>
  <c r="AB35"/>
  <c r="AE61" s="1"/>
  <c r="AE100" s="1"/>
  <c r="P35"/>
  <c r="S61" s="1"/>
  <c r="S100" s="1"/>
  <c r="LX35"/>
  <c r="MA61" s="1"/>
  <c r="MA100" s="1"/>
  <c r="AJ35"/>
  <c r="D35"/>
  <c r="G61" s="1"/>
  <c r="KF35"/>
  <c r="KI61" s="1"/>
  <c r="KI100" s="1"/>
  <c r="MN35"/>
  <c r="MQ61" s="1"/>
  <c r="MQ100" s="1"/>
  <c r="AZ35"/>
  <c r="BC61" s="1"/>
  <c r="BC100" s="1"/>
  <c r="T35"/>
  <c r="W61" s="1"/>
  <c r="W100" s="1"/>
  <c r="LD35"/>
  <c r="LG61" s="1"/>
  <c r="LG100" s="1"/>
  <c r="L35"/>
  <c r="O61" s="1"/>
  <c r="O100" s="1"/>
  <c r="IR35"/>
  <c r="IU61" s="1"/>
  <c r="IU100" s="1"/>
  <c r="BL35"/>
  <c r="BO61" s="1"/>
  <c r="BO100" s="1"/>
  <c r="CB35"/>
  <c r="CE57" s="1"/>
  <c r="BX35"/>
  <c r="CA61" s="1"/>
  <c r="CA100" s="1"/>
  <c r="BP35"/>
  <c r="BS61" s="1"/>
  <c r="BS100" s="1"/>
  <c r="EV35"/>
  <c r="EY61" s="1"/>
  <c r="EY100" s="1"/>
  <c r="BD35"/>
  <c r="BG61" s="1"/>
  <c r="BG100" s="1"/>
  <c r="DX35"/>
  <c r="EA61" s="1"/>
  <c r="EA100" s="1"/>
  <c r="EN35"/>
  <c r="EJ35"/>
  <c r="EM61" s="1"/>
  <c r="EM100" s="1"/>
  <c r="EB35"/>
  <c r="EE61" s="1"/>
  <c r="EE100" s="1"/>
  <c r="HH35"/>
  <c r="HK61" s="1"/>
  <c r="HK100" s="1"/>
  <c r="DP35"/>
  <c r="DD35"/>
  <c r="DG61" s="1"/>
  <c r="DG100" s="1"/>
  <c r="DT35"/>
  <c r="DW61" s="1"/>
  <c r="DW100" s="1"/>
  <c r="DL35"/>
  <c r="DO61" s="1"/>
  <c r="DO100" s="1"/>
  <c r="DH35"/>
  <c r="DK61" s="1"/>
  <c r="DK100" s="1"/>
  <c r="KJ35"/>
  <c r="KM61" s="1"/>
  <c r="KM100" s="1"/>
  <c r="GB35"/>
  <c r="GE61" s="1"/>
  <c r="GE100" s="1"/>
  <c r="CF35"/>
  <c r="CI61" s="1"/>
  <c r="CV35"/>
  <c r="CY61" s="1"/>
  <c r="CY100" s="1"/>
  <c r="CR35"/>
  <c r="CN35"/>
  <c r="CQ61" s="1"/>
  <c r="CQ100" s="1"/>
  <c r="IB35"/>
  <c r="IE61" s="1"/>
  <c r="IE100" s="1"/>
  <c r="IN35"/>
  <c r="IQ61" s="1"/>
  <c r="IQ100" s="1"/>
  <c r="IF35"/>
  <c r="II61" s="1"/>
  <c r="II100" s="1"/>
  <c r="CZ35"/>
  <c r="DC61" s="1"/>
  <c r="DC100" s="1"/>
  <c r="H35"/>
  <c r="K61" s="1"/>
  <c r="K100" s="1"/>
  <c r="LH35"/>
  <c r="MF35"/>
  <c r="MI61" s="1"/>
  <c r="MI100" s="1"/>
  <c r="LT35"/>
  <c r="LW61" s="1"/>
  <c r="LW100" s="1"/>
  <c r="LP35"/>
  <c r="LS61" s="1"/>
  <c r="LS100" s="1"/>
  <c r="FL35"/>
  <c r="FO61" s="1"/>
  <c r="FO100" s="1"/>
  <c r="BT35"/>
  <c r="BW61" s="1"/>
  <c r="BW100" s="1"/>
  <c r="KB35"/>
  <c r="KE61" s="1"/>
  <c r="KE100" s="1"/>
  <c r="KZ35"/>
  <c r="LC61" s="1"/>
  <c r="LC100" s="1"/>
  <c r="KR35"/>
  <c r="KN35"/>
  <c r="KQ61" s="1"/>
  <c r="KQ100" s="1"/>
  <c r="HX35"/>
  <c r="IA61" s="1"/>
  <c r="IA100" s="1"/>
  <c r="EF35"/>
  <c r="EI61" s="1"/>
  <c r="EI100" s="1"/>
  <c r="JD35"/>
  <c r="JX35"/>
  <c r="KA61" s="1"/>
  <c r="KA100" s="1"/>
  <c r="JT35"/>
  <c r="JH35"/>
  <c r="JK61" s="1"/>
  <c r="JK100" s="1"/>
  <c r="K20"/>
  <c r="K21" s="1"/>
  <c r="GR35"/>
  <c r="IV35"/>
  <c r="IJ35"/>
  <c r="IM61" s="1"/>
  <c r="IM100" s="1"/>
  <c r="ER35"/>
  <c r="FH35"/>
  <c r="FK61" s="1"/>
  <c r="FK100" s="1"/>
  <c r="FD35"/>
  <c r="FG61" s="1"/>
  <c r="FG100" s="1"/>
  <c r="EZ35"/>
  <c r="FC61" s="1"/>
  <c r="FC100" s="1"/>
  <c r="MB35"/>
  <c r="ME61" s="1"/>
  <c r="ME100" s="1"/>
  <c r="JL35"/>
  <c r="JO61" s="1"/>
  <c r="JO100" s="1"/>
  <c r="HD35"/>
  <c r="HG61" s="1"/>
  <c r="HG100" s="1"/>
  <c r="HT35"/>
  <c r="HW61" s="1"/>
  <c r="HW100" s="1"/>
  <c r="HP35"/>
  <c r="HP37" s="1"/>
  <c r="HS62" s="1"/>
  <c r="HS101" s="1"/>
  <c r="HL35"/>
  <c r="HO61" s="1"/>
  <c r="HO100" s="1"/>
  <c r="JP35"/>
  <c r="JS61" s="1"/>
  <c r="JS100" s="1"/>
  <c r="MV35"/>
  <c r="MY61" s="1"/>
  <c r="MY100" s="1"/>
  <c r="GJ35"/>
  <c r="GJ37" s="1"/>
  <c r="GM62" s="1"/>
  <c r="GM101" s="1"/>
  <c r="GZ35"/>
  <c r="GV35"/>
  <c r="GN35"/>
  <c r="GQ61" s="1"/>
  <c r="GQ100" s="1"/>
  <c r="X35"/>
  <c r="X37" s="1"/>
  <c r="AA62" s="1"/>
  <c r="AA101" s="1"/>
  <c r="KV35"/>
  <c r="KY61" s="1"/>
  <c r="KY100" s="1"/>
  <c r="FP35"/>
  <c r="FS61" s="1"/>
  <c r="FS100" s="1"/>
  <c r="GF35"/>
  <c r="GF37" s="1"/>
  <c r="GI62" s="1"/>
  <c r="GI101" s="1"/>
  <c r="FX35"/>
  <c r="FX37" s="1"/>
  <c r="GA62" s="1"/>
  <c r="GA101" s="1"/>
  <c r="GU61"/>
  <c r="GU100" s="1"/>
  <c r="IY61"/>
  <c r="IY100" s="1"/>
  <c r="IN37"/>
  <c r="IQ62" s="1"/>
  <c r="IQ101" s="1"/>
  <c r="JW61"/>
  <c r="JW100" s="1"/>
  <c r="HC61"/>
  <c r="HC100" s="1"/>
  <c r="GY61"/>
  <c r="GY100" s="1"/>
  <c r="FW61"/>
  <c r="FW100" s="1"/>
  <c r="FT37"/>
  <c r="FW62" s="1"/>
  <c r="FW101" s="1"/>
  <c r="CE59"/>
  <c r="CU61"/>
  <c r="CU100" s="1"/>
  <c r="AU61"/>
  <c r="AU100" s="1"/>
  <c r="AR37"/>
  <c r="AU62" s="1"/>
  <c r="AU101" s="1"/>
  <c r="AM61"/>
  <c r="AM100" s="1"/>
  <c r="CE61" l="1"/>
  <c r="CE100" s="1"/>
  <c r="FP37"/>
  <c r="FS62" s="1"/>
  <c r="FS101" s="1"/>
  <c r="KF37"/>
  <c r="KI62" s="1"/>
  <c r="KI101" s="1"/>
  <c r="MV37"/>
  <c r="MY62" s="1"/>
  <c r="MY101" s="1"/>
  <c r="GB37"/>
  <c r="GE62" s="1"/>
  <c r="GE101" s="1"/>
  <c r="MR37"/>
  <c r="MU62" s="1"/>
  <c r="MU101" s="1"/>
  <c r="AF37"/>
  <c r="AI62" s="1"/>
  <c r="AI101" s="1"/>
  <c r="MU61"/>
  <c r="MU100" s="1"/>
  <c r="DT37"/>
  <c r="DW62" s="1"/>
  <c r="DW101" s="1"/>
  <c r="GN37"/>
  <c r="GQ62" s="1"/>
  <c r="GQ101" s="1"/>
  <c r="JL37"/>
  <c r="JO62" s="1"/>
  <c r="JO101" s="1"/>
  <c r="CZ37"/>
  <c r="DC62" s="1"/>
  <c r="DC101" s="1"/>
  <c r="HL37"/>
  <c r="HO62" s="1"/>
  <c r="HO101" s="1"/>
  <c r="ER37"/>
  <c r="EU62" s="1"/>
  <c r="EU101" s="1"/>
  <c r="JD37"/>
  <c r="JG62" s="1"/>
  <c r="JG101" s="1"/>
  <c r="CV37"/>
  <c r="CY62" s="1"/>
  <c r="CY101" s="1"/>
  <c r="DP37"/>
  <c r="DS62" s="1"/>
  <c r="DS101" s="1"/>
  <c r="L37"/>
  <c r="O62" s="1"/>
  <c r="O101" s="1"/>
  <c r="AZ37"/>
  <c r="BC62" s="1"/>
  <c r="BC101" s="1"/>
  <c r="HT37"/>
  <c r="HW62" s="1"/>
  <c r="HW101" s="1"/>
  <c r="IJ37"/>
  <c r="IM62" s="1"/>
  <c r="IM101" s="1"/>
  <c r="GI61"/>
  <c r="GI100" s="1"/>
  <c r="IB37"/>
  <c r="IE62" s="1"/>
  <c r="IE101" s="1"/>
  <c r="KR37"/>
  <c r="KU62" s="1"/>
  <c r="KU101" s="1"/>
  <c r="LH37"/>
  <c r="LK62" s="1"/>
  <c r="LK101" s="1"/>
  <c r="DH37"/>
  <c r="DK62" s="1"/>
  <c r="DK101" s="1"/>
  <c r="EN37"/>
  <c r="EQ62" s="1"/>
  <c r="EQ101" s="1"/>
  <c r="AN37"/>
  <c r="AQ62" s="1"/>
  <c r="AQ101" s="1"/>
  <c r="DS61"/>
  <c r="DS100" s="1"/>
  <c r="EQ61"/>
  <c r="EQ100" s="1"/>
  <c r="BP37"/>
  <c r="BS62" s="1"/>
  <c r="BS101" s="1"/>
  <c r="KV37"/>
  <c r="KY62" s="1"/>
  <c r="KY101" s="1"/>
  <c r="JG61"/>
  <c r="JG100" s="1"/>
  <c r="KU61"/>
  <c r="KU100" s="1"/>
  <c r="FL37"/>
  <c r="FO62" s="1"/>
  <c r="FO101" s="1"/>
  <c r="LK61"/>
  <c r="LK100" s="1"/>
  <c r="AJ37"/>
  <c r="AM62" s="1"/>
  <c r="AM101" s="1"/>
  <c r="MZ37"/>
  <c r="NC62" s="1"/>
  <c r="NC101" s="1"/>
  <c r="CR37"/>
  <c r="CU62" s="1"/>
  <c r="CU101" s="1"/>
  <c r="CF37"/>
  <c r="CI62" s="1"/>
  <c r="KJ37"/>
  <c r="KM62" s="1"/>
  <c r="KM101" s="1"/>
  <c r="DL37"/>
  <c r="DO62" s="1"/>
  <c r="DO101" s="1"/>
  <c r="HH37"/>
  <c r="HK62" s="1"/>
  <c r="HK101" s="1"/>
  <c r="EJ37"/>
  <c r="EM62" s="1"/>
  <c r="EM101" s="1"/>
  <c r="DX37"/>
  <c r="EA62" s="1"/>
  <c r="EA101" s="1"/>
  <c r="CB37"/>
  <c r="CE58" s="1"/>
  <c r="IR37"/>
  <c r="IU62" s="1"/>
  <c r="IU101" s="1"/>
  <c r="GA61"/>
  <c r="GA100" s="1"/>
  <c r="AA61"/>
  <c r="AA100" s="1"/>
  <c r="GM61"/>
  <c r="GM100" s="1"/>
  <c r="JP37"/>
  <c r="JS62" s="1"/>
  <c r="JS101" s="1"/>
  <c r="HS61"/>
  <c r="HS100" s="1"/>
  <c r="MB37"/>
  <c r="ME62" s="1"/>
  <c r="ME101" s="1"/>
  <c r="FD37"/>
  <c r="FG62" s="1"/>
  <c r="FG101" s="1"/>
  <c r="EU61"/>
  <c r="EU100" s="1"/>
  <c r="JH37"/>
  <c r="JK62" s="1"/>
  <c r="JK101" s="1"/>
  <c r="JX37"/>
  <c r="KA62" s="1"/>
  <c r="KA101" s="1"/>
  <c r="EF37"/>
  <c r="EI62" s="1"/>
  <c r="EI101" s="1"/>
  <c r="KN37"/>
  <c r="KQ62" s="1"/>
  <c r="KQ101" s="1"/>
  <c r="BT37"/>
  <c r="BW62" s="1"/>
  <c r="BW101" s="1"/>
  <c r="MF37"/>
  <c r="MI62" s="1"/>
  <c r="MI101" s="1"/>
  <c r="H37"/>
  <c r="K62" s="1"/>
  <c r="K101" s="1"/>
  <c r="GR37"/>
  <c r="GU62" s="1"/>
  <c r="GU101" s="1"/>
  <c r="D37"/>
  <c r="G62" s="1"/>
  <c r="P37"/>
  <c r="S62" s="1"/>
  <c r="S101" s="1"/>
  <c r="IZ37"/>
  <c r="JC62" s="1"/>
  <c r="JC101" s="1"/>
  <c r="AB37"/>
  <c r="AE62" s="1"/>
  <c r="AE101" s="1"/>
  <c r="LL37"/>
  <c r="LO62" s="1"/>
  <c r="LO101" s="1"/>
  <c r="AV37"/>
  <c r="AY62" s="1"/>
  <c r="AY101" s="1"/>
  <c r="BH37"/>
  <c r="BK62" s="1"/>
  <c r="BK101" s="1"/>
  <c r="LX37"/>
  <c r="MA62" s="1"/>
  <c r="MA101" s="1"/>
  <c r="MJ37"/>
  <c r="MM62" s="1"/>
  <c r="MM101" s="1"/>
  <c r="CJ37"/>
  <c r="CM62" s="1"/>
  <c r="CM101" s="1"/>
  <c r="DD37"/>
  <c r="DG62" s="1"/>
  <c r="DG101" s="1"/>
  <c r="EV37"/>
  <c r="EY62" s="1"/>
  <c r="EY101" s="1"/>
  <c r="BX37"/>
  <c r="CA62" s="1"/>
  <c r="CA101" s="1"/>
  <c r="GV37"/>
  <c r="GY62" s="1"/>
  <c r="GY101" s="1"/>
  <c r="HD37"/>
  <c r="HG62" s="1"/>
  <c r="HG101" s="1"/>
  <c r="KZ37"/>
  <c r="LC62" s="1"/>
  <c r="LC101" s="1"/>
  <c r="LP37"/>
  <c r="LS62" s="1"/>
  <c r="LS101" s="1"/>
  <c r="IF37"/>
  <c r="II62" s="1"/>
  <c r="II101" s="1"/>
  <c r="IV37"/>
  <c r="IY62" s="1"/>
  <c r="IY101" s="1"/>
  <c r="LD37"/>
  <c r="LG62" s="1"/>
  <c r="LG101" s="1"/>
  <c r="T37"/>
  <c r="W62" s="1"/>
  <c r="W101" s="1"/>
  <c r="MN37"/>
  <c r="MQ62" s="1"/>
  <c r="MQ101" s="1"/>
  <c r="ND37"/>
  <c r="NG62" s="1"/>
  <c r="NG101" s="1"/>
  <c r="CN37"/>
  <c r="CQ62" s="1"/>
  <c r="CQ101" s="1"/>
  <c r="EB37"/>
  <c r="EE62" s="1"/>
  <c r="EE101" s="1"/>
  <c r="BD37"/>
  <c r="BG62" s="1"/>
  <c r="BG101" s="1"/>
  <c r="BL37"/>
  <c r="BO62" s="1"/>
  <c r="BO101" s="1"/>
  <c r="GZ37"/>
  <c r="HC62" s="1"/>
  <c r="HC101" s="1"/>
  <c r="EZ37"/>
  <c r="FC62" s="1"/>
  <c r="FC101" s="1"/>
  <c r="FH37"/>
  <c r="FK62" s="1"/>
  <c r="FK101" s="1"/>
  <c r="JT37"/>
  <c r="JW62" s="1"/>
  <c r="JW101" s="1"/>
  <c r="HX37"/>
  <c r="IA62" s="1"/>
  <c r="IA101" s="1"/>
  <c r="KB37"/>
  <c r="KE62" s="1"/>
  <c r="KE101" s="1"/>
  <c r="LT37"/>
  <c r="LW62" s="1"/>
  <c r="LW101" s="1"/>
  <c r="G100"/>
  <c r="CI101"/>
  <c r="G101"/>
  <c r="CI100"/>
  <c r="CE60" l="1"/>
  <c r="CE62"/>
  <c r="CE101" s="1"/>
  <c r="NJ61"/>
  <c r="NH61"/>
  <c r="NH62"/>
  <c r="NI62"/>
  <c r="H265" i="1" l="1"/>
  <c r="H269" l="1"/>
  <c r="H273" s="1"/>
  <c r="H275" l="1"/>
</calcChain>
</file>

<file path=xl/sharedStrings.xml><?xml version="1.0" encoding="utf-8"?>
<sst xmlns="http://schemas.openxmlformats.org/spreadsheetml/2006/main" count="5792" uniqueCount="1893">
  <si>
    <t>Represents tax capitalized interest on projects in CWIP - increase in taxable income.</t>
  </si>
  <si>
    <t>Represents tax "In Service" capitalized Interest placed in service net of tax amortization.</t>
  </si>
  <si>
    <t>Book expensed as billed over 15 yr assessment period; tax deduct in year of assessment because all events test met as liability is based on prior facility use.</t>
  </si>
  <si>
    <t>Represents the ADIT on Book Gain/Loss as accrued.</t>
  </si>
  <si>
    <t>Represents ARO accruals not deductible for tax.</t>
  </si>
  <si>
    <t>Book estimate accrued and expensed; tax deduction when paid.</t>
  </si>
  <si>
    <t>Books pre-capitalize when purchased; tax purposes when installed.</t>
  </si>
  <si>
    <t>Represents the difference between the accrual and payments.</t>
  </si>
  <si>
    <t xml:space="preserve">Federal effect of state deductions. </t>
  </si>
  <si>
    <t>Represents the amount of amortization of AFC in service not allowable for tax.</t>
  </si>
  <si>
    <t>Represents the unallowable amount of book interest.</t>
  </si>
  <si>
    <t>Capitalized for books and current deduction for tax as repairs.</t>
  </si>
  <si>
    <t>Book varies in treatment; tax sec. 165 casualty loss for the decline in value (up to the adj. basis) and Sec 162 deduction for repairs to restore to pre-casualty condition.</t>
  </si>
  <si>
    <t>Represents the allowable "In house" deduction for tax.</t>
  </si>
  <si>
    <t>Represents the actual cost of removal allowable for tax over the accrued amount.</t>
  </si>
  <si>
    <t>Difference between book and tax depreciation taking in consideration flow-through and ARAM.</t>
  </si>
  <si>
    <t>Represents cost that for regulatory purposes needs to be amortized over a prescribed life.  However, allowable for tax when incurred.</t>
  </si>
  <si>
    <t>(Notes A &amp; Q)</t>
  </si>
  <si>
    <t>Books amortizes the fleet lease extension credit over the new lease; tax takes the deduction when incurred.</t>
  </si>
  <si>
    <t>Point to Point Service revenues received by Transmission Owner for which the load is not included in the divisor (Note 4)</t>
  </si>
  <si>
    <t>Revenues included in lines 1-11 which are subject to 50/50 sharing. (Lines 1 + 8 + 10)</t>
  </si>
  <si>
    <r>
      <t>books and records for that calendar year, consistent with FERC accounting policies.</t>
    </r>
    <r>
      <rPr>
        <u/>
        <vertAlign val="subscript"/>
        <sz val="12"/>
        <rFont val="Arial"/>
        <family val="2"/>
      </rPr>
      <t>2</t>
    </r>
  </si>
  <si>
    <t>No True-Up Adjustment will be included in the Annual Transmission Revenue Requirement for 2008 or 2009 since the</t>
  </si>
  <si>
    <t>reconcilable to the FERC Form No. 1 by the application of clearly identified and supported information.  If the reconciliation</t>
  </si>
  <si>
    <t>Requirement as determined in paragraph (i) above, and ATRR based on projected costs for the previous calendar year</t>
  </si>
  <si>
    <t>(True-Up Adjustment Before Interest).</t>
  </si>
  <si>
    <t>ATRR based on actual costs included for the previous calendar year but excludes the true-up adjustment.</t>
  </si>
  <si>
    <t>ATRR based on projected costs included for the previous calendar year but excludes the true-up adjustment.</t>
  </si>
  <si>
    <r>
      <t>Year beginning with 2010 shall be determined as follows:</t>
    </r>
    <r>
      <rPr>
        <u/>
        <vertAlign val="subscript"/>
        <sz val="12"/>
        <rFont val="Arial"/>
        <family val="2"/>
      </rPr>
      <t>1</t>
    </r>
  </si>
  <si>
    <r>
      <t>books and records for that calendar year, consistent with FERC accounting policies.</t>
    </r>
    <r>
      <rPr>
        <u/>
        <vertAlign val="subscript"/>
        <sz val="12"/>
        <rFont val="Arial"/>
        <family val="2"/>
      </rPr>
      <t>2</t>
    </r>
    <r>
      <rPr>
        <sz val="12"/>
        <rFont val="Arial"/>
        <family val="2"/>
      </rPr>
      <t xml:space="preserve"> </t>
    </r>
  </si>
  <si>
    <t>No True-Up Adjustment will be included in the annual revenue requirements for 2008 or 2009 since the</t>
  </si>
  <si>
    <t>to the FERC Form No. 1 by the application of clearly identified and supported information.  If the reconciliation is</t>
  </si>
  <si>
    <t xml:space="preserve">True-up Adjustment  </t>
  </si>
  <si>
    <t>The depreciation rates are included in Attachment 9.</t>
  </si>
  <si>
    <t>Books amortize the fleet lease extension credit over the new lease; tax takes the deduction when incurred.</t>
  </si>
  <si>
    <t>Books record the yield to maturity method; taxes amortize staight line.</t>
  </si>
  <si>
    <t>Formula Rate was not in effect for 2006 or 2007.  For all true-up calculations, the ATRR will be adjusted to exclude any true-up adjustment.</t>
  </si>
  <si>
    <t>Projected Revenue Requirement without Incentive for Previous Calendar Year*</t>
  </si>
  <si>
    <t>Projected Revenue Requirement with Incentive for Previous Calendar Year*</t>
  </si>
  <si>
    <t>Securitization bonds may be included in the capital structure.</t>
  </si>
  <si>
    <t xml:space="preserve">Additional columns to be inserted after the last project as new projects are added to formula. </t>
  </si>
  <si>
    <t>Weighted Cost of Common</t>
  </si>
  <si>
    <t>Accumulated General Depreciation</t>
  </si>
  <si>
    <t>Sales and Use Tax - not allocated to Transmission</t>
  </si>
  <si>
    <t>Preferred %</t>
  </si>
  <si>
    <t>Preferred Cost</t>
  </si>
  <si>
    <t># of Years</t>
  </si>
  <si>
    <t>W/ interest</t>
  </si>
  <si>
    <t>Includes only the costs of any Interconnection Facilities constructed for VEPCO's  own Generating Facilities</t>
  </si>
  <si>
    <t>VEPCO</t>
  </si>
  <si>
    <t>after March 15, 2000 in accordance with Order 2003.</t>
  </si>
  <si>
    <t>Electric</t>
  </si>
  <si>
    <t>Form 1</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</si>
  <si>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</si>
  <si>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</si>
  <si>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Remove all investment below 69 kV or generator step up transformers included in transmission plant in service that </t>
  </si>
  <si>
    <t>are not a result of the RTEP Process</t>
  </si>
  <si>
    <t>3.  ADIT items related to Plant and not in Columns C &amp; D are included in Column E</t>
  </si>
  <si>
    <t>4.  ADIT items related to labor and not in Columns C &amp; D are included in Column F</t>
  </si>
  <si>
    <t>Wva</t>
  </si>
  <si>
    <t>Total Balance Transmission Related Account 242 Reserves</t>
  </si>
  <si>
    <t>Sales and Use Tax</t>
  </si>
  <si>
    <t>Gross Receipts Tax</t>
  </si>
  <si>
    <t>IFTA Fuel Tax</t>
  </si>
  <si>
    <t>Prepaid Pensions if not included in Prepayments</t>
  </si>
  <si>
    <t>Property Taxes - Other</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</si>
  <si>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</si>
  <si>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Form No. 1 balance (p.266) for amortization</t>
  </si>
  <si>
    <t>Total Form No. 1 (p 266 &amp; 267)</t>
  </si>
  <si>
    <t xml:space="preserve">Rate for Network Integration Transmission Service </t>
  </si>
  <si>
    <t>(i)</t>
  </si>
  <si>
    <t>(ii)</t>
  </si>
  <si>
    <t>(iii)</t>
  </si>
  <si>
    <t>End of  Previous Year ADIT (from Sheet 1A-ADIT (3))</t>
  </si>
  <si>
    <t>Average Beginning and End of Year ADIT</t>
  </si>
  <si>
    <t>End of  Year ADIT</t>
  </si>
  <si>
    <t>Extraordinary Property Loss</t>
  </si>
  <si>
    <t>Number of years</t>
  </si>
  <si>
    <t>New Plant Carrying Charge</t>
  </si>
  <si>
    <t>Fixed Charge Rate (FCR) if not a CIAC</t>
  </si>
  <si>
    <t>Formula Line</t>
  </si>
  <si>
    <t xml:space="preserve">Line B less Line A </t>
  </si>
  <si>
    <t>FCR if a CIAC</t>
  </si>
  <si>
    <t>Project A</t>
  </si>
  <si>
    <t>Project B</t>
  </si>
  <si>
    <t>Project E</t>
  </si>
  <si>
    <t>Schedule 12</t>
  </si>
  <si>
    <t>(Yes or No)</t>
  </si>
  <si>
    <t>Yes</t>
  </si>
  <si>
    <t>Life</t>
  </si>
  <si>
    <t>Investment</t>
  </si>
  <si>
    <t>Annual Depreciation Exp</t>
  </si>
  <si>
    <t>In Service Month (1-12)</t>
  </si>
  <si>
    <t>Invest Yr</t>
  </si>
  <si>
    <t>Beginning</t>
  </si>
  <si>
    <t>Depreciation</t>
  </si>
  <si>
    <t>Ending</t>
  </si>
  <si>
    <t>W / O incentive</t>
  </si>
  <si>
    <t>W incentive</t>
  </si>
  <si>
    <t>The True-Up Adjustment component of the Formula Rate for each Rate Year beginning with 2010 shall be determined as</t>
  </si>
  <si>
    <t xml:space="preserve">follows: </t>
  </si>
  <si>
    <t xml:space="preserve">Virginia Electric and Power Company  </t>
  </si>
  <si>
    <t>Net Plant Carrying Charge</t>
  </si>
  <si>
    <t xml:space="preserve">Net Plant Carrying Charge </t>
  </si>
  <si>
    <t>Net Plant Carrying Charge without Depreciation</t>
  </si>
  <si>
    <t>Fall</t>
  </si>
  <si>
    <t xml:space="preserve">TO populates the formula with Year 2008  estimated data </t>
  </si>
  <si>
    <t xml:space="preserve">TO populates the formula with Year 2009  estimated data </t>
  </si>
  <si>
    <t>Sept</t>
  </si>
  <si>
    <t>(Year)</t>
  </si>
  <si>
    <t xml:space="preserve">TO populates the formula with Year 2008 actual data and calculates the 2008 True-Up Adjustment Before Interest </t>
  </si>
  <si>
    <t>TO populates the formula with Year 2009 actual data and calculates the 2009 True-Up Adjustment Before Interest</t>
  </si>
  <si>
    <t>TO populates the formula with (Year -1) actual data and calculates the (Year-1) True-Up Adjustment Before Interest</t>
  </si>
  <si>
    <t>Summary of Formula Rate Process including True-Up Adjustment</t>
  </si>
  <si>
    <t>Attachment 4</t>
  </si>
  <si>
    <t>Attachment 7</t>
  </si>
  <si>
    <t>End of Year Balances :</t>
  </si>
  <si>
    <t>Formula Rate was not in effect for 2006 or 2007.</t>
  </si>
  <si>
    <t xml:space="preserve">TO calculates the Interest to include in the 2008 True-Up Adjustment </t>
  </si>
  <si>
    <t xml:space="preserve">TO populates the formula with Year 2010 estimated data and 2008 True-Up Adjustment </t>
  </si>
  <si>
    <t xml:space="preserve">TO calculates the Interest to include in the 2009 True-Up Adjustment </t>
  </si>
  <si>
    <t>Line #s</t>
  </si>
  <si>
    <t>Descriptions</t>
  </si>
  <si>
    <t>Page #'s &amp; Instructions</t>
  </si>
  <si>
    <t xml:space="preserve">TO populates the formula with Year 2011 estimated data and 2009 True-Up Adjustment </t>
  </si>
  <si>
    <t xml:space="preserve">TO calculates the Interest to include in the (Year-1) True-Up Adjustment </t>
  </si>
  <si>
    <t xml:space="preserve">TO populates the formula with (Year +1) estimated data and (Year-1) True-Up Adjustment </t>
  </si>
  <si>
    <t>CASUALTY LOSS</t>
  </si>
  <si>
    <t>Total tax amortization shown as a schedule M deduction and add back total book amortization.</t>
  </si>
  <si>
    <t>Tax deduction for funding decomm trust and tax deferral of book income generated by trust.</t>
  </si>
  <si>
    <t>Represents the difference between book and tax related to the disposal of telecommunication equipment. Recognized for tax purposes when utilized.</t>
  </si>
  <si>
    <t>Represents difference between book burn of nuclear fuel based on usage vs. tax depreciation.</t>
  </si>
  <si>
    <t xml:space="preserve">Other taxes that are incurred through ownership of plant including transmission plant will be either directly assigned or allocated based on the Gross Plant </t>
  </si>
  <si>
    <t>Represents IRS audit adjustments to plant-related differences.</t>
  </si>
  <si>
    <t>Net revenues associated with Network Integration Transmission Service (NITS) and for the transmission component of the NCEMPA contract rate for which the load is not included in the divisor. (Note 4)</t>
  </si>
  <si>
    <r>
      <t>Note 1: All revenues related to transmission that are received as a transmission owner (</t>
    </r>
    <r>
      <rPr>
        <i/>
        <sz val="10"/>
        <rFont val="Arial"/>
        <family val="2"/>
      </rPr>
      <t>i.e</t>
    </r>
    <r>
      <rPr>
        <sz val="10"/>
        <rFont val="Arial"/>
        <family val="2"/>
      </rPr>
      <t>., not received as a LSE), for which the cost of the service is recovered under this formula, except as specifically provided for elsewhere in this Attachment or elsewhere in the formula will be included as a revenue credit or included in the peak on line 169 of Appendix A.</t>
    </r>
  </si>
  <si>
    <t>Represents the deferred state tax impact related to WV Pollution control projects.  This deferral will turn around once placed in service.</t>
  </si>
  <si>
    <t xml:space="preserve">Directly Assigned Property Taxes </t>
  </si>
  <si>
    <t xml:space="preserve">    Less Account 219 - Accumulated Other Comprehensive Income</t>
  </si>
  <si>
    <t>projected capital structure and actual capital structure shall reflect the capital structure from the most recent FERC Form No. 1 data available.</t>
  </si>
  <si>
    <t>p112.3c,d/2</t>
  </si>
  <si>
    <t>p112.16c,d/2</t>
  </si>
  <si>
    <t>p112.24c,d/2</t>
  </si>
  <si>
    <t>p111.81c,d/2</t>
  </si>
  <si>
    <t>p113.61c,d/2</t>
  </si>
  <si>
    <t>p112.15c,d/2</t>
  </si>
  <si>
    <t>Less: Interconnect Facilities Installed After March 15, 2000</t>
  </si>
  <si>
    <t>"Depreciation" is the annual depreciation in line 17 divided by twelve times the difference of 12.5 minus line 18 in the first year and line 17 thereafter.</t>
  </si>
  <si>
    <t>Formula Logic to be copied on new lines added each year after line 25.  Using  2009 as an example, the logic will be included in lines 26 and 27.</t>
  </si>
  <si>
    <t>The FCR resulting from Formula is for the rate period only.</t>
  </si>
  <si>
    <t xml:space="preserve">     Less GSU Maintenance</t>
  </si>
  <si>
    <t>Less: GSU Depreciation</t>
  </si>
  <si>
    <t>Total Transmission Depreciation</t>
  </si>
  <si>
    <t>Generator Step-Ups</t>
  </si>
  <si>
    <t>Transmission Accumulated Depreciation - Generator Step-Ups</t>
  </si>
  <si>
    <t>Transmission Accumulated Depreciation - Interconnection Facilities</t>
  </si>
  <si>
    <t>Depreciation - Generator Step-Ups</t>
  </si>
  <si>
    <t>Depreciation - Interconnection Facilities</t>
  </si>
  <si>
    <t>Revenue Requirement</t>
  </si>
  <si>
    <t>Attachment 8</t>
  </si>
  <si>
    <t>Production</t>
  </si>
  <si>
    <t>p207.104g/Plant-Acc. Deprc Wkst</t>
  </si>
  <si>
    <t>p207.58.g/Trans.Input Sht</t>
  </si>
  <si>
    <t>Trans. Input Sht</t>
  </si>
  <si>
    <t>Generator Interconnect Facilities</t>
  </si>
  <si>
    <t>Input Sht</t>
  </si>
  <si>
    <t>p205.5.g &amp; p207.99.g/G&amp;I Wksht</t>
  </si>
  <si>
    <t>p219.25.c/Trans.Input Sht</t>
  </si>
  <si>
    <t>GSU Input Sht</t>
  </si>
  <si>
    <t>p219.28.b</t>
  </si>
  <si>
    <t>Attachment 5 / From PJM</t>
  </si>
  <si>
    <t>O&amp;M Expenses</t>
  </si>
  <si>
    <t>(Note A)</t>
  </si>
  <si>
    <t>p321.112.b/Trans. Input Sht</t>
  </si>
  <si>
    <t>Input Sheet</t>
  </si>
  <si>
    <t xml:space="preserve">     Less Account 565 - Transmission by Others</t>
  </si>
  <si>
    <t>Transmission by Others</t>
  </si>
  <si>
    <t>p321.96.b/Attachment 5</t>
  </si>
  <si>
    <t>Wages &amp; Salary</t>
  </si>
  <si>
    <t>Transmission Wages</t>
  </si>
  <si>
    <t>p354.21b/Trans. Wksht</t>
  </si>
  <si>
    <t>Trans. Wksht</t>
  </si>
  <si>
    <t>p354.21b/ Attachment 5</t>
  </si>
  <si>
    <t>Total Wage Expense</t>
  </si>
  <si>
    <t>Total A&amp;G Wages Expense</t>
  </si>
  <si>
    <t>p354.28b/Trans. Wksht</t>
  </si>
  <si>
    <t>p354.27b/Trans. Wksht</t>
  </si>
  <si>
    <t>p354.28b/Attachment 5</t>
  </si>
  <si>
    <t>p354.27b/Attachment 5</t>
  </si>
  <si>
    <t>p219.29c</t>
  </si>
  <si>
    <t>p200.21c</t>
  </si>
  <si>
    <t>p219.29c/Attachment 5</t>
  </si>
  <si>
    <t>p200.21c/Attachment 5</t>
  </si>
  <si>
    <t>p356/Attachment 5</t>
  </si>
  <si>
    <t>p207.58.g/Attachment 5</t>
  </si>
  <si>
    <t>p207.104.g/Attachment 5</t>
  </si>
  <si>
    <t>p205.5.g + p207.99.g/Attachment 5</t>
  </si>
  <si>
    <t>p214.47.d/Attachment 5</t>
  </si>
  <si>
    <t>p214.47.d</t>
  </si>
  <si>
    <t>p219.25.c/Attachment 5</t>
  </si>
  <si>
    <t>p219.28.b/Attachment 5</t>
  </si>
  <si>
    <t>p321.112.b/Attachment 5</t>
  </si>
  <si>
    <t>Depreciation-Transmission</t>
  </si>
  <si>
    <t>Depreciation-General</t>
  </si>
  <si>
    <t>Depreciation-Intangible</t>
  </si>
  <si>
    <t>p336.7.b&amp;c</t>
  </si>
  <si>
    <t>p336.10b&amp;c&amp;d/Attachment 5</t>
  </si>
  <si>
    <t>p336.1d&amp;e/Attachment 5</t>
  </si>
  <si>
    <t>p336.7b&amp;c/Attachment 5</t>
  </si>
  <si>
    <t>Beginning with 2009, no later than June 15 of each year VEPCO shall recalculate an adjusted Annual Transmission</t>
  </si>
  <si>
    <t>Revenue Requirement for the previous calendar year based on its actual costs as reflected in its Form No. 1 and its</t>
  </si>
  <si>
    <t>i =</t>
  </si>
  <si>
    <t>Future Value Factor (1+i)^24 months from Attachment 6</t>
  </si>
  <si>
    <t xml:space="preserve">In the formulas used in the Columns for lines 19+ are as follows:   </t>
  </si>
  <si>
    <t>"In Service Month"  is the first month during the first year that the project is placed in service or recovery is request for the project.</t>
  </si>
  <si>
    <t>"Beginning" is the investment on line 16 for the first year and is the "Ending" for the prior year after the first year.</t>
  </si>
  <si>
    <t xml:space="preserve"> of the average of the beginning and end of year balances for the year.  See notes Q and R below.</t>
  </si>
  <si>
    <t>To the extent possible, each input to the Formula Rate used to calculate the actual Annual Revenue Requirement</t>
  </si>
  <si>
    <t>To the extent possible each input to the Formula Rate used to calculate the actual Annual Transmission Revenue</t>
  </si>
  <si>
    <t>Requirement included in the True-Up Adjustment either will be taken directly from the FERC Form No. 1 or will be</t>
  </si>
  <si>
    <t>is provided through a worksheet included in the filed Formula Rate template, the inputs to the worksheet must meet this</t>
  </si>
  <si>
    <t>transparency standard, and doing so will satisfy this transparency requirement for the amounts that are output from the</t>
  </si>
  <si>
    <t>worksheet and input to the main body of the Formula Rate.</t>
  </si>
  <si>
    <t>included in the True-Up Adjustment either will be taken directly from the FERC Form No. 1 or will be reconcilable</t>
  </si>
  <si>
    <t>provided through a worksheet included in the filed Formula Rate template, the inputs to the worksheet must meet</t>
  </si>
  <si>
    <t>this transparency standard, and doing so will satisfy this transparency requirement for the amounts that are</t>
  </si>
  <si>
    <t>output from the worksheet and input to the main body of the Formula Rate.</t>
  </si>
  <si>
    <t>Attachment 6A - True-up Adjustment for Annual Revenue Requirements recovered under Schedule 12</t>
  </si>
  <si>
    <t>The True-Up Adjustment component of the annual revenue requirement for each project included in Attachment 7 for each Rate</t>
  </si>
  <si>
    <t>VEPCO shall determine the difference between the recalculated Annual Revenue Requirement and the Annual Revenue</t>
  </si>
  <si>
    <t>Requirement based on its projections (True-Up Adjustment Before Interest).</t>
  </si>
  <si>
    <t>12 months ending December 31 of the proceeding year) divided by 19 months.</t>
  </si>
  <si>
    <t>Attachment 6 - True-up Adjustment for Network Integration Transmission Service</t>
  </si>
  <si>
    <t>12 months ending December 31 of the preceding year) divided by 19 months.</t>
  </si>
  <si>
    <t xml:space="preserve">The True-Up Adjustment for each project shall be determined as follows: </t>
  </si>
  <si>
    <t>Rev Req</t>
  </si>
  <si>
    <t>"Ending" is "Beginning" less "Depreciation"</t>
  </si>
  <si>
    <t>Books estimate expense, tax deduction taken when paid.</t>
  </si>
  <si>
    <t>p227.8c/2</t>
  </si>
  <si>
    <t>Book expense for emissions allowances based on moving-average-cost, tax expense based on specific identification.</t>
  </si>
  <si>
    <t>Excludes amounts for Generator Step-ups and Interconnection Facilities, when appropriate.</t>
  </si>
  <si>
    <t xml:space="preserve">  If they are booked to Acct 565, they are included on Line 66.</t>
  </si>
  <si>
    <t>overheads shall be treated as in footnote B above.</t>
  </si>
  <si>
    <t>Attachment 2A - Direct Assignment of Property Taxes Per Function</t>
  </si>
  <si>
    <t>True-Up Adjustment equals the True-Up Adjustment Before Interest multiplied by (1+i)^24 months</t>
  </si>
  <si>
    <t>True-Up Adjustment  equals the True-Up Adjustment Before Interest multiplied by (1+i)^24 months</t>
  </si>
  <si>
    <t>i = interest rate as described in (iii) above.</t>
  </si>
  <si>
    <t>(dollars)</t>
  </si>
  <si>
    <t xml:space="preserve">Clifton and Clifton 500 KV 150 MVAR </t>
  </si>
  <si>
    <t>capacitor</t>
  </si>
  <si>
    <t>115 kV</t>
  </si>
  <si>
    <t>If Yes for Schedule</t>
  </si>
  <si>
    <t>12 Include in this</t>
  </si>
  <si>
    <t>Total.</t>
  </si>
  <si>
    <t>If No for Schedule 12 include in</t>
  </si>
  <si>
    <t>Sum</t>
  </si>
  <si>
    <t>this Sum.</t>
  </si>
  <si>
    <t>Revenue Requirement used for crediting is ("Beginning" plus "Ending") divided by two times line 13 times the quotient of 12.5 minus line 18 divided by 12</t>
  </si>
  <si>
    <t>Revenue Requirement used for charging is ("Beginning" plus "Ending") divided by two times line 15 times the quotient of 12.5 minus line 18 divided by 12</t>
  </si>
  <si>
    <t>Beginning with the annual revenue requirements determined in 2009 for 2010, the annual revenue requirements based on projected costs will include a</t>
  </si>
  <si>
    <t xml:space="preserve">     plus "Depreciation" for the first year and ("Beginning" plus "Ending") divided by two times line 13 plus "Depreciation" thereafter.</t>
  </si>
  <si>
    <t xml:space="preserve">     plus "Depreciation" for the first year and ("Beginning" plus "Ending") divided by two times line 15 plus "Depreciation" thereafter. </t>
  </si>
  <si>
    <t>Do for Each Calendar Year beginning in 2009 for True-Up Adjustments applicable to 2010 annual revenue requirements.</t>
  </si>
  <si>
    <t>Tax recognizes the intercompany gain/loss over the tax life of the assets.</t>
  </si>
  <si>
    <t>Books recognizes the expense as incurred. For tax the deduction is recognized when the casks are filled.</t>
  </si>
  <si>
    <t>Appendix A Line 125 + 100 Basis Points</t>
  </si>
  <si>
    <t>Gross Revenue Credits (Accounts 454 and 456)</t>
  </si>
  <si>
    <t>Fixed (2008 actual)</t>
  </si>
  <si>
    <t>Difference  (A-B)</t>
  </si>
  <si>
    <t>True-up Adjustment   (C*D)</t>
  </si>
  <si>
    <t>Represents the difference between the book accrual expense and the actual funded amount.</t>
  </si>
  <si>
    <t>Line 3</t>
  </si>
  <si>
    <t>FCR W incentive L.13 +(L.14*L.5)</t>
  </si>
  <si>
    <t xml:space="preserve">Incentive Factor (Basis Points /100) </t>
  </si>
  <si>
    <t>Attachment 8 - Securitization Workpaper</t>
  </si>
  <si>
    <t>Cost associated with revenues in line 14b that are included in FERC accounts recovered through the formula times the allocator used to functionalize the amounts in the FERC account to the transmission service at issue</t>
  </si>
  <si>
    <t>b0217</t>
  </si>
  <si>
    <t>b0222</t>
  </si>
  <si>
    <t>B0226</t>
  </si>
  <si>
    <t>Upgrade Mt.Storm - Doubs 500 kV</t>
  </si>
  <si>
    <t>Install 500/230 kV transformer at</t>
  </si>
  <si>
    <t>Calculated using average of beginning and end of year balances.  Beginning and end of year balances are from Form 1.</t>
  </si>
  <si>
    <t>Allocator.  If the taxes are 100% recovered at retail they will not be included.</t>
  </si>
  <si>
    <t>Other taxes that are assessed based on labor will be allocated based on the Wages and Salary Allocator.</t>
  </si>
  <si>
    <t xml:space="preserve"> Amortization ITC-255</t>
  </si>
  <si>
    <t>Amortization to line 136 of Appendix A</t>
  </si>
  <si>
    <t>Plant Type</t>
  </si>
  <si>
    <t>Applied</t>
  </si>
  <si>
    <t>Rate</t>
  </si>
  <si>
    <t xml:space="preserve">   Structures and Improvements</t>
  </si>
  <si>
    <t xml:space="preserve">   Communication Equipment</t>
  </si>
  <si>
    <t>Virginia Electric and Power Company</t>
  </si>
  <si>
    <t>Annual Revenue</t>
  </si>
  <si>
    <t>Requirement</t>
  </si>
  <si>
    <t>including Incentive</t>
  </si>
  <si>
    <t xml:space="preserve">excluding </t>
  </si>
  <si>
    <t>if Applicable</t>
  </si>
  <si>
    <t>Incentive</t>
  </si>
  <si>
    <t>Revenue Adjustment to Determine Revenue Credit</t>
  </si>
  <si>
    <t>14a</t>
  </si>
  <si>
    <t>14b</t>
  </si>
  <si>
    <t>14c</t>
  </si>
  <si>
    <t>14d</t>
  </si>
  <si>
    <t>14e</t>
  </si>
  <si>
    <t>14f</t>
  </si>
  <si>
    <t>14g</t>
  </si>
  <si>
    <t>Costs associated with revenues in line 14a</t>
  </si>
  <si>
    <t>Net Revenues  (14a - 14b)</t>
  </si>
  <si>
    <t>50% Share of Net Revenues  (14c / 2)</t>
  </si>
  <si>
    <t>Net Revenue Credit (14d + 14e)</t>
  </si>
  <si>
    <t>Line 14f less line 14a</t>
  </si>
  <si>
    <t>Weighted Cost of Preferred</t>
  </si>
  <si>
    <t>Transmission</t>
  </si>
  <si>
    <t>ADIT-190</t>
  </si>
  <si>
    <t>ADIT- 282</t>
  </si>
  <si>
    <t>ADIT-283</t>
  </si>
  <si>
    <t>Accumulated Deferred Income Taxes</t>
  </si>
  <si>
    <t xml:space="preserve">Plant </t>
  </si>
  <si>
    <t>Related</t>
  </si>
  <si>
    <t>Labor</t>
  </si>
  <si>
    <t>Or Other</t>
  </si>
  <si>
    <t>Only</t>
  </si>
  <si>
    <t>Instructions for Account 190:</t>
  </si>
  <si>
    <t>Instructions for Account 283:</t>
  </si>
  <si>
    <t>Instructions for Account 282:</t>
  </si>
  <si>
    <t>Subtotal - p234</t>
  </si>
  <si>
    <t>ADIT</t>
  </si>
  <si>
    <t>Plant Related</t>
  </si>
  <si>
    <t>Page 263</t>
  </si>
  <si>
    <t>Col (i)</t>
  </si>
  <si>
    <t>Labor Related</t>
  </si>
  <si>
    <t>Other Included</t>
  </si>
  <si>
    <t>Total Plant Related</t>
  </si>
  <si>
    <t>Total Labor Related</t>
  </si>
  <si>
    <t>Total Other Included</t>
  </si>
  <si>
    <t>Currently Excluded</t>
  </si>
  <si>
    <t>Allocated</t>
  </si>
  <si>
    <t>Amount</t>
  </si>
  <si>
    <t>ADIT net of FASB 106 and 109</t>
  </si>
  <si>
    <t>Total Included</t>
  </si>
  <si>
    <t xml:space="preserve">      Less Loss on Reacquired Debt </t>
  </si>
  <si>
    <t xml:space="preserve">      Plus Gain on Reacquired Debt</t>
  </si>
  <si>
    <t>enter positive</t>
  </si>
  <si>
    <t>Plant Held for Future Use (Including Land)</t>
  </si>
  <si>
    <t xml:space="preserve">  multiplied by (1/1-T).  A utility must not include tax credits as a reduction to rate base and as an amortization against taxable income.</t>
  </si>
  <si>
    <t>Net Transmission Plant</t>
  </si>
  <si>
    <t>Line #</t>
  </si>
  <si>
    <t>Details</t>
  </si>
  <si>
    <t xml:space="preserve">      Less LTD on Securitization Bonds</t>
  </si>
  <si>
    <t>Per State Tax Code</t>
  </si>
  <si>
    <t>Network Credits</t>
  </si>
  <si>
    <t>Outstanding Network Credits</t>
  </si>
  <si>
    <t>Return Calculation</t>
  </si>
  <si>
    <t>(Note J  from Appendix A)</t>
  </si>
  <si>
    <t>p = percent of federal income tax deductible for state purposes</t>
  </si>
  <si>
    <t>(Note I from Appendix A)</t>
  </si>
  <si>
    <t>Basis Point increase in ROE and Income Taxes</t>
  </si>
  <si>
    <t>Return and Taxes with Basis Point increase in ROE</t>
  </si>
  <si>
    <t xml:space="preserve">The True-Up Adjustment shall be determined as follows: </t>
  </si>
  <si>
    <t xml:space="preserve">Where: </t>
  </si>
  <si>
    <t>Sum of (the monthly rates for the 7 months ending July 31 of the current year and the monthly rates for the</t>
  </si>
  <si>
    <t>Attachment 4 - Calculation of 100 Basis Point Increase in ROE</t>
  </si>
  <si>
    <t>(Note T)</t>
  </si>
  <si>
    <t xml:space="preserve"> (Note T), enter positive</t>
  </si>
  <si>
    <t>(Note T), enter negative</t>
  </si>
  <si>
    <t>Each monthly rate used to calculate i shall be calculated pursuant to the Commission’s regulations at 18</t>
  </si>
  <si>
    <t>C.F.R. § 35.19a.</t>
  </si>
  <si>
    <t>Net Outstanding Credits</t>
  </si>
  <si>
    <t>From PJM</t>
  </si>
  <si>
    <t>PJM Data</t>
  </si>
  <si>
    <t>Production Property Tax</t>
  </si>
  <si>
    <t>End of Previous Year ADIT</t>
  </si>
  <si>
    <t>Va</t>
  </si>
  <si>
    <t>NC</t>
  </si>
  <si>
    <t>Jan</t>
  </si>
  <si>
    <t>Feb</t>
  </si>
  <si>
    <t>Mar</t>
  </si>
  <si>
    <t>Apr</t>
  </si>
  <si>
    <t>Totals</t>
  </si>
  <si>
    <t>May</t>
  </si>
  <si>
    <t>Jun</t>
  </si>
  <si>
    <t>Jul</t>
  </si>
  <si>
    <t>Aug</t>
  </si>
  <si>
    <t>Sep</t>
  </si>
  <si>
    <t>Oct</t>
  </si>
  <si>
    <t>Nov</t>
  </si>
  <si>
    <t>Form 1 Dec</t>
  </si>
  <si>
    <t>Average</t>
  </si>
  <si>
    <t xml:space="preserve">Form 1Dec </t>
  </si>
  <si>
    <t>Previous Year</t>
  </si>
  <si>
    <t>Current Year</t>
  </si>
  <si>
    <t>Transmission Plant in Service</t>
  </si>
  <si>
    <t>Beginning Year Balance</t>
  </si>
  <si>
    <t>End of Year Balance</t>
  </si>
  <si>
    <t>Average Balance</t>
  </si>
  <si>
    <t>Network Zonal Service Rate</t>
  </si>
  <si>
    <t>EPRI Dues</t>
  </si>
  <si>
    <t>MultiState Workpaper</t>
  </si>
  <si>
    <t>Form 1 Amount</t>
  </si>
  <si>
    <t>Non-electric  Portion</t>
  </si>
  <si>
    <t>Enter</t>
  </si>
  <si>
    <t>Transmission Related</t>
  </si>
  <si>
    <t>Safety Related</t>
  </si>
  <si>
    <t>Enter Calculation</t>
  </si>
  <si>
    <t>State 1</t>
  </si>
  <si>
    <t>State 2</t>
  </si>
  <si>
    <t>State 3</t>
  </si>
  <si>
    <t>State 4</t>
  </si>
  <si>
    <t>State 5</t>
  </si>
  <si>
    <t>Education &amp; Outreach</t>
  </si>
  <si>
    <t>Other</t>
  </si>
  <si>
    <t>Enter $</t>
  </si>
  <si>
    <t>Description of the Facilities</t>
  </si>
  <si>
    <t>Add more lines if necessary</t>
  </si>
  <si>
    <t>General Description of the Facilities</t>
  </si>
  <si>
    <t>General Description of the Credits</t>
  </si>
  <si>
    <t>Description of the Credits</t>
  </si>
  <si>
    <t xml:space="preserve">Description &amp; PJM Documentation </t>
  </si>
  <si>
    <t>Description of the Interest on the Credits</t>
  </si>
  <si>
    <t>F</t>
  </si>
  <si>
    <t>N</t>
  </si>
  <si>
    <t xml:space="preserve">     Plus Schedule 12 Charges billed to Transmission Owner and booked to Account 565</t>
  </si>
  <si>
    <t>Rent from Electric Property - Transmission Related (Note 3)</t>
  </si>
  <si>
    <t>Account 456 - Other Electric Revenues (Note 1)</t>
  </si>
  <si>
    <t>PJM Transitional Revenue Neutrality (Note 1)</t>
  </si>
  <si>
    <t>PJM Transitional Market Expansion (Note 1)</t>
  </si>
  <si>
    <t>Professional Services (Note 3)</t>
  </si>
  <si>
    <t>Revenues from Directly Assigned Transmission Facility Charges (Note 2)</t>
  </si>
  <si>
    <t xml:space="preserve">  elected to use amortization of tax credits against taxable income, rather than book tax credits to Account No. 255 and reduce </t>
  </si>
  <si>
    <t>1.  ADIT items related only to Non-Electric Operations (e.g., Gas, Water, Sewer) or Production are directly assigned to Column C</t>
  </si>
  <si>
    <t>2.  ADIT items related only to Transmission are directly assigned to Column D</t>
  </si>
  <si>
    <t>5. Deferred income taxes arise when items are included in taxable income in different periods than they are included in rates, therefore if the item giving rise to the ADIT is not included in the formula, the associated ADIT amount shall be excluded</t>
  </si>
  <si>
    <t>Rent or Attachment Fees associated with Transmission Facilities (Note 3)</t>
  </si>
  <si>
    <t xml:space="preserve">Pension Liabilities, if any, in Account 242 </t>
  </si>
  <si>
    <t xml:space="preserve">Composite Income Taxes                                                                                                       </t>
  </si>
  <si>
    <t>Balance</t>
  </si>
  <si>
    <t>Total Transmission Plant In Service</t>
  </si>
  <si>
    <t xml:space="preserve">    Less Accumulated Depreciation Associated with Facilities with Outstanding Network Credits</t>
  </si>
  <si>
    <t>Non-transmission Related</t>
  </si>
  <si>
    <t>Non-safety Related</t>
  </si>
  <si>
    <t>Electric / Non-electric Cost Support</t>
  </si>
  <si>
    <t>Transmission / Non-transmission Cost Support</t>
  </si>
  <si>
    <t>EPRI Dues Cost Support</t>
  </si>
  <si>
    <t>Regulatory Expense Related to Transmission Cost Support</t>
  </si>
  <si>
    <t>Safety Related Advertising Cost Support</t>
  </si>
  <si>
    <t>Education and Out Reach Cost Support</t>
  </si>
  <si>
    <t>PJM Load Cost Support</t>
  </si>
  <si>
    <t>Excluded Plant Cost Support</t>
  </si>
  <si>
    <t>Outstanding Network Credits Cost Support</t>
  </si>
  <si>
    <t>Interest on Outstanding Network Credits Cost Support</t>
  </si>
  <si>
    <t>O</t>
  </si>
  <si>
    <t xml:space="preserve">Taxes Other than Income                                                    </t>
  </si>
  <si>
    <t>Total A&amp;G Expenses</t>
  </si>
  <si>
    <t>Less Interconnect Facilities Depreciation</t>
  </si>
  <si>
    <t>Account 454 - Rent from Electric Property</t>
  </si>
  <si>
    <t>Total Rent Revenues</t>
  </si>
  <si>
    <t>See Form 1</t>
  </si>
  <si>
    <t>None</t>
  </si>
  <si>
    <t>Shaded cells are input cells</t>
  </si>
  <si>
    <t xml:space="preserve">Total Accumulated Depreciation for Transmission </t>
  </si>
  <si>
    <r>
      <t xml:space="preserve">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VEPCO will retain 50% of net revenues consistent with </t>
    </r>
    <r>
      <rPr>
        <i/>
        <sz val="10"/>
        <rFont val="Arial"/>
        <family val="2"/>
      </rPr>
      <t>Pacific Gas and Electric Company</t>
    </r>
    <r>
      <rPr>
        <sz val="10"/>
        <rFont val="Arial"/>
        <family val="2"/>
      </rPr>
      <t>, 90 FERC ¶ 61,314.  In order to use lines 14a - 14g, the utility must track in separate subaccounts the revenues and costs associated with each secondary use (except for the cost of the associated income taxes).</t>
    </r>
  </si>
  <si>
    <t>Note 4:  Revenues from Schedule 12 are not included in the total above to the extent they are credited under Schedule 12.  In addition, revenues from Schedule 7, Schedule 8 and H-A are not included in the total above to the extent PJM credits VEPCO's share of these revenues monthly to network customers under Attachment H-16.</t>
  </si>
  <si>
    <t>Attachment 2 - Taxes Other Than Income Worksheet</t>
  </si>
  <si>
    <t>Attachment 3 - Revenue Credit Workpaper</t>
  </si>
  <si>
    <t>Attachment 1</t>
  </si>
  <si>
    <t>Attachment 3</t>
  </si>
  <si>
    <t>Attachment 2</t>
  </si>
  <si>
    <t>Calendar Year</t>
  </si>
  <si>
    <t>Do for Each Calendar Year beginning in 2009</t>
  </si>
  <si>
    <t>Actual Revenue Requirements are calculated using the logic described for lines 19 + but with actual data for the indicated year.</t>
  </si>
  <si>
    <t>Projected Revenue Requirements are calculated using the logic described for lines 19 + but with projected data for the indicated year.</t>
  </si>
  <si>
    <t>Future Value Factor (1+i)^24</t>
  </si>
  <si>
    <t>Where:</t>
  </si>
  <si>
    <t>Actual Revenue Requirement without Incentive for Previous Calendar Year *</t>
  </si>
  <si>
    <t>Actual Revenue Requirement with Incentive for Previous Calendar Year *</t>
  </si>
  <si>
    <t xml:space="preserve">Beginning with 2009, no later than June 15 of each year VEPCO shall recalculate an adjusted Annual </t>
  </si>
  <si>
    <t>Annual  Transmission Revenue Requirement  (ATRR)</t>
  </si>
  <si>
    <t>(Sum Lines 1)</t>
  </si>
  <si>
    <t>(Sum Lines 2-10)</t>
  </si>
  <si>
    <t>Less FASB 109 Above if not separately removed</t>
  </si>
  <si>
    <t>Less Accumulated Depreciation for Generator Step-ups</t>
  </si>
  <si>
    <t>Less Accumulated Depreciation for  Interconnect Facilities Installed After March 15, 2000</t>
  </si>
  <si>
    <t>Total Transmission Allocated Materials and Supplies</t>
  </si>
  <si>
    <t>Transmission Operation &amp; Maintenance Expense</t>
  </si>
  <si>
    <t>General and Intangible Depreciation Allocated to Transmission</t>
  </si>
  <si>
    <t>Net Plant Carrying Charge without Depreciation, Return or Income Taxes</t>
  </si>
  <si>
    <t>The currently effective income tax rate, where FIT is the Federal income tax rate; SIT is the State income tax rate, and p =</t>
  </si>
  <si>
    <t xml:space="preserve">(net of accumulated depreciation) toward the construction of Network Transmission Facilities consistent with Paragraph 657 of Order 2003-A. </t>
  </si>
  <si>
    <t>In filling out this attachment, a full and complete description of each item and justification for the allocation to Columns B-E and each separate ADIT item will be listed.  Dissimilar items</t>
  </si>
  <si>
    <t>Other Plant Related Taxes</t>
  </si>
  <si>
    <t>Federal FICA &amp; Unemployment &amp; State Unemployment</t>
  </si>
  <si>
    <t>Business and Occupation Tax - West Virginia</t>
  </si>
  <si>
    <t>Allocation of General Property Tax to Transmission</t>
  </si>
  <si>
    <t>Less Accumulated Depreciation Associated with</t>
  </si>
  <si>
    <t>Facilities with Outstanding Network Credits</t>
  </si>
  <si>
    <t>Net Plant Carrying Charge without Depreciation, Return, or Income Taxes</t>
  </si>
  <si>
    <t>H</t>
  </si>
  <si>
    <t>True-Up Adjustment Before Interest with Incentive for Previous Calendar Year   (B-D)</t>
  </si>
  <si>
    <t>True-Up Adjustment without Incentive  (E*G)</t>
  </si>
  <si>
    <t>True-Up Adjustment with Incentive       (F*G)</t>
  </si>
  <si>
    <t xml:space="preserve">* These amounts do not include any True-Up Adjustments. </t>
  </si>
  <si>
    <r>
      <t>Attachment 9 - Depreciation Rates</t>
    </r>
    <r>
      <rPr>
        <b/>
        <vertAlign val="superscript"/>
        <sz val="10"/>
        <rFont val="Arial"/>
        <family val="2"/>
      </rPr>
      <t xml:space="preserve">1   </t>
    </r>
  </si>
  <si>
    <t>Interest on Network Credits</t>
  </si>
  <si>
    <t>PJM data</t>
  </si>
  <si>
    <t>Interest on the Network Credits as booked each year is added to the revenue requirement on Line 167.</t>
  </si>
  <si>
    <t>Less FASB 106 Above if not separately removed</t>
  </si>
  <si>
    <t>Total Revenue Credits</t>
  </si>
  <si>
    <t>6.  Re:  Form 1-F filer:  Sum of subtotals for Accounts 282 and 283 should tie to Form No. 1-F, p.113.57.c</t>
  </si>
  <si>
    <t>Subtotal - p275  (Form 1-F filer:  see note 6 below)</t>
  </si>
  <si>
    <t>Subtotal - p277  (Form 1-F filer:  see note 6, below)</t>
  </si>
  <si>
    <t>See FERC Form 1 pages 350-351.</t>
  </si>
  <si>
    <t>Transmission O&amp;M Reserves</t>
  </si>
  <si>
    <t>Enter Negative</t>
  </si>
  <si>
    <t xml:space="preserve">Prepayments </t>
  </si>
  <si>
    <t>VEPCO shall determine the difference between the recalculated Annual Transmission Revenue</t>
  </si>
  <si>
    <t xml:space="preserve">Amount </t>
  </si>
  <si>
    <t>Difference</t>
  </si>
  <si>
    <t>Other taxes that are incurred through ownership of only general or intangible plant will be allocated based on the Wages and Salary</t>
  </si>
  <si>
    <t>Transmission Related Account 242 Reserves (exclude current year environmental site related reserves)</t>
  </si>
  <si>
    <t>Instructions:</t>
  </si>
  <si>
    <t>If unable to determine the investment below 69kV in a substation with investment of 69 kV and higher as well as below 69 kV,</t>
  </si>
  <si>
    <t>the following formula will be used:</t>
  </si>
  <si>
    <t>Example</t>
  </si>
  <si>
    <t>Total investment in substation</t>
  </si>
  <si>
    <t>Identifiable investment in Transmission (provide workpapers)</t>
  </si>
  <si>
    <t>Identifiable investment in Distribution (provide workpapers)</t>
  </si>
  <si>
    <t>Amount to be excluded (A x (C / (B + C)))</t>
  </si>
  <si>
    <t>Total Transmission Related Reserves</t>
  </si>
  <si>
    <t>Description of the Prepayments</t>
  </si>
  <si>
    <t>Justification</t>
  </si>
  <si>
    <t>Transmission  Property Tax</t>
  </si>
  <si>
    <t>Distribution Property tax</t>
  </si>
  <si>
    <t>General Property Tax</t>
  </si>
  <si>
    <t xml:space="preserve">  Total check</t>
  </si>
  <si>
    <t>Trans General</t>
  </si>
  <si>
    <t xml:space="preserve">General </t>
  </si>
  <si>
    <t>Total Transmission Property Taxes</t>
  </si>
  <si>
    <t>1a</t>
  </si>
  <si>
    <t>FCR W/O incentive</t>
  </si>
  <si>
    <t>Transmission Personal Property Tax  (directly assigned to Transmission)</t>
  </si>
  <si>
    <t>Month</t>
  </si>
  <si>
    <t>Year</t>
  </si>
  <si>
    <t>Action</t>
  </si>
  <si>
    <t>June</t>
  </si>
  <si>
    <t>Less Generator Step-ups</t>
  </si>
  <si>
    <t>Net Transmission Wage Expenses</t>
  </si>
  <si>
    <t>Less: Generator Step-ups</t>
  </si>
  <si>
    <t>BAD DEBTS</t>
  </si>
  <si>
    <t>FLEET LEASE CREDIT - CURRENT</t>
  </si>
  <si>
    <t>p352-353/Attachment 5</t>
  </si>
  <si>
    <t>p323.189b/Attachment 5</t>
  </si>
  <si>
    <t>p323.911b/Attachment 5</t>
  </si>
  <si>
    <t>Sales and Use Tax - Retail</t>
  </si>
  <si>
    <t>GROSS REC-UNBILLED REV-NC</t>
  </si>
  <si>
    <t>NUCLEAR FUEL - PERMANENT DISPOSAL</t>
  </si>
  <si>
    <t>SEPARATION/ERT</t>
  </si>
  <si>
    <t>SUCCESS SHARE PLAN</t>
  </si>
  <si>
    <t>WEST VA PROPERTY TAX</t>
  </si>
  <si>
    <t>CAPITALIZED INTEREST OPERATING CWIP</t>
  </si>
  <si>
    <t>CAPITALIZED INTEREST OPERATING IN SERVICE</t>
  </si>
  <si>
    <t>DECOMMISSIONING &amp; DECONTAMINATION</t>
  </si>
  <si>
    <t>DEFERRED GAIN/LOSS OPERATING</t>
  </si>
  <si>
    <t>DSM</t>
  </si>
  <si>
    <t>EARNEST MONEY</t>
  </si>
  <si>
    <t>FLEET LEASE CREDIT - NONCURRENT</t>
  </si>
  <si>
    <t>INT STOR NORTH ANNA</t>
  </si>
  <si>
    <t>INT STOR SURRY</t>
  </si>
  <si>
    <t>LONG TERM DISABILITY RESERVE</t>
  </si>
  <si>
    <t>METERS</t>
  </si>
  <si>
    <t>OPEB</t>
  </si>
  <si>
    <t>POWER PURCHASE BUYOUT</t>
  </si>
  <si>
    <t>PREMIUM, DEBT, DISCOUNT AND EXPENSE</t>
  </si>
  <si>
    <t>REACTOR DECOMMISSIONING LIABILITY</t>
  </si>
  <si>
    <t>RETIREMENT - (FASB 87)</t>
  </si>
  <si>
    <t>W.VA. STATE POLLUTION CONTROL - FEDERAL EFFECT</t>
  </si>
  <si>
    <t>AFC DEFERRED TAX - FUEL IN SERVICE</t>
  </si>
  <si>
    <t>Production/Other</t>
  </si>
  <si>
    <t>A&amp;G Expenses - Other Post Employment Benefits</t>
  </si>
  <si>
    <t>Less OPEB Current Year</t>
  </si>
  <si>
    <t>Current Year Total A&amp;G Expenses</t>
  </si>
  <si>
    <t>p323.197b</t>
  </si>
  <si>
    <t>Plus: Stated OPEB (2008 actual)</t>
  </si>
  <si>
    <t>BOOK CAPITALIZED INTEREST CWIP</t>
  </si>
  <si>
    <t>COMPUTER SOFTWARE-CWIP</t>
  </si>
  <si>
    <t>COMPUTER SOFTWARE-TAX AMORT</t>
  </si>
  <si>
    <t>DECOMMISSIONING</t>
  </si>
  <si>
    <t>INVOLUNTARY CONVERSION - TELECOMMUNICATIONS</t>
  </si>
  <si>
    <t>LIBERALIZED DEPRECIATION - FUEL</t>
  </si>
  <si>
    <t>LIBERALIZED DEPRECIATION - FUEL CWIP</t>
  </si>
  <si>
    <t>LIBERALIZED DEPRECIATION - PLANT ACUFILE</t>
  </si>
  <si>
    <t>FIXED ASSETS</t>
  </si>
  <si>
    <t>Represents the deferred state tax impact related to WV NOL. This deferral will turn around when the pollution control projects are placed in service.</t>
  </si>
  <si>
    <t>Book amount accrued as its earned; tax deduction is actual payout.</t>
  </si>
  <si>
    <t>REGULATORY ASSET - D &amp; D</t>
  </si>
  <si>
    <t>REGULATORY ASSET - FAS 112</t>
  </si>
  <si>
    <t>REGULATORY ASSET - ISABEL</t>
  </si>
  <si>
    <t>REGULATORY ASSET - NUG</t>
  </si>
  <si>
    <t>REGULATORY ASSET - VA SLS TAX</t>
  </si>
  <si>
    <t>SO2 ALLOWANCES - NONCURRENT</t>
  </si>
  <si>
    <t>W.VA. STATE NOL CFWD</t>
  </si>
  <si>
    <t>W.VA. STATE POLLUTION CONTROL</t>
  </si>
  <si>
    <t>Less line 14g</t>
  </si>
  <si>
    <t>Line Ref.</t>
  </si>
  <si>
    <t>Respondent is Electric Utility only.</t>
  </si>
  <si>
    <t>Total Income Taxes</t>
  </si>
  <si>
    <t>Summary</t>
  </si>
  <si>
    <t>Net Property, Plant &amp; Equipment</t>
  </si>
  <si>
    <t>Taxes Other than Income</t>
  </si>
  <si>
    <t>Common Stock</t>
  </si>
  <si>
    <t>Revenue Credits</t>
  </si>
  <si>
    <t>C</t>
  </si>
  <si>
    <t>Common Depreciation - Electric Only</t>
  </si>
  <si>
    <t>Gross Plant Allocator</t>
  </si>
  <si>
    <t>Total  Capitalization</t>
  </si>
  <si>
    <t>Total Long Term Debt</t>
  </si>
  <si>
    <t>Total Return ( R )</t>
  </si>
  <si>
    <t>Total Long Term Debt (WCLTD)</t>
  </si>
  <si>
    <t>REVENUE REQUIREMENT</t>
  </si>
  <si>
    <t>I</t>
  </si>
  <si>
    <t>Total Taxes Other than Income</t>
  </si>
  <si>
    <t>J</t>
  </si>
  <si>
    <t>Long Term Interest</t>
  </si>
  <si>
    <t>Long Term Debt</t>
  </si>
  <si>
    <t xml:space="preserve">    Less LTD Interest on Securitization Bonds</t>
  </si>
  <si>
    <t>Depreciation Expense</t>
  </si>
  <si>
    <t>Accumulated Depreciation (Total Electric Plant)</t>
  </si>
  <si>
    <t>Transmission Depreciation Expense</t>
  </si>
  <si>
    <t>Transmission Wages Expense</t>
  </si>
  <si>
    <t>Total Wages Expense</t>
  </si>
  <si>
    <t>p356</t>
  </si>
  <si>
    <t xml:space="preserve"> </t>
  </si>
  <si>
    <t>E</t>
  </si>
  <si>
    <t>A</t>
  </si>
  <si>
    <t>D</t>
  </si>
  <si>
    <t>G</t>
  </si>
  <si>
    <t>Preferred Stock</t>
  </si>
  <si>
    <t>K</t>
  </si>
  <si>
    <t>p227.6c &amp; 16.c</t>
  </si>
  <si>
    <t>p321.96.b</t>
  </si>
  <si>
    <t>p323.185b</t>
  </si>
  <si>
    <t>p323.191b</t>
  </si>
  <si>
    <t>p336.11.b</t>
  </si>
  <si>
    <t>p356 or p336.11d</t>
  </si>
  <si>
    <t xml:space="preserve">  rate base, must reduce its income tax expense by the amount of the Amortized Investment Tax Credit (Form 1, 266.8.f)</t>
  </si>
  <si>
    <t>Schedule 1A</t>
  </si>
  <si>
    <t>Other Taxes</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</si>
  <si>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</si>
  <si>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</si>
  <si>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</si>
  <si>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</si>
  <si>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</si>
  <si>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</si>
  <si>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</si>
  <si>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</si>
  <si>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General &amp; Common Expenses Allocated to Transmission</t>
  </si>
  <si>
    <t>Gross  Revenue Requirement Less Return and Taxes</t>
  </si>
  <si>
    <t>Increased Return and Taxes</t>
  </si>
  <si>
    <t>Attachment 5</t>
  </si>
  <si>
    <t>Not applicable to Transmission Cost of Service calculation.</t>
  </si>
  <si>
    <t xml:space="preserve">  Attachment 5 the name of each state and how the blended or composite SIT was developed.  Furthermore, a utility that</t>
  </si>
  <si>
    <t>Amount of transmission plant excluded from rates per Attachment 5.</t>
  </si>
  <si>
    <t>Attachment  6</t>
  </si>
  <si>
    <t>Plus any increased ROE calculated on Attachment 7 other than PJM Schedule 12 projects.</t>
  </si>
  <si>
    <t>Attachment 7 - Transmission Enhancement Annual Revenue Requirement Worksheet</t>
  </si>
  <si>
    <t>Total Materials &amp; Supplies Allocated to Transmission</t>
  </si>
  <si>
    <t>Materials and Supplies</t>
  </si>
  <si>
    <t>P</t>
  </si>
  <si>
    <t>Accumulated Depreciation</t>
  </si>
  <si>
    <t>Prepayments</t>
  </si>
  <si>
    <t>Cash Working Capital</t>
  </si>
  <si>
    <t>Allocators</t>
  </si>
  <si>
    <t>Less A&amp;G Wages Expense</t>
  </si>
  <si>
    <t>Common Plant In Service - Electric</t>
  </si>
  <si>
    <t>Transmission Gross Plant</t>
  </si>
  <si>
    <t>Transmission Net Plant</t>
  </si>
  <si>
    <t>Total Accumulated Depreciation</t>
  </si>
  <si>
    <t>Total Plant In Service</t>
  </si>
  <si>
    <t>Wages &amp; Salary Allocation Factor</t>
  </si>
  <si>
    <t>TOTAL Plant In Service</t>
  </si>
  <si>
    <t>Common Plant (Electric Only)</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</si>
  <si>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</si>
  <si>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</si>
  <si>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</si>
  <si>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</si>
  <si>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</si>
  <si>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</si>
  <si>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</si>
  <si>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</si>
  <si>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Common Depreciation - Electric Only Allocated to Transmission</t>
  </si>
  <si>
    <t>Return / Capitalization Calculations</t>
  </si>
  <si>
    <t xml:space="preserve">    Less Preferred Stock</t>
  </si>
  <si>
    <t>Capitalization</t>
  </si>
  <si>
    <t>ITC Adjustment</t>
  </si>
  <si>
    <t>ITC Adjustment Allocated to Transmission</t>
  </si>
  <si>
    <t>SIT=State Income Tax Rate or Composite</t>
  </si>
  <si>
    <t>FIT=Federal Income Tax Rate</t>
  </si>
  <si>
    <t>Project J</t>
  </si>
  <si>
    <t>Project M</t>
  </si>
  <si>
    <t>Project N</t>
  </si>
  <si>
    <t>Project O</t>
  </si>
  <si>
    <t>Project P</t>
  </si>
  <si>
    <t>Project Q</t>
  </si>
  <si>
    <t>b0227</t>
  </si>
  <si>
    <t>b0337</t>
  </si>
  <si>
    <t>b0455</t>
  </si>
  <si>
    <t>b0311</t>
  </si>
  <si>
    <t xml:space="preserve">Add 2nd Endless Caverns 230/115kV </t>
  </si>
  <si>
    <t>transformer</t>
  </si>
  <si>
    <t>Investment Return = Rate Base * Rate of Return</t>
  </si>
  <si>
    <t>Income Tax Rates</t>
  </si>
  <si>
    <t>Preferred Dividends</t>
  </si>
  <si>
    <t>p118.29c</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</si>
  <si>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</si>
  <si>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</si>
  <si>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</si>
  <si>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</si>
  <si>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</si>
  <si>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</si>
  <si>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</si>
  <si>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</si>
  <si>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</si>
  <si>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</si>
  <si>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(000's)</t>
  </si>
  <si>
    <t>Wages &amp; Salary Allocator</t>
  </si>
  <si>
    <t>Common Plant O&amp;M</t>
  </si>
  <si>
    <t>Total Transmission O&amp;M</t>
  </si>
  <si>
    <t>Total A&amp;G</t>
  </si>
  <si>
    <t>General &amp; Intangible</t>
  </si>
  <si>
    <t>Transmission Plant In Service</t>
  </si>
  <si>
    <t>Total General &amp; Common</t>
  </si>
  <si>
    <t>EMISSIONS ALLOWANCES</t>
  </si>
  <si>
    <t>DEFERRED GAIN/LOSS-FUTURE USE</t>
  </si>
  <si>
    <t>CIAC VA - NONOP CWIP</t>
  </si>
  <si>
    <t>DEFERRED GAIN/LOSS NONOPERATING</t>
  </si>
  <si>
    <t>DEFERRED SIT NONOP - OCI</t>
  </si>
  <si>
    <t>CIAC NC - NONOP CWIP</t>
  </si>
  <si>
    <t>DEFERRED N.C. SIT NONOP - OCI</t>
  </si>
  <si>
    <t>ADFIT - OTHER COMPREHENSIVE INCOME</t>
  </si>
  <si>
    <t>P'SHIP INCOME - NC ENTERPRISE</t>
  </si>
  <si>
    <t>FAS 133</t>
  </si>
  <si>
    <t>P'SHIP INCOME - VIRGINIA CAPITAL</t>
  </si>
  <si>
    <t>RETIREMENT - EXEC SUPP RET (ESRP) - NONOP</t>
  </si>
  <si>
    <t>QUALIFIED SETTLEMENT FUND</t>
  </si>
  <si>
    <t>DFIT 283 NONOPERATING CURRENT LIAB</t>
  </si>
  <si>
    <t>DIRECTOR CHARITABLE DONATION</t>
  </si>
  <si>
    <t>CAPITALIZED INTEREST NONOP IN SERVICE</t>
  </si>
  <si>
    <t>CAPITALIZED INTEREST - NONOP CWIP</t>
  </si>
  <si>
    <t>CAPITALIZED BROKERS FEES</t>
  </si>
  <si>
    <t>DFIT EFFECT ON SIT NONOP - OCI</t>
  </si>
  <si>
    <t>RESTRICTED STOCK AWARD</t>
  </si>
  <si>
    <t>REG LIABILITY HEDGES DEBT</t>
  </si>
  <si>
    <t>DEFERRED GAIN/LOSS-FUTURE USE NONOP</t>
  </si>
  <si>
    <t>CIAC NC - NONOP IN SERVICE</t>
  </si>
  <si>
    <t>DFIT 283 NONOPERATING NONCURRENT LIAB</t>
  </si>
  <si>
    <t>DSIT 190 NONOP NONCURRENT ASSET N.C.</t>
  </si>
  <si>
    <t>DSIT 190 NONOP NONCURRENT ASSET VA</t>
  </si>
  <si>
    <t>CIAC VA - NONOP IN SERVICE</t>
  </si>
  <si>
    <t>GAIN SALE/LEASEBACK - SYSTEM OFFICE</t>
  </si>
  <si>
    <t>VA SALES &amp; USE TAX AUDIT (INCL. INT)</t>
  </si>
  <si>
    <t>DFIT 283 OPERATING CURRENT LIABILITY</t>
  </si>
  <si>
    <t>OBSOLETE INVENTORY</t>
  </si>
  <si>
    <t>FAS 109 ITC DSIT GROSSUP VA</t>
  </si>
  <si>
    <t>CAPITAL LEASE</t>
  </si>
  <si>
    <t>FEDERAL TAX INTEREST EXPENSE NON CURRENT</t>
  </si>
  <si>
    <t>FAS 109 ITC DSIT DEFICIENCY VA (190)</t>
  </si>
  <si>
    <t>FAS 109 ITC GROSSUP (190)</t>
  </si>
  <si>
    <t>FAS 109 ITC DFIT DEFICIENCY (190)</t>
  </si>
  <si>
    <t>DFIT 283 OPERATING NONCURRENT LIAB</t>
  </si>
  <si>
    <t xml:space="preserve">DFIT 282 OPERATING PLANT NONCURR LIAB </t>
  </si>
  <si>
    <t>RETIREMENT - SUPPLEMENTAL RETIREMENT</t>
  </si>
  <si>
    <t>HEADWATER BENEFITS</t>
  </si>
  <si>
    <t>CONTINGENT CLAIMS NONCURRENT</t>
  </si>
  <si>
    <t>CONTINGENT CLAIMS CURRENT</t>
  </si>
  <si>
    <t>VACATION ACCRUAL</t>
  </si>
  <si>
    <t>AFUDC - DEBT - GENERATION RIDER</t>
  </si>
  <si>
    <t>DECOMMISSIONING TRUST BOOK INCOME</t>
  </si>
  <si>
    <t>GAIN(LOSS) INTERCO SALES - BOOK/TAX</t>
  </si>
  <si>
    <t>LIBERALIZED DEPRECIATION - PLANT LAND FUTURE USE</t>
  </si>
  <si>
    <t>LIBERALIZED DEPRECIATION - PLANT OTHER</t>
  </si>
  <si>
    <t>DSIT 282 OPERATING PLANT NONCURR LIAB VA</t>
  </si>
  <si>
    <t>FAS 109 PLANT DFIT DEFICIENCY (282)</t>
  </si>
  <si>
    <t>DSIT 282 OPERATING PLANT NONCURR LIAB N.C.</t>
  </si>
  <si>
    <t>DSIT 282 OPERATING PLANT NONCURR LIAB W.V.</t>
  </si>
  <si>
    <t>AFC DEFERRED TAX - PLANT CWIP</t>
  </si>
  <si>
    <t>FAS 109 PLANT DSIT DEFICIENCY VA (282)</t>
  </si>
  <si>
    <t>FAS 109 PLANT DSIT DEFICIENCY N.C. (282)</t>
  </si>
  <si>
    <t>FAS 109 PLANT DSIT DEFICIENCY W.V. (282)</t>
  </si>
  <si>
    <t>FIXED ASSETS - VA</t>
  </si>
  <si>
    <t>FIXED ASSETS - NC</t>
  </si>
  <si>
    <t>LIBERALIZED DEPRECIATION - PLANT LAND NON UTILITY</t>
  </si>
  <si>
    <t>AFC DEFERRED TAX - FUEL CWIP</t>
  </si>
  <si>
    <t>DFIT 190 NONOPERATING NONCURR ASSET</t>
  </si>
  <si>
    <t>GOODWILL AMORTIZATION</t>
  </si>
  <si>
    <t>DSIT 283 OP OTHER NONCURR LIAB VA</t>
  </si>
  <si>
    <t>DSIT 283 OP OTHER NONCURR LIAB N.C.</t>
  </si>
  <si>
    <t>DSIT 283 OP OTHER NONCURR LIAB W.V.</t>
  </si>
  <si>
    <t>DSIT 190 NONOP NONCURRENT ASSET W.V.</t>
  </si>
  <si>
    <t>TOTAL Accumulated Depreciation</t>
  </si>
  <si>
    <t>TOTAL Net Property, Plant &amp; Equipment</t>
  </si>
  <si>
    <t>Adjustment to Rate Base</t>
  </si>
  <si>
    <t>Plant Calculations</t>
  </si>
  <si>
    <t>Net Plant</t>
  </si>
  <si>
    <t>Net Plant Allocator</t>
  </si>
  <si>
    <t>Rate Base</t>
  </si>
  <si>
    <t xml:space="preserve">Income Tax Component = </t>
  </si>
  <si>
    <t>Accumulated Common Amortization - Electric</t>
  </si>
  <si>
    <t xml:space="preserve"> enter positive</t>
  </si>
  <si>
    <t xml:space="preserve">     CIT=(T/1-T) * Investment Return * (1-(WCLTD/R)) =</t>
  </si>
  <si>
    <t>Plant Allocation Factors</t>
  </si>
  <si>
    <t>Wage &amp; Salary Allocation Factor</t>
  </si>
  <si>
    <t>1/8th Rule</t>
  </si>
  <si>
    <t>TOTAL Adjustment to Rate Base</t>
  </si>
  <si>
    <t>General Depreciation</t>
  </si>
  <si>
    <t>Total</t>
  </si>
  <si>
    <t>B</t>
  </si>
  <si>
    <t>Proprietary Capital</t>
  </si>
  <si>
    <t>Amortized Investment Tax Credit</t>
  </si>
  <si>
    <t>Transmission Accumulated Depreciation</t>
  </si>
  <si>
    <t>Electric Plant in Service</t>
  </si>
  <si>
    <t>Investment Return</t>
  </si>
  <si>
    <t>Income Taxes</t>
  </si>
  <si>
    <t>Q</t>
  </si>
  <si>
    <t>Calculated using 13 month average balance.  Only beginning and end of year balances are from Form 1.</t>
  </si>
  <si>
    <t>R</t>
  </si>
  <si>
    <t>Instruction ( Note H)</t>
  </si>
  <si>
    <t>Facility Credits under Section 30.9 of the PJM OATT.</t>
  </si>
  <si>
    <t>with amounts exceeding $100,000 will be listed separately.</t>
  </si>
  <si>
    <t>Attachment 1- Accumulated Deferred Income Taxes (ADIT) Worksheet</t>
  </si>
  <si>
    <t>Item</t>
  </si>
  <si>
    <t>Amortization</t>
  </si>
  <si>
    <t>Difference  /1</t>
  </si>
  <si>
    <t>/1 Difference must be zero</t>
  </si>
  <si>
    <t>Criteria for Allocation:</t>
  </si>
  <si>
    <t xml:space="preserve">Wages &amp; Salary Allocator </t>
  </si>
  <si>
    <t>Attachment 5 - Cost Support</t>
  </si>
  <si>
    <t>Transmission Related Account 242 Reserves</t>
  </si>
  <si>
    <t>Directly Assignable to Transmission</t>
  </si>
  <si>
    <t>Labor Related, General plant related or Common Plant related</t>
  </si>
  <si>
    <t>Allocation</t>
  </si>
  <si>
    <t>Total "Other" Taxes (included on p. 263)</t>
  </si>
  <si>
    <t>Total "Taxes Other Than Income Taxes" - acct 408.10 (p. 114.14)</t>
  </si>
  <si>
    <t xml:space="preserve">    Less EPRI Dues</t>
  </si>
  <si>
    <t>Subtotal - Transmission Related</t>
  </si>
  <si>
    <t>T/(1-T)</t>
  </si>
  <si>
    <t>T/ (1-T)</t>
  </si>
  <si>
    <t>p</t>
  </si>
  <si>
    <t>(percent of federal income tax deductible for state purposes)</t>
  </si>
  <si>
    <t>Notes</t>
  </si>
  <si>
    <t>Accumulated Intangible Amortization</t>
  </si>
  <si>
    <t>Accumulated Common Plant Depreciation - Electric</t>
  </si>
  <si>
    <t>Allocator</t>
  </si>
  <si>
    <t>x 1/8</t>
  </si>
  <si>
    <t>enter negative</t>
  </si>
  <si>
    <t>Fixed</t>
  </si>
  <si>
    <t>T</t>
  </si>
  <si>
    <t>O&amp;M</t>
  </si>
  <si>
    <t>Subtotal</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</si>
  <si>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</si>
  <si>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</si>
  <si>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</si>
  <si>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</si>
  <si>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</si>
  <si>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</si>
  <si>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</si>
  <si>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Debt %</t>
  </si>
  <si>
    <t>Common %</t>
  </si>
  <si>
    <t>Debt Cost</t>
  </si>
  <si>
    <t>Common Cost</t>
  </si>
  <si>
    <t>Weighted Cost of Debt</t>
  </si>
  <si>
    <t>As provided for in Section 34.1 of the PJM OATT.</t>
  </si>
  <si>
    <t>(Notes A and S)</t>
  </si>
  <si>
    <t>Electric portion only - VEPCO does not have Common Plant.</t>
  </si>
  <si>
    <t>Includes Transmission portion only.</t>
  </si>
  <si>
    <t>Excludes all EPRI Annual Membership Dues.</t>
  </si>
  <si>
    <t xml:space="preserve">Includes all regulatory commission expenses. </t>
  </si>
  <si>
    <t xml:space="preserve">Includes all safety related advertising included in Account 930.1.  </t>
  </si>
  <si>
    <t xml:space="preserve">Includes all regulatory commission expenses directly related to transmission service, RTO filings, or transmission siting itemized in Form 1 at 351.h. </t>
  </si>
  <si>
    <t xml:space="preserve"> the percentage of federal income tax deductible for state income taxes.  If the utility includes taxes in more than one state, it must explain in</t>
  </si>
  <si>
    <t>Formula Rate -- Appendix A</t>
  </si>
  <si>
    <t>FERC Form 1  Page # or</t>
  </si>
  <si>
    <t xml:space="preserve">ATTACHMENT H-16A </t>
  </si>
  <si>
    <t>Education and outreach expenses relating to transmission, for example siting or billing.</t>
  </si>
  <si>
    <t>Outstanding Network Credits is the balance of Network Facilities Upgrades Credits due Transmission Customers who have made lump-sum payments</t>
  </si>
  <si>
    <t>Payments made under Schedule 12 of the PJM OATT that are not directly assessed to load in the Zone under Schedule 12 are included in Transmission O&amp;M.</t>
  </si>
  <si>
    <t>S</t>
  </si>
  <si>
    <t>For tax purposes bad debts are deductible when they are deemed to be uncollectible / worthless.</t>
  </si>
  <si>
    <t>Books include income when meter is read; taxed when service is provided.</t>
  </si>
  <si>
    <t>Property tax expense is accrued for accounting purposes using the prior year's rates on the balance of the property located in the state at December 31 of the previous year. Tax takes a deduction when paid.</t>
  </si>
  <si>
    <t>DFIT 190 OPERATING NONCURRENT ASSET</t>
  </si>
  <si>
    <t>DFIT 282 NONOPERATING PLANT NONCURR LIAB</t>
  </si>
  <si>
    <t>DSIT 190 NONOP CURRENT ASSET N.C.</t>
  </si>
  <si>
    <t>DSIT 190 NONOP CURRENT ASSET VA</t>
  </si>
  <si>
    <t>DSIT 190 NONOP CURRENT ASSET W.V.</t>
  </si>
  <si>
    <t>DSIT 190 NONOP PLANT NONCURR ASSET N.C.</t>
  </si>
  <si>
    <t>DSIT 190 NONOP PLANT NONCURR ASSET VA</t>
  </si>
  <si>
    <t>DSIT 190 NONOP PLANT NONCURR ASSET W.V.</t>
  </si>
  <si>
    <t>DSIT 190 OPERATING CURRENT ASSET N.C.</t>
  </si>
  <si>
    <t>DSIT 190 OPERATING CURRENT ASSET VA</t>
  </si>
  <si>
    <t>DSIT 190 OPERATING CURRENT ASSET W.V.</t>
  </si>
  <si>
    <t>DSIT 190 OPERATING PLANT NONCURR ASSET N.C.</t>
  </si>
  <si>
    <t>DSIT 190 OPERATING PLANT NONCURR ASSET VA</t>
  </si>
  <si>
    <t>DSIT 190 OPERATING PLANT NONCURR ASSET W.V.</t>
  </si>
  <si>
    <t>COMPUTER SOFTWARE-BOOK AMORT</t>
  </si>
  <si>
    <t>DSIT 282 NONOP PLANT NONCURR LIAB N.C.</t>
  </si>
  <si>
    <t>DSIT 282 NONOP PLANT NONCURR LIAB VA</t>
  </si>
  <si>
    <t>DSIT 282 NONOP PLANT NONCURR LIAB W.V.</t>
  </si>
  <si>
    <t>LIBERALIZED DEPRECIATION - PLANT FUTURE USE</t>
  </si>
  <si>
    <t>LIBERALIZED DEPRECIATION - PLANT NON UTILITY</t>
  </si>
  <si>
    <t>DFIT 190 OPERATING NONCURR ASSET</t>
  </si>
  <si>
    <t>DSIT 190 OPERATING NONCURR ASSEST N.C.</t>
  </si>
  <si>
    <t>DSIT 190 OPERATING NONCURR ASSEST VA</t>
  </si>
  <si>
    <t>DSIT 190 OPERATING NONCURR ASSEST VA MIN</t>
  </si>
  <si>
    <t>FAS 109 ITC DSIT DEFICIENCY N.C. (190)</t>
  </si>
  <si>
    <t>FAS 109 ITC DSIT DEFICIENCY W.V.(190)</t>
  </si>
  <si>
    <t>FAS 109 ITC DSIT GROSSUP N.C.</t>
  </si>
  <si>
    <t>FAS 109 ITC DSIT GROSSUP W.V.</t>
  </si>
  <si>
    <t>PERFORMANCE ACHIEVEMENT PLAN</t>
  </si>
  <si>
    <t>FAS 109 ITC REG LIAB</t>
  </si>
  <si>
    <t>FIXED ASSETS - W.V.</t>
  </si>
  <si>
    <t>LIBERALIZED DEPRECIATION - PLANT OPER LAND</t>
  </si>
  <si>
    <t>YORKTOWN IMPLOSION - TAX DEP.-LIB - NON OP</t>
  </si>
  <si>
    <t>Represents total Book Computer Software Amortization Schedule M addition.</t>
  </si>
  <si>
    <t>Represents the state impact of IRS Audit adjustments to plant related differences.</t>
  </si>
  <si>
    <t>GSU/Interconnect Facilities</t>
  </si>
  <si>
    <t>Property Taxes - Generator Step-Ups and Interconnects</t>
  </si>
  <si>
    <t>Per FERC order in Docket No. ER08-92, the ROE is 11.4%, which includes a 50 basis point RTO membership adder as authorized by</t>
  </si>
  <si>
    <t>FERC to become effective January 1, 2008.  Per FERC order in Docket No. _______, the ROE for each specific project identified in that</t>
  </si>
  <si>
    <t>order will also include either an 150 or 125 basis point transmission incentive adder as authorized by the Commission.</t>
  </si>
  <si>
    <t>Project H-1</t>
  </si>
  <si>
    <t>Project H-2</t>
  </si>
  <si>
    <t>Project H-3</t>
  </si>
  <si>
    <t>Project H-4</t>
  </si>
  <si>
    <t>Project K-1</t>
  </si>
  <si>
    <t>Project K-2</t>
  </si>
  <si>
    <t>Project L-1a</t>
  </si>
  <si>
    <t>Project L-1b</t>
  </si>
  <si>
    <t>Project L-2</t>
  </si>
  <si>
    <t>Project V</t>
  </si>
  <si>
    <t>Project W</t>
  </si>
  <si>
    <t>Project X</t>
  </si>
  <si>
    <t>Project AB-2</t>
  </si>
  <si>
    <t>Project AG</t>
  </si>
  <si>
    <t>2009 Add-1</t>
  </si>
  <si>
    <t>2009 Add-6</t>
  </si>
  <si>
    <t>Project AJ</t>
  </si>
  <si>
    <t>b0328.1</t>
  </si>
  <si>
    <t>b0329</t>
  </si>
  <si>
    <t>b0512</t>
  </si>
  <si>
    <t>No</t>
  </si>
  <si>
    <t>b0453.1</t>
  </si>
  <si>
    <t>b0467.2</t>
  </si>
  <si>
    <t>b0456</t>
  </si>
  <si>
    <t>B0453.3</t>
  </si>
  <si>
    <t>B0837</t>
  </si>
  <si>
    <t>B0327</t>
  </si>
  <si>
    <t xml:space="preserve">Install 150 MVAR capacitor </t>
  </si>
  <si>
    <t xml:space="preserve">Carson-Suffolk 500 kV line + </t>
  </si>
  <si>
    <t>MAPP Project -- Dominion Portion</t>
  </si>
  <si>
    <t>Loudoun Bank # 1 transformer</t>
  </si>
  <si>
    <t>Loudoun Bank # 2 transformer</t>
  </si>
  <si>
    <t>Yadkin Bank # 2 transformer</t>
  </si>
  <si>
    <t>Carson Bank # 1 transformer</t>
  </si>
  <si>
    <t>Lexington  Bank # 1 transformer</t>
  </si>
  <si>
    <t>Valley  Bank # 1 transformer</t>
  </si>
  <si>
    <t>Garrisonville 230 kV UG line</t>
  </si>
  <si>
    <t xml:space="preserve">Pleasant View Hamilton 230kV </t>
  </si>
  <si>
    <t>Glen Carlyn Line 251 GIB substation project</t>
  </si>
  <si>
    <t>Convert Remington - Sowego</t>
  </si>
  <si>
    <t>Reconductor the Dickerson - Pleasant</t>
  </si>
  <si>
    <t>Reconductor Idylwood to Arlington</t>
  </si>
  <si>
    <t>at Loudoun</t>
  </si>
  <si>
    <t>(30 of 50 miles)</t>
  </si>
  <si>
    <t>Suffolk 500/230 # 2 transformer +</t>
  </si>
  <si>
    <t>replacement</t>
  </si>
  <si>
    <t>transmission line</t>
  </si>
  <si>
    <t>115kV to 230kV</t>
  </si>
  <si>
    <t>Suffolk - Thrasher 230kV line</t>
  </si>
  <si>
    <t>line 2101 v11</t>
  </si>
  <si>
    <t>s0124</t>
  </si>
  <si>
    <t>s0133</t>
  </si>
  <si>
    <t>Build new Meadowbrook-Loudon 500kV circuit</t>
  </si>
  <si>
    <t>Build Lexington 230kV ring bus</t>
  </si>
  <si>
    <t xml:space="preserve"> 230 kV</t>
  </si>
  <si>
    <t>View 230 kV circuit</t>
  </si>
  <si>
    <t xml:space="preserve">Re-Conductor 9.4 miles of Edinburg - Mt. Jackson </t>
  </si>
  <si>
    <t>Add Sowego 230/115/ kV transformer</t>
  </si>
  <si>
    <t xml:space="preserve">At Mt. Storm, replace the existing MOD on </t>
  </si>
  <si>
    <t xml:space="preserve">the 500 kV side of the transformer with a </t>
  </si>
  <si>
    <t>circuit breaker</t>
  </si>
  <si>
    <t>Install 500/230 kV transformer at Bristers;</t>
  </si>
  <si>
    <t>build new 230 kV Bristers- Gainesville circuit,</t>
  </si>
  <si>
    <t>p117.62c through 67c/Attachment 5</t>
  </si>
  <si>
    <t>Interest on Long-Term Debt</t>
  </si>
  <si>
    <t>p117.62c through 67c</t>
  </si>
  <si>
    <t>Total Interest on Long-Term Debt</t>
  </si>
  <si>
    <t>Less Interest on Short-Term Debt Included in Account 430</t>
  </si>
  <si>
    <t>Net Plant Carrying Charge Calculation with 100 Basis Point increase in ROE</t>
  </si>
  <si>
    <t>Net Revenue Requirement with 100 Basis Point increase in ROE</t>
  </si>
  <si>
    <t>Net Plant Carrying Charge with 100 Basis Point increase in ROE</t>
  </si>
  <si>
    <t>Net Plant Carrying Charge with 100 Basis Point increase in  ROE without Depreciation</t>
  </si>
  <si>
    <t>Rate for Network Integration Transmission Service ($/MW/Year)</t>
  </si>
  <si>
    <t xml:space="preserve">The Form 1 reference indicates only the end-of-year balance used to derive the amount beside the reference.  Each plant balance with a Form 1 reference will include the Form 1 </t>
  </si>
  <si>
    <t>balance in an average of the 13 month balances for the year.  Each non-plant balance included in rate base with a Form 1 reference will include Form 1 balances in the calculation</t>
  </si>
  <si>
    <t xml:space="preserve">Per FERC order in Docket No. ER08-92, the ROE is 11.4%, which includes a 50 basis point RTO membership adder as authorized by FERC to become effective January 1, 2008. Per </t>
  </si>
  <si>
    <t>FERC order in Docket No.  _______, the ROE for each specific project identified in that order will also include either an 150 or 125 basis point transmission incentive adder as</t>
  </si>
  <si>
    <t>authorized by the Commission.</t>
  </si>
  <si>
    <t>For the initial formula rate calculation, the projected capital structure shall reflect the capital structure from the 2006 FERC Form No. 1 data.  For all other formula rate calculations, the</t>
  </si>
  <si>
    <t>To line 47</t>
  </si>
  <si>
    <t>To Line 48</t>
  </si>
  <si>
    <t>True-Up Adjustment Before Interest without Incentive for Previous Calendar Year   (C-A)</t>
  </si>
  <si>
    <t xml:space="preserve">An Annual Revenue Requirement will not be determined in this Attachment 7 for RTEP projects that have not been identified as qualifying for </t>
  </si>
  <si>
    <t xml:space="preserve">an incentive and for which 100% of the cost is allocated to the Dominion zone.  To the extent the cost allocation of such RTEP projects </t>
  </si>
  <si>
    <t>changes to be other than 100% allocated to the Dominion zone, the Annual Revenue Requirements will be determined in this Attachment 7 for</t>
  </si>
  <si>
    <t>such RTEP projects.</t>
  </si>
  <si>
    <t>Transmission Plant</t>
  </si>
  <si>
    <t xml:space="preserve">   Land</t>
  </si>
  <si>
    <t xml:space="preserve">   Land Rights</t>
  </si>
  <si>
    <t xml:space="preserve">   Towers and Fixtures</t>
  </si>
  <si>
    <t xml:space="preserve">   Poles and Fixtures</t>
  </si>
  <si>
    <t xml:space="preserve">   Underground Conduit</t>
  </si>
  <si>
    <t xml:space="preserve">   Underground Conductors and Devices</t>
  </si>
  <si>
    <t xml:space="preserve">   Roads and Trails</t>
  </si>
  <si>
    <t>General Plant</t>
  </si>
  <si>
    <t xml:space="preserve">   Structures and Improvements - Major</t>
  </si>
  <si>
    <t xml:space="preserve">   Communication Equipment - Clearing</t>
  </si>
  <si>
    <t xml:space="preserve">   Communication Equipment - Massed</t>
  </si>
  <si>
    <t xml:space="preserve">   Communication Equipment - 25 Years</t>
  </si>
  <si>
    <t xml:space="preserve">   Office Furniture and Equipment - EDP Hardware</t>
  </si>
  <si>
    <t xml:space="preserve">   Office Furniture and Equipment - EDP Fixed Location</t>
  </si>
  <si>
    <t xml:space="preserve">   Office Furniture and Equipment</t>
  </si>
  <si>
    <t xml:space="preserve">   Laboratory Equipment</t>
  </si>
  <si>
    <t xml:space="preserve">   Stores Equipment</t>
  </si>
  <si>
    <t xml:space="preserve">   Power Operated Equipment</t>
  </si>
  <si>
    <t xml:space="preserve">   Tools, Shop and Garage Equipment</t>
  </si>
  <si>
    <r>
      <t>1</t>
    </r>
    <r>
      <rPr>
        <sz val="10"/>
        <rFont val="Arial"/>
        <family val="2"/>
      </rPr>
      <t>Depreciation rates may be changed only pursuant to a Section 205 or Section 206 proceeding.</t>
    </r>
  </si>
  <si>
    <t>Lines continue as new rate years are added.</t>
  </si>
  <si>
    <t xml:space="preserve">   Structures and Improvements - Other</t>
  </si>
  <si>
    <t>Project G-1</t>
  </si>
  <si>
    <t>B0403</t>
  </si>
  <si>
    <t>addition</t>
  </si>
  <si>
    <t>Project G-2</t>
  </si>
  <si>
    <t xml:space="preserve">Project G-1 is labled as Project G in the 2008 and 2009 </t>
  </si>
  <si>
    <t>Annual Updates</t>
  </si>
  <si>
    <t>2nd Dooms 500/230 kV transformer</t>
  </si>
  <si>
    <t>Spare Transformer Addition</t>
  </si>
  <si>
    <t>b0768</t>
  </si>
  <si>
    <t>Project AA - 1</t>
  </si>
  <si>
    <t>b0231</t>
  </si>
  <si>
    <t xml:space="preserve">Install 500 kV breakers and </t>
  </si>
  <si>
    <t xml:space="preserve">500 kV bus work at Suffolk </t>
  </si>
  <si>
    <t xml:space="preserve">Ox Bank # 1 transformer </t>
  </si>
  <si>
    <t xml:space="preserve">Ox Bank # 2 transformer </t>
  </si>
  <si>
    <t>upgrade two Loudoun - Brambleton circuits</t>
  </si>
  <si>
    <t>CIAC DC - NONOP IN SERVICE</t>
  </si>
  <si>
    <t>CUSTOMER ACCOUNTS-RESERVE &amp; REFUND</t>
  </si>
  <si>
    <t>CUSTOMER ACCOUNTS INTEREST-RESERVE &amp; REFUND</t>
  </si>
  <si>
    <t>DFIT 283 OPERATING NONCURRENT CURRENT LIAB</t>
  </si>
  <si>
    <t>DFIT 283 OPERATING OTHER NONCURRENT LIABILITY</t>
  </si>
  <si>
    <t>DSIT 190 NONOP CURRENT ASSET D.C.</t>
  </si>
  <si>
    <t>DSIT 190 NONOP NONCURRENT ASSET D.C.</t>
  </si>
  <si>
    <t>DSIT 190 NONOP PLANT NONCURR ASSET D.C.</t>
  </si>
  <si>
    <t>DSIT 190 OPERATING CURRENT ASSET D.C.</t>
  </si>
  <si>
    <t>DSIT 190 OPERATING NONCURR ASSEST D.C.</t>
  </si>
  <si>
    <t>DSIT 190 OPERATING PLANT NONCURR ASSET D.C.</t>
  </si>
  <si>
    <t>FAS 109 ITC DSIT DEFICIENCY D.C. (190)</t>
  </si>
  <si>
    <t>FAS 109 ITC DSIT GROSSUP D.C.</t>
  </si>
  <si>
    <t>FAS 133 REG FTR CURRENT</t>
  </si>
  <si>
    <t>FAS 133 REG HEDGE DEBT CURRENT</t>
  </si>
  <si>
    <t>REG HEDGES CAPACITY</t>
  </si>
  <si>
    <t>REG HEDGES CAPACITY NC</t>
  </si>
  <si>
    <t>REG HEDGES DEBT</t>
  </si>
  <si>
    <t>REG LIABILITY DECOMMISSIONING</t>
  </si>
  <si>
    <t>DSIT 282 NONOP NONCURR PLAN LIABLITY - D.C.</t>
  </si>
  <si>
    <t>DSIT 282 NONOP NONCURR PLAN LIABLITY - N.C.</t>
  </si>
  <si>
    <t>DSIT 282 NONOP NONCURR PLAN LIABLITY - VA.</t>
  </si>
  <si>
    <t>DSIT 282 NONOP NONCURR PLAN LIABLITY - W.V.</t>
  </si>
  <si>
    <t>DSIT 282 NONOP PLANT NONCURR LIAB D.C.</t>
  </si>
  <si>
    <t>DSIT 282 OPERATING PLANT NONCURR LIAB D.C.</t>
  </si>
  <si>
    <t>FAS 109 PLANT DFIT DEFICIENCY (282) - VCHEC RIDER</t>
  </si>
  <si>
    <t>FAS 109 PLANT DSIT DEFICIENCY D.C. (282)</t>
  </si>
  <si>
    <t>FAS 109 PLANT DSIT DEFICIENCY D.C. (282) - GENERAT</t>
  </si>
  <si>
    <t>FAS 109 PLANT DSIT DEFICIENCY D.C. (282) - VCHEC R</t>
  </si>
  <si>
    <t>FAS 109 PLANT DSIT DEFICIENCY N.C. (282)-VCHEC R</t>
  </si>
  <si>
    <t>FAS 109 PLANT DSIT DEFICIENCY VA (282) - VCHEC RID</t>
  </si>
  <si>
    <t>FAS 109 PLANT DSIT DEFICIENCY W.V. (282) - VCHEC R</t>
  </si>
  <si>
    <t>FIXED ASSETS - D.C.</t>
  </si>
  <si>
    <t>REG ASSET - A4 RAC COSTS NONCURRENT</t>
  </si>
  <si>
    <t>REG ATRR NON CURRENT</t>
  </si>
  <si>
    <t>REG HEDGE DEBT - CURRENT</t>
  </si>
  <si>
    <t>REG NON CURRENT DSM A5 RIDER</t>
  </si>
  <si>
    <t>REG POWER HEDGE - CURRENT</t>
  </si>
  <si>
    <t>REG POWER HEDGE</t>
  </si>
  <si>
    <t>REGULATORY ASSET - VA SLS TAX CURRENT</t>
  </si>
  <si>
    <t>REGULATORY ASSET - PJM CURRENT</t>
  </si>
  <si>
    <t>Represents the difference between book CWIP and Tax CWIP.</t>
  </si>
  <si>
    <t>DOE SETTLEMENT - ASSET BASIS REDUCTION</t>
  </si>
  <si>
    <t>DOE SETTLEMENT - INVENTORY BASIS REDUCTION</t>
  </si>
  <si>
    <t>FAS133 - DEFERRED GAIN/LOSS CAPAC HEDGE NON CURRE</t>
  </si>
  <si>
    <t>FAS 133 POWER HEDGE CURRENT ASSET</t>
  </si>
  <si>
    <t>FIXED ASSETS NON CURRENT CURRENT</t>
  </si>
  <si>
    <t>FUEL DEF CURRENT LIAB</t>
  </si>
  <si>
    <t>FUEL DEF NON CUR LIAB</t>
  </si>
  <si>
    <t>FUEL DEF OTHER NON CUR LIAB</t>
  </si>
  <si>
    <t>REG FUEL HEDGE</t>
  </si>
  <si>
    <t>REG FUEL HEDGE NONOP</t>
  </si>
  <si>
    <t>REG LIAB - DEBT VALUATION - MTM - CURRENT</t>
  </si>
  <si>
    <t>REG LIAB - DEFERRED DISQUALIFIED DEBT NOT ISSUED</t>
  </si>
  <si>
    <t>REG LIAB - DEFERRED G/L CAPACITY HEDGE - CURRENT</t>
  </si>
  <si>
    <t>REG LIAB - DEFERRED G/L CAPACITY HEDGE NON CUR</t>
  </si>
  <si>
    <t>REG LIAB - DEFERRED G/L POWER HEDGE - CURRENT</t>
  </si>
  <si>
    <t>REG LIAB - DEFERRED VALUATION - MTM - NON CURRENT</t>
  </si>
  <si>
    <t>REG LIAB - FTR CURRENT</t>
  </si>
  <si>
    <t>REG LIAB - CURRENT RIDER A6 BEAR GARDEN AFUDC DEBT</t>
  </si>
  <si>
    <t>REG LIAB CURRENT RIDER A6 BEAR GARDEN COST RESERVE</t>
  </si>
  <si>
    <t>REG LIAB OTHER NON CURR DOE SETTLEMENT</t>
  </si>
  <si>
    <t>REG LIAB PLANT CONTRA VASLSTX</t>
  </si>
  <si>
    <t>REG RATE REFUND - CURRENT</t>
  </si>
  <si>
    <t>REG RATE REFUND - NONCURRENT</t>
  </si>
  <si>
    <t>REG RATE REFUND INTEREST - CURRENT</t>
  </si>
  <si>
    <t>SEPARATION/ERT - NON CURRENT</t>
  </si>
  <si>
    <t>REG ASSET CURRENT RIDER A5 DSM</t>
  </si>
  <si>
    <t>DFIT 190 OPERATING PLANT NONCURRENT ASSET</t>
  </si>
  <si>
    <t>FAS 109 OTHER DFIT DEFICIENCY (282)</t>
  </si>
  <si>
    <t>FAS109 PLANT DFIT DEFICIENCY (282) - BEAR GARDEN</t>
  </si>
  <si>
    <t>FAS 109 PLANT DFIT DEFICIENCY (282) - BREMO RIDER</t>
  </si>
  <si>
    <t>FAS 109 PLANT DFIT DEFICIENCY (282) - HALIFAX RIDE</t>
  </si>
  <si>
    <t>FAS 109 PLANT DFIT DEFICIENCY (282) - NAIII RIDER</t>
  </si>
  <si>
    <t>FAS 109 PLANT DFIT DEFICIENCY (282) - PPT RIDER</t>
  </si>
  <si>
    <t>FAS 109 PLANT DFIT DEFICIENCY (282) - WARREN RIDER</t>
  </si>
  <si>
    <t>FAS 109 PLANT DSIT DEFICIENCY D.C. (282) - BEAR GARDEN</t>
  </si>
  <si>
    <t>FAS 109 PLANT DSIT DEFICIENCY D.C. (282) - BREMEO R</t>
  </si>
  <si>
    <t>FAS 109 PLANT DSIT DEFICIENCY D.C. (282) - NAIII R</t>
  </si>
  <si>
    <t>FAS 109 PLANT DSIT DEFICIENCY N.C. (282) - BEAR GA</t>
  </si>
  <si>
    <t>FAS 109 PLANT DSIT DEFICIENCY N.C. (282) - BREMO R</t>
  </si>
  <si>
    <t>FAS 109 PLANT DSIT DEFICIENCY N.C. (282)-NAIII R</t>
  </si>
  <si>
    <t>FAS 109 PLANT DSIT DEFICIENCY N.C. (282)-PP7 RID</t>
  </si>
  <si>
    <t>FAS 109 PLANT DSIT DEFICIENCY VA (282)-BEAR GARD</t>
  </si>
  <si>
    <t>FAS 109 PLANT DSIT DEFICIENCY VA (282)-BREMO RID</t>
  </si>
  <si>
    <t>FAS 109 PLANT DSIT DEFICIENCY VA (282) - HALIFAX R</t>
  </si>
  <si>
    <t>FAS 109 PLANT DSIT DEFICIENCY VA (282) - NAIII RID</t>
  </si>
  <si>
    <t>FAS 109 PLANT DSIT DEFICIENCY VA (282) - PP7 RIDER</t>
  </si>
  <si>
    <t>FAS 109 PLANT DSIT DEFICIENCY VA (282) - WARREN</t>
  </si>
  <si>
    <t>FAS 109 PLANT DSIT DEFICIENCY W.V. (282)-BEAR GA</t>
  </si>
  <si>
    <t>FAS 109 PLANT DSIT DEFICIENCY W.V. (282)-BREMO R</t>
  </si>
  <si>
    <t>FAS 109 PLANT DSIT DEFICIENCY W.V. (282) - NAIII R</t>
  </si>
  <si>
    <t>FAS 109 PLANT DSIT DEFICIENCY W.V. (282) - PP7 RID</t>
  </si>
  <si>
    <t>RESEARCH AND DEVELOPMENT</t>
  </si>
  <si>
    <t>FAS 133 - FTR HEDGE CURRENT ASSET</t>
  </si>
  <si>
    <t>REG ASSET - A4 RAC COSTS CURRENT</t>
  </si>
  <si>
    <t>REG ASSET FTR</t>
  </si>
  <si>
    <t>REG ASSET - FTR CURRENT</t>
  </si>
  <si>
    <t>REG ASSET CURRENT RIDER A6 BEAR GARDEN AFUDC DEBT</t>
  </si>
  <si>
    <t>REG ASSET CURRENT RIDER A6 BEAR GARDEN COST RESERV</t>
  </si>
  <si>
    <t>REG ASSET CURRENT RIDER A6 HALIFAX AFUDC DEBT</t>
  </si>
  <si>
    <t>REG ASSET CURRENT RIDER A6 VCHEC AFUDC DEBT</t>
  </si>
  <si>
    <t>REG ASSET CURRENT RIDER A6 VCHEC COST RESERVE</t>
  </si>
  <si>
    <t>REG ASSET - DEFERRED GAIN/LOSS CAPAC HEDGE NONCUR</t>
  </si>
  <si>
    <t xml:space="preserve">REGULATORY ASSET - VA SLS TAX </t>
  </si>
  <si>
    <t>Specific identification based on plant records.  The following plant investments are included:</t>
  </si>
  <si>
    <t>Project H-5</t>
  </si>
  <si>
    <t>Project H-6</t>
  </si>
  <si>
    <t>Project H-7</t>
  </si>
  <si>
    <t>Project H-9</t>
  </si>
  <si>
    <t>Project I-1</t>
  </si>
  <si>
    <t>Project I-2A</t>
  </si>
  <si>
    <t>Project I-2B</t>
  </si>
  <si>
    <t>Project R-1</t>
  </si>
  <si>
    <t>Project R-2</t>
  </si>
  <si>
    <t>Project T-1</t>
  </si>
  <si>
    <t>Project T-2</t>
  </si>
  <si>
    <t>Project AC</t>
  </si>
  <si>
    <t>Dooms  Bank # 7 transformer</t>
  </si>
  <si>
    <t>Build 2nd Harrisonburg - Valley 230 kV</t>
  </si>
  <si>
    <t>Phase 1</t>
  </si>
  <si>
    <t>Phase 2</t>
  </si>
  <si>
    <t>Line 580 - Phase 1</t>
  </si>
  <si>
    <t>Line 124</t>
  </si>
  <si>
    <t>Line 114</t>
  </si>
  <si>
    <t>Clevenger DP/580</t>
  </si>
  <si>
    <t>Line 580 - Phase 2</t>
  </si>
  <si>
    <t>Line  535</t>
  </si>
  <si>
    <t>Cost associated with below 500 kV elements.</t>
  </si>
  <si>
    <t>Cost associated with Regional Facilities and</t>
  </si>
  <si>
    <t>Necessary Lower Voltage Facilities.</t>
  </si>
  <si>
    <t>b0328.3</t>
  </si>
  <si>
    <t>Upgrade Mt Storm 500 kV Substation</t>
  </si>
  <si>
    <t>b0328.4</t>
  </si>
  <si>
    <t>Project H-10</t>
  </si>
  <si>
    <t>Upgrade Loudoun 500 kV Substation</t>
  </si>
  <si>
    <t>Project U-1</t>
  </si>
  <si>
    <t>Project U-2</t>
  </si>
  <si>
    <t>Line 2030 &amp; 559 v12 &amp; v13</t>
  </si>
  <si>
    <t>b0453.2</t>
  </si>
  <si>
    <t>END PRINT RANGE ABOVE HATCHED LINE -- NO FORMULA COMPONENTS ARE BELOW.</t>
  </si>
  <si>
    <t>Enter Details</t>
  </si>
  <si>
    <t>For administrative convenience, shown below is the applicable interest rate pursuant to the definition of i.</t>
  </si>
  <si>
    <t>Projected Revenue Requirement including True-up Adjustment, if applicable</t>
  </si>
  <si>
    <t>FAS 133 - CAPACITY HEDGE CURRENT ASSET</t>
  </si>
  <si>
    <t>NOL</t>
  </si>
  <si>
    <t>REG ASSET PLANT ABANDONMENT</t>
  </si>
  <si>
    <t>CASUALTY LOSS AMORTIZATION</t>
  </si>
  <si>
    <t>ADFIT - OTHER COMPREHENSIVE INCOME Total</t>
  </si>
  <si>
    <t>AFUDC - DEBT - VCHEC RIDER CURRENT Total</t>
  </si>
  <si>
    <t>AMORT EXP - SEC 197 INTANGIBLES Total</t>
  </si>
  <si>
    <t>DECOMM POUR OVER Total</t>
  </si>
  <si>
    <t>DECOMMISSIONING TRUST - UNREALIZED GAIN/LOSS - NC Total</t>
  </si>
  <si>
    <t>DECOMMISSIONING TRUST BOOK INCOME Total</t>
  </si>
  <si>
    <t>DEFERRED FUEL EXPENSE Total</t>
  </si>
  <si>
    <t>DEFERRED FUEL EXPENSE - OTHER Total</t>
  </si>
  <si>
    <t>DEFERRED FUEL EXPENSE - OTHER CURRENT Total</t>
  </si>
  <si>
    <t>DEFERRED FUEL EXPENSE CURRENT Total</t>
  </si>
  <si>
    <t>DEFERRED SIT NONOP - OCI Total</t>
  </si>
  <si>
    <t>DFIT 190 NONOPERATING CURRENT ASSET Total</t>
  </si>
  <si>
    <t>DFIT 190 NONOPERATING NONCURR ASSET Total</t>
  </si>
  <si>
    <t>DFIT 190 OPERATING CURRENT ASSET Total</t>
  </si>
  <si>
    <t>DFIT 190 OPERATING NONCURR ASSET Total</t>
  </si>
  <si>
    <t>DFIT 190 OPERATING NONCURRENT ASSET Total</t>
  </si>
  <si>
    <t>DFIT 283 NONOPERATING NONCURRENT LIAB Total</t>
  </si>
  <si>
    <t>DFIT 283 OPERATING NONCURRENT LIAB Total</t>
  </si>
  <si>
    <t>DFIT EFFECT ON SIT NONOP - OCI Total</t>
  </si>
  <si>
    <t>DOE SETTLEMENT Total</t>
  </si>
  <si>
    <t>DSIT 283 NONOP CURRENT LIABILITY D.C. Total</t>
  </si>
  <si>
    <t>DSIT 283 NONOP CURRENT LIABILITY N.C. Total</t>
  </si>
  <si>
    <t>DSIT 283 NONOP CURRENT LIABILITY VA Total</t>
  </si>
  <si>
    <t>DSIT 283 NONOP CURRENT LIABILITY W.V. Total</t>
  </si>
  <si>
    <t>DSIT 283 NONOP NONCURRENT LIABILITY D.C. Total</t>
  </si>
  <si>
    <t>DSIT 283 NONOP NONCURRENT LIABILITY N.C. Total</t>
  </si>
  <si>
    <t>DSIT 283 NONOP NONCURRENT LIABILITY VA Total</t>
  </si>
  <si>
    <t>DSIT 283 NONOP NONCURRENT LIABILITY W.V. Total</t>
  </si>
  <si>
    <t>DSIT 283 OP OTHER NONCURR ASSET VA MIN Total</t>
  </si>
  <si>
    <t>DSIT 283 OP OTHER NONCURR LIAB D.C. Total</t>
  </si>
  <si>
    <t>DSIT 283 OP OTHER NONCURR LIAB N.C. Total</t>
  </si>
  <si>
    <t>DSIT 283 OP OTHER NONCURR LIAB VA Total</t>
  </si>
  <si>
    <t>DSIT 283 OP OTHER NONCURR LIAB VA MIN Total</t>
  </si>
  <si>
    <t>DSIT 283 OP OTHER NONCURR LIAB W.V. Total</t>
  </si>
  <si>
    <t>DSIT 283 OPERATING CURRENT LIABILITY D.C. Total</t>
  </si>
  <si>
    <t>DSIT 283 OPERATING CURRENT LIABILITY N.C. Total</t>
  </si>
  <si>
    <t>DSIT 283 OPERATING CURRENT LIABILITY VA Total</t>
  </si>
  <si>
    <t>DSIT 283 OPERATING CURRENT LIABILITY W.V. Total</t>
  </si>
  <si>
    <t>EMISSIONS ALLOWANCES Total</t>
  </si>
  <si>
    <t>FAS 109 OTHER DFIT GROSSUP (283) Total</t>
  </si>
  <si>
    <t>FAS 109 OTHER DFIT GROSSUP (283) - VCHEC RIDER Total</t>
  </si>
  <si>
    <t>FAS 109 OTHER DFIT GROSSUP (283) - VCHEC RIDER CUR Total</t>
  </si>
  <si>
    <t>FAS 109 OTHER DFIT GROSSUP (283) - VCHEC RIDER NON Total</t>
  </si>
  <si>
    <t>FAS 109 OTHER DFIT GROSSUP (283) - WARREN RIDER Total</t>
  </si>
  <si>
    <t>FAS 109 OTHER DSIT GROSSUP DC Total</t>
  </si>
  <si>
    <t>FAS 109 OTHER DSIT GROSSUP DC - BEAR GARDEN RIDER Total</t>
  </si>
  <si>
    <t>FAS 109 OTHER DSIT GROSSUP DC - NAIII RIDER Total</t>
  </si>
  <si>
    <t>FAS 109 OTHER DSIT GROSSUP DC - VCHEC RIDER Total</t>
  </si>
  <si>
    <t>FAS 109 OTHER DSIT GROSSUP DC - VCHEC RIDER CURR Total</t>
  </si>
  <si>
    <t>FAS 109 OTHER DSIT GROSSUP DC - WARREN RIDER Total</t>
  </si>
  <si>
    <t>FAS 109 OTHER DSIT GROSSUP NC Total</t>
  </si>
  <si>
    <t>FAS 109 OTHER DSIT GROSSUP NC - BEAR GARDEN RIDER Total</t>
  </si>
  <si>
    <t>FAS 109 OTHER DSIT GROSSUP NC - BREMO RIDER Total</t>
  </si>
  <si>
    <t>FAS 109 OTHER DSIT GROSSUP NC - HALIFAX RIDER Total</t>
  </si>
  <si>
    <t>FAS 109 OTHER DSIT GROSSUP NC - NAIII RIDER Total</t>
  </si>
  <si>
    <t>FAS 109 OTHER DSIT GROSSUP NC - PP7 RIDER Total</t>
  </si>
  <si>
    <t>FAS 109 OTHER DSIT GROSSUP NC - VCHEC RIDER Total</t>
  </si>
  <si>
    <t>FAS 109 OTHER DSIT GROSSUP NC - VCHEC RIDER CURR Total</t>
  </si>
  <si>
    <t>FAS 109 OTHER DSIT GROSSUP NC - VCHEC RIDER NONCUR Total</t>
  </si>
  <si>
    <t>FAS 109 OTHER DSIT GROSSUP NC - WARREN RIDER Total</t>
  </si>
  <si>
    <t>FAS 109 OTHER DSIT GROSSUP VA Total</t>
  </si>
  <si>
    <t>FAS 109 OTHER DSIT GROSSUP VA - BEAR GARDEN RIDER Total</t>
  </si>
  <si>
    <t>FAS 109 OTHER DSIT GROSSUP VA - BREMO RIDER Total</t>
  </si>
  <si>
    <t>FAS 109 OTHER DSIT GROSSUP VA - GENERATION RIDER Total</t>
  </si>
  <si>
    <t>FAS 109 OTHER DSIT GROSSUP VA - HALIFAX RIDER Total</t>
  </si>
  <si>
    <t>FAS 109 OTHER DSIT GROSSUP VA - NAIII RIDER Total</t>
  </si>
  <si>
    <t>FAS 109 OTHER DSIT GROSSUP VA - PP7 RIDER Total</t>
  </si>
  <si>
    <t>FAS 109 OTHER DSIT GROSSUP VA - VCHEC RIDER Total</t>
  </si>
  <si>
    <t>FAS 109 OTHER DSIT GROSSUP VA - VCHEC RIDER CURR Total</t>
  </si>
  <si>
    <t>FAS 109 OTHER DSIT GROSSUP VA - VCHEC RIDER NONCUR Total</t>
  </si>
  <si>
    <t>FAS 109 OTHER DSIT GROSSUP VA - WARREN RIDER Total</t>
  </si>
  <si>
    <t>FAS 109 OTHER DSIT GROSSUP WV Total</t>
  </si>
  <si>
    <t>FAS 109 OTHER DSIT GROSSUP WV - BEAR GARDEN RIDER Total</t>
  </si>
  <si>
    <t>FAS 109 OTHER DSIT GROSSUP WV - BREMO RIDER Total</t>
  </si>
  <si>
    <t>FAS 109 OTHER DSIT GROSSUP WV - HALIFAX RIDER Total</t>
  </si>
  <si>
    <t>FAS 109 OTHER DSIT GROSSUP WV - NAIII RIDER Total</t>
  </si>
  <si>
    <t>FAS 109 OTHER DSIT GROSSUP WV - PP7 RIDER Total</t>
  </si>
  <si>
    <t>FAS 109 OTHER DSIT GROSSUP WV - VCHEC RIDER Total</t>
  </si>
  <si>
    <t>FAS 109 OTHER DSIT GROSSUP WV - VCHEC RIDER CURR Total</t>
  </si>
  <si>
    <t>FAS 109 OTHER DSIT GROSSUP WV - VCHEC RIDER NONCUR Total</t>
  </si>
  <si>
    <t>FAS 109 OTHER DSIT GROSSUP WV - WARREN RIDER Total</t>
  </si>
  <si>
    <t>FAS 133 Total</t>
  </si>
  <si>
    <t>FAS 133 - FTR HEDGE CURRENT ASSET Total</t>
  </si>
  <si>
    <t>FAS 133 REG FUEL HEDGE NONCURRENT Total</t>
  </si>
  <si>
    <t>FAS 133-DEBT VALUATION - MTM - CURRENT LIAB Total</t>
  </si>
  <si>
    <t>FAS 133-DEFERRED G/L CAPACITY HEDGE - NON CURRENT Total</t>
  </si>
  <si>
    <t>FAS 133-DEFERRED G/L CAPACITY HEDGE CURRENT LIAB Total</t>
  </si>
  <si>
    <t>FAS 133-DEFERRED G/L POWER HEDGE - CURRENT LIAB Total</t>
  </si>
  <si>
    <t>FAS 133-DEFERRED VALUATION- MTM NON CURRENT LIAB Total</t>
  </si>
  <si>
    <t>FAS 133-FTR CURRENT LIAB Total</t>
  </si>
  <si>
    <t>FEDERAL TAX INTEREST EXPENSE Total</t>
  </si>
  <si>
    <t>FEDERAL TAX INTEREST EXPENSE NON CURRENT Total</t>
  </si>
  <si>
    <t>FUEL HANDLING COSTS Total</t>
  </si>
  <si>
    <t>GOODWILL AMORTIZATION Total</t>
  </si>
  <si>
    <t>NON CURRENT REC A4 ELEC TRAN Total</t>
  </si>
  <si>
    <t>POWERTREE CARBON CO, LLC. Total</t>
  </si>
  <si>
    <t>REACQUIRED DEBT GAIN(LOSS) Total</t>
  </si>
  <si>
    <t>REG ASSET CURRENT RIDER A4 NON VA OTHER Total</t>
  </si>
  <si>
    <t>REG ASSET CURRENT RIDER A5 DSM Total</t>
  </si>
  <si>
    <t>REG ASSET CURRENT RIDER A6 BEAR GARDEN AFUDC DEBT Total</t>
  </si>
  <si>
    <t>REG ASSET CURRENT RIDER A6 BEAR GARDEN COST RESERV Total</t>
  </si>
  <si>
    <t>REG ASSET CURRENT RIDER A6 HALIFAX AFUDC DEBT Total</t>
  </si>
  <si>
    <t>REG ASSET CURRENT RIDER A6 VCHEC AFUDC DEBT Total</t>
  </si>
  <si>
    <t>REG ASSET CURRENT RIDER A6 VCHEC COST RESERVE Total</t>
  </si>
  <si>
    <t>REG ASSET- DEBT VALUATION - MTM - NON CURRENT Total</t>
  </si>
  <si>
    <t>REG ASSET- DEFERRED GAIN/LOSS CAPAC HEDGE NONCUR Total</t>
  </si>
  <si>
    <t>REG ASSET NONCUR RIDER A6 BEAR GARDEN AFUDC DEBT Total</t>
  </si>
  <si>
    <t>REG ASSET NONCUR RIDER A6 BEAR GARDEN COST RESERVE Total</t>
  </si>
  <si>
    <t>REG ASSET NONCUR RIDER A6 HALIFAX AFUDC DEBT Total</t>
  </si>
  <si>
    <t>REG ASSET NONCUR RIDER A6 NAIII AFUDC DEBT Total</t>
  </si>
  <si>
    <t>REG ASSET NONCUR RIDER A6 PP7 AFUDC DEBT Total</t>
  </si>
  <si>
    <t>REG ASSET NONCUR RIDER A6 VCHEC AFUDC DEBT Total</t>
  </si>
  <si>
    <t>REG ASSET NONCUR RIDER A6 VCHEC COST RESERVE Total</t>
  </si>
  <si>
    <t>REG ASSET NONCUR RIDER A6 WARREN AFUDC DEBT Total</t>
  </si>
  <si>
    <t>REG ASSET - DEFERRED G/L CAPACITY HEDGE CURRENT</t>
  </si>
  <si>
    <t>REG ASSET CURRENT RIDER A4 NON VA OTHER</t>
  </si>
  <si>
    <t>REG ASSET - DEBT VALUATION - MTM - NON CURRENT</t>
  </si>
  <si>
    <t>Represents a decrease to tax depreciation (Sec 162) as a result of casualty loss (Sec 165) reduction to tax basis.</t>
  </si>
  <si>
    <t>Book amount accrued and expensed; tax deduction when paid. These amounts will be paid in the next 12 months.</t>
  </si>
  <si>
    <t>Book amount accrued and expensed; tax deduction when paid. These amounts will not be paid in the next 12 months.</t>
  </si>
  <si>
    <t>Project R-3</t>
  </si>
  <si>
    <t>Project S-1</t>
  </si>
  <si>
    <t>Project S-2</t>
  </si>
  <si>
    <t>Project AK-1</t>
  </si>
  <si>
    <t>Project AL</t>
  </si>
  <si>
    <t>Project AM</t>
  </si>
  <si>
    <t>B0457</t>
  </si>
  <si>
    <t>B0784</t>
  </si>
  <si>
    <t xml:space="preserve">   Miscellaneous Equipment</t>
  </si>
  <si>
    <t>CAPITALIZED O&amp;M EXP - DISTRIBUTION</t>
  </si>
  <si>
    <t>CIAC DC - NONOP CWIP</t>
  </si>
  <si>
    <t>DEFERRED REVENUE CURRENT</t>
  </si>
  <si>
    <t>DSIT 190 OPERATING NONCURR ASSEST W.V. NOL</t>
  </si>
  <si>
    <t>DSIT NONOPERATING DC</t>
  </si>
  <si>
    <t>DSIT NONOPERATING NC</t>
  </si>
  <si>
    <t>DSIT NONOPERATING VA</t>
  </si>
  <si>
    <t>DSIT NONOPERATING WV</t>
  </si>
  <si>
    <t>DSIT OPERATING DC</t>
  </si>
  <si>
    <t>DSIT OPERATING NC</t>
  </si>
  <si>
    <t>DSIT OPERATING VA</t>
  </si>
  <si>
    <t>DSIT OPERATING WV</t>
  </si>
  <si>
    <t>FAS143 DECOMMISSIONING - NA</t>
  </si>
  <si>
    <t>FAS143 DECOMMISSIONING - OTHER</t>
  </si>
  <si>
    <t>FEDERAL EFFECT OF STATE NONOPERATING</t>
  </si>
  <si>
    <t>FEDERAL EFFECT OF STATE OPERATING</t>
  </si>
  <si>
    <t>FIXED ASSETS FED EFFECT CURRENT CURRENT</t>
  </si>
  <si>
    <t>FIXED ASSETS FED EFFECT OF STATE</t>
  </si>
  <si>
    <t>REG LIAB A5 REC COSTS - VA NON CURRENT</t>
  </si>
  <si>
    <t>REG LIAB VA OTHER CURRENT</t>
  </si>
  <si>
    <t>REG ASSET - PLANT</t>
  </si>
  <si>
    <t>AFC DEFERRED TAX - FUEL IN SERVICE NA</t>
  </si>
  <si>
    <t>FAS 109 PLANT DFIT DEFICIENCY (282) - BRUNSWICK RI</t>
  </si>
  <si>
    <t>FAS 109 PLANT DFIT DEFICIENCY (282) - HOPEWELL RID</t>
  </si>
  <si>
    <t>FAS 109 PLANT DFIT DEFICIENCY (282) - SOUTHAMPTON</t>
  </si>
  <si>
    <t>FAS 109 PLANT DSIT DEFICIENCY D.C. (282) - ALTAVIS</t>
  </si>
  <si>
    <t>FAS 109 PLANT DSIT DEFICIENCY D.C. (282) - HALIFAX</t>
  </si>
  <si>
    <t>FAS 109 PLANT DSIT DEFICIENCY D.C. (282) - HOPEWEL</t>
  </si>
  <si>
    <t>FAS 109 PLANT DSIT DEFICIENCY D.C. (282) - SOUTHAM</t>
  </si>
  <si>
    <t>FAS 109 PLANT DSIT DEFICIENCY D.C. (282) - WARREN</t>
  </si>
  <si>
    <t>FAS 109 PLANT DSIT DEFICIENCY VA (282) - ALTAVISTA</t>
  </si>
  <si>
    <t>FAS 109 PLANT DSIT DEFICIENCY VA (282) - HOPEWELL</t>
  </si>
  <si>
    <t>FAS 109 PLANT DSIT DEFICIENCY VA (282) - SOUTHAMPT</t>
  </si>
  <si>
    <t>FAS 109 PLANT DSIT DEFICIENCY W.V. (282) - HOPEWELL</t>
  </si>
  <si>
    <t>FAS 109 PLANT DSIT DEFICIENCY W.V. (282) - SOUTHAM</t>
  </si>
  <si>
    <t>FAS 109 PLANT DSIT DEFICIENCY W.V. (282) - WARREN</t>
  </si>
  <si>
    <t>SEC 169 FERC 281</t>
  </si>
  <si>
    <t>ROUND</t>
  </si>
  <si>
    <t>DOE SETTLEMENT CURRENT</t>
  </si>
  <si>
    <t>FAS 109 OTHER DSIT GROSSUP DC - ALTAVISTA RIDER</t>
  </si>
  <si>
    <t>FAS 109 OTHER DSIT GROSSUP DC - BREMO RIDER Total</t>
  </si>
  <si>
    <t>FAS 109 OTHER DSIT GROSSUP DC - HALIFAX RIDER</t>
  </si>
  <si>
    <t>FAS 109 OTHER DSIT GROSSUP DC - HOPEWELL RIDER</t>
  </si>
  <si>
    <t>FAS 109 OTHER DSIT GROSSUP DC - PP7 RIDER</t>
  </si>
  <si>
    <t>FAS 109 OTHER DSIT GROSSUP DC - SOUTHAMPTON RIDER</t>
  </si>
  <si>
    <t>FAS 109 OTHER DSIT GROSSUP NC - ALTAVISTA RIDER</t>
  </si>
  <si>
    <t>FAS 109 OTHER DSIT GROSSUP NC - BRUNSWICK RIDER Total</t>
  </si>
  <si>
    <t>FAS 109 OTHER DSIT GROSSUP NC - HOPEWELL RIDER</t>
  </si>
  <si>
    <t>FAS 109 OTHER DSIT GROSSUP NC - SOUTHAMPTON RIDER</t>
  </si>
  <si>
    <t>FAS 109 OTHER DSIT GROSSUP VA - ALTAVISTA RIDER</t>
  </si>
  <si>
    <t>FAS 109 OTHER DSIT GROSSUP VA - HOPEWELL RIDER</t>
  </si>
  <si>
    <t>FAS 109 OTHER DSIT GROSSUP VA - SOUTHAMPTON RIDER</t>
  </si>
  <si>
    <t>FAS 109 OTHER DSIT GROSSUP WV - ALTAVISTA RIDER</t>
  </si>
  <si>
    <t>FAS 109 OTHER DSIT GROSSUP WV - BRUNSWICK RIDER Total</t>
  </si>
  <si>
    <t>FAS 109 OTHER DSIT GROSSUP WV - HOPEWELL RIDER</t>
  </si>
  <si>
    <t>FAS 109 OTHER DSIT GROSSUP WV - SOUTHAMPTON RIDER</t>
  </si>
  <si>
    <t>REG ASSET - PLANT CURRENT</t>
  </si>
  <si>
    <t>REG ASSET CURRENT RIDER A6 ALTAVISTA AFUDC DEBT Total</t>
  </si>
  <si>
    <t>REG ASSET CURRENT RIDER A6 HOPEWELL AFUDC DEBT Total</t>
  </si>
  <si>
    <t>REG ASSET CURRENT RIDER A6 SOUTHAMPTON AFUDC DEBT Total</t>
  </si>
  <si>
    <t>REG ASSET CURRENT RIDER A6 WARREN AFUDC DEBT Total</t>
  </si>
  <si>
    <t>REG ASSET NONCUR RIDER A6 ALTAVISTA AFUDC DEBT Total</t>
  </si>
  <si>
    <t>REG ASSET NONCUR RIDER A6 BRUNSWICK AFUDC DEBT Total</t>
  </si>
  <si>
    <t>REG ASSET NONCUR RIDER A6 HOPEWELL AFUDC DEBT Total</t>
  </si>
  <si>
    <t>REG ASSET NONCUR RIDER A6 NAIII COST RESERVE Total</t>
  </si>
  <si>
    <t>REG ASSET NONCUR RIDER A6 SOUTHAMPTON AFUDC DEBT Total</t>
  </si>
  <si>
    <t>REG ASSET NONCUR RIDER A6 WARREN COST RESERVE Total</t>
  </si>
  <si>
    <t>DEDESIGNATED DEBT NOT ISSUED</t>
  </si>
  <si>
    <t>VA PROPERTY TAX</t>
  </si>
  <si>
    <t>FIXED ASSETS NONCURRENT CURRENT</t>
  </si>
  <si>
    <t>RESTRICTED STOCK AWARDS</t>
  </si>
  <si>
    <t>FASS 133 - DEBT HEDGE CURRENT ASSET</t>
  </si>
  <si>
    <t>FAS 133 - DEBT VALUATION - MTM HEDGE NON CURRENT AS</t>
  </si>
  <si>
    <t>REG LIAB ATRR VA NON CURRENT</t>
  </si>
  <si>
    <t>RENEWABLE ENERGY RESOURCE DEBT</t>
  </si>
  <si>
    <t>FAS 109 PLANT DFIT DEFICIENCY (282) - ALTAVISTA RI</t>
  </si>
  <si>
    <t>FAS 109 PLANT DSIT DEFICIENCY N.C. (282) - ALTAVISTA</t>
  </si>
  <si>
    <t>FAS 109 PLANT DSIT DEFICIENCY N.C. (282)-BRUNSWICK</t>
  </si>
  <si>
    <t>FAS 109 PLANT DSIT DEFICIENCY N.C. (282)-HALIFAX</t>
  </si>
  <si>
    <t>FAS 109 PLANT DSIT DEFICIENCY N.C. (282)-HOPEWELL</t>
  </si>
  <si>
    <t>FAS 109 PLANT DSIT DEFICIENCY N.C. (282)-SOUTHAMPTON</t>
  </si>
  <si>
    <t>FAS 109 PLANT DSIT DEFICIENCY N.C. (282)-WARREN</t>
  </si>
  <si>
    <t>FAS 109 PLANT DSIT DEFICIENCY VA (282) - BRUNSWICK</t>
  </si>
  <si>
    <t>FAS 109 PLANT DSIT DEFICIENCY W.V. (282) ALTAVIS</t>
  </si>
  <si>
    <t>FAS 109 PLANT DSIT DEFICIENCY W.V. (282) - BRUNSWICK</t>
  </si>
  <si>
    <t>REG ASSSET - ATRR CURRENT</t>
  </si>
  <si>
    <t>FAS 143 ASSET OBLIGATION</t>
  </si>
  <si>
    <t>AFC DEFERRED TAX - PLANT IN SERVICE</t>
  </si>
  <si>
    <t>CAP EXPENSE</t>
  </si>
  <si>
    <t>COST OF REMOVAL</t>
  </si>
  <si>
    <t>ODEC/NCEMC Transmission Charges</t>
  </si>
  <si>
    <t>Project H-8</t>
  </si>
  <si>
    <t>Project AK-2</t>
  </si>
  <si>
    <t>Project AK-3</t>
  </si>
  <si>
    <t>Project AO</t>
  </si>
  <si>
    <t>Project AP-1</t>
  </si>
  <si>
    <t>Project AP-2</t>
  </si>
  <si>
    <t>Project AQ</t>
  </si>
  <si>
    <t>Project AR</t>
  </si>
  <si>
    <t>Project AS</t>
  </si>
  <si>
    <t>Project AT</t>
  </si>
  <si>
    <t>B1224</t>
  </si>
  <si>
    <t>B1508.3</t>
  </si>
  <si>
    <t>B1647</t>
  </si>
  <si>
    <t>B1648</t>
  </si>
  <si>
    <t>B1649</t>
  </si>
  <si>
    <t>B1650</t>
  </si>
  <si>
    <t>Rebuild Mt. Storm-Doubs 500 kV</t>
  </si>
  <si>
    <t>Install 2nd Clover 500/230</t>
  </si>
  <si>
    <t>Upgrade the name plate</t>
  </si>
  <si>
    <t>Upgrade the name plate rating</t>
  </si>
  <si>
    <t>Replace Morrisville 500 kV</t>
  </si>
  <si>
    <t xml:space="preserve">kV transformer and a 150 </t>
  </si>
  <si>
    <t>rating at Morrisville 500 kV</t>
  </si>
  <si>
    <t>at Morrisville 500 kV</t>
  </si>
  <si>
    <t>breaker 'H1T580' with</t>
  </si>
  <si>
    <t>breaker 'H2T569' with</t>
  </si>
  <si>
    <t>MVAr capacitor</t>
  </si>
  <si>
    <t>breaker 'H1T573' with</t>
  </si>
  <si>
    <t>breaker 'H2T545' with</t>
  </si>
  <si>
    <t>50kA breaker</t>
  </si>
  <si>
    <t>B1507</t>
  </si>
  <si>
    <t>CWIP ABANDONMENT NON CURRENT</t>
  </si>
  <si>
    <t>REG LIAB OTHER NCUC CURRENT</t>
  </si>
  <si>
    <t>REG LIAB OTHER NCUC NON CURR</t>
  </si>
  <si>
    <t>REG LIAB - ATRR CURRENT</t>
  </si>
  <si>
    <t>FAS 109 PLANT DSIT DEFICIENCY D.C. (282) - BRUNSWI</t>
  </si>
  <si>
    <t>FAS 109 PLANT DSIT DEFICIENCY W.V. (282) - HALIFAX</t>
  </si>
  <si>
    <t>A6 RECEIVABLE CURRENT</t>
  </si>
  <si>
    <t>A6 RECEIVABLE NONCURRENT</t>
  </si>
  <si>
    <t>FAS 109 OTHER DSIT GROSSUP DC - BRUNSWICK RIDER</t>
  </si>
  <si>
    <t>FAS 109 OTHER DSIT GROSSUP VA - BRUNSWICK RIDER</t>
  </si>
  <si>
    <t>REG ASSET - NRC REQUIREMENT - NORTH ANNA</t>
  </si>
  <si>
    <t>REG ASSET - NRC REQUIREMENT - SURRY</t>
  </si>
  <si>
    <t>REG ASSET ABANDONED PLANT NCUC CURRENT</t>
  </si>
  <si>
    <t>REG ASSET ABANDONED PLANT NCUC NON CURR</t>
  </si>
  <si>
    <t>REG ASSET NATURAL DISASTER NCUC CURRENT</t>
  </si>
  <si>
    <t>REG ASSET NATURAL DISASTER NCUC NONCURR</t>
  </si>
  <si>
    <t>REG ASSET NONCUR RIDER A6 ALTAVISTA COST RESERVE</t>
  </si>
  <si>
    <t>REG ASSET NONCUR RIDER A6 SOUTHAMPTON COST RESERVE</t>
  </si>
  <si>
    <t>REG ASSET RETIREMENT NCUC CURRENT</t>
  </si>
  <si>
    <t>REG ASSET RETIREMENT NCUC NONCURR</t>
  </si>
  <si>
    <t>REG ASSET RIDER PLANTS NCUC CURRENT</t>
  </si>
  <si>
    <t>REG ASSET RIDER PLANTS NCUC NONCURR</t>
  </si>
  <si>
    <t>REG ASSET - A5 REC COST VA</t>
  </si>
  <si>
    <t xml:space="preserve">   Transportation Equipment</t>
  </si>
  <si>
    <t>CHARITABLE CONTRIBUTION CFWD</t>
  </si>
  <si>
    <t>DEFERRED GAIN/LOSS OPERATING - DISTRIBUTION</t>
  </si>
  <si>
    <t>DEFERRED GAIN/LOSS OPERATING - GENERAL</t>
  </si>
  <si>
    <t>DEFERRED GAIN/LOSS OPERATING - PRODUCTION</t>
  </si>
  <si>
    <t>DEFERRED GAIN/LOSS OPERATING - PRODUCTION NA</t>
  </si>
  <si>
    <t>DEFERRED GAIN/LOSS OPERATING - TRANSMISSION</t>
  </si>
  <si>
    <t>DISQUALIFIED DEBT NOT ISSUED</t>
  </si>
  <si>
    <t>FAS 143 ASSET OBLIGATION - DISTRIBUTION</t>
  </si>
  <si>
    <t>FAS 143 ASSET OBLIGATION - GENERAL</t>
  </si>
  <si>
    <t>FAS 143 ASSET OBLIGATION - NA</t>
  </si>
  <si>
    <t>FAS 143 ASSET OBLIGATION - OTHER</t>
  </si>
  <si>
    <t>FAS 143 ASSET OBLIGATION - TRANSMISSION</t>
  </si>
  <si>
    <t>FIXED ASSETS FED EFFECT NON CURRENT CURRENT</t>
  </si>
  <si>
    <t>GENERAL BUSINESS CREDIT</t>
  </si>
  <si>
    <t>NUCLEAR FUEL - PERMANENT DISPOSAL NORTH ANNA</t>
  </si>
  <si>
    <t>NUCLEAR FUEL - PERMANENT DISPOSAL SURRY</t>
  </si>
  <si>
    <t>OBSOLETE INVENTORY RESERVE</t>
  </si>
  <si>
    <t>PRODUCTION TAX CREDIT</t>
  </si>
  <si>
    <t>SALES TAX RECOVERY CWIP</t>
  </si>
  <si>
    <t>SALES TAX RECOVERY IN SERVICE</t>
  </si>
  <si>
    <t>FAS133 - DEBT VALUATION - MTM - CURRENT LIAB</t>
  </si>
  <si>
    <t>Deferred Revenue Current</t>
  </si>
  <si>
    <t>Reg Rate Refund</t>
  </si>
  <si>
    <t>Fixed Assets Effect Non Current Current</t>
  </si>
  <si>
    <t>Fixed Assets</t>
  </si>
  <si>
    <t>DOE Settlement Current</t>
  </si>
  <si>
    <t>FAS 133 Deferred G/L Power Hedge Non Current Liab</t>
  </si>
  <si>
    <t>Federal Tax Interest Expense NC</t>
  </si>
  <si>
    <t>Reg Asset - Hedge Debt De-Designated Debt Not Issued</t>
  </si>
  <si>
    <t>Reg Asset - Noncur Rider A6 ALTAVISTA Cost Reserve</t>
  </si>
  <si>
    <t>Reg Asset - NonCur Rider A6 BRUNSWICK AFUDC Debt</t>
  </si>
  <si>
    <t>Reg Asset - NonCur Rider A6 BRUNSWICK Cost Reserve</t>
  </si>
  <si>
    <t>Reg Asset - NonCur Rider A6 HOPEWELL Cost Reserve</t>
  </si>
  <si>
    <t>Reg Asset - NonCur Rider A6 Southampton AFUDC Debt</t>
  </si>
  <si>
    <t>Reg Asset - NonCur Rider A6 Southampton Cost Reserve</t>
  </si>
  <si>
    <t>Reg Asset - NonCur Rider A6 Halifax AFUDC Debt</t>
  </si>
  <si>
    <t>Reg Non Current DSM A5 Rider</t>
  </si>
  <si>
    <t>Fixed Assets-DC</t>
  </si>
  <si>
    <t>Fixed Assets-NC</t>
  </si>
  <si>
    <t>Fixed Assets-VA</t>
  </si>
  <si>
    <t>Fixed Assets-WV</t>
  </si>
  <si>
    <t>Charitable Contributions CFWD</t>
  </si>
  <si>
    <t>Fuel Def Current Liab</t>
  </si>
  <si>
    <t>Reg Liab - Debt Valuation - MTM - CURRENT</t>
  </si>
  <si>
    <t>VA Property Tax</t>
  </si>
  <si>
    <t>Retirement - (FASB87)</t>
  </si>
  <si>
    <t>FAS 109 PLANT DSIT DEFICIENCY D.C. (282) - PP7 RID</t>
  </si>
  <si>
    <t>LIBERALIZED DEPRECIATON - PLANT ACUFILE</t>
  </si>
  <si>
    <t xml:space="preserve">Capital O&amp;M Exp  </t>
  </si>
  <si>
    <t>Book Capitalized Interest (To Zero Balance from PY Top Side Entry)</t>
  </si>
  <si>
    <t xml:space="preserve">DOE Settlement -Asset Basis Reduction  </t>
  </si>
  <si>
    <t xml:space="preserve">Fixed Assets Fed Effect of State  </t>
  </si>
  <si>
    <t xml:space="preserve">Fixed Assets  </t>
  </si>
  <si>
    <t xml:space="preserve">Fixed Assets-DC  </t>
  </si>
  <si>
    <t xml:space="preserve">Fixed Assets-NC  </t>
  </si>
  <si>
    <t xml:space="preserve">Fixed Assets-VA  </t>
  </si>
  <si>
    <t xml:space="preserve">Fixed Assets-WV  </t>
  </si>
  <si>
    <t>CURRENT CAPITALIZED RESTORATION COSTS 481A - DISTR</t>
  </si>
  <si>
    <t>NON CURRENT CAPITALIZED RESTORATION COSTS 481A - D</t>
  </si>
  <si>
    <t>REG ASSET - FTR - CURRENT</t>
  </si>
  <si>
    <t>REG ASSET ASSET IMPAIRMENT NCUC CURRENT</t>
  </si>
  <si>
    <t>REG ASSET ASSET IMPAIRMENT NCUC NONCURR</t>
  </si>
  <si>
    <t>REG ASSET CURRENT RIDER A6 ALTAVISTA COST RESERVE</t>
  </si>
  <si>
    <t>REG ASSET CURRENT RIDER A6 BRUNSWICK COST RESERVE</t>
  </si>
  <si>
    <t>REG ASSET CURRENT RIDER A6 HOPEWELL COST RESERVE</t>
  </si>
  <si>
    <t>REG ASSET CURRENT RIDER A6 SOUTHAMPTON COST RESERV</t>
  </si>
  <si>
    <t>REG ASSET CURRENT RIDER A6 WARREN COST RESERVE</t>
  </si>
  <si>
    <t>REG ASSET DEFERRED NC RECPS REC COST CURRENT</t>
  </si>
  <si>
    <t>REG ASSET- HEDGE DEBT DE-DESIGNATED DEBT NOT ISSUE</t>
  </si>
  <si>
    <t>REG ASSET NONCUR RIDER A6 BRUNSWICK COST RESERVE</t>
  </si>
  <si>
    <t>REG ASSET NONCUR RIDER A6 HOPEWELL COST RESERVE</t>
  </si>
  <si>
    <t>Fleet Lease Credit Current</t>
  </si>
  <si>
    <t>Reg Liab ATRR Current</t>
  </si>
  <si>
    <t>Contingent Claims  Non Current</t>
  </si>
  <si>
    <t>Reg Liab A5 Rec Costs VA Non Current</t>
  </si>
  <si>
    <t>Reg Rate Refund Non Current</t>
  </si>
  <si>
    <t>Retirement - (FASB 87)</t>
  </si>
  <si>
    <t>Retirement  Exex Supp Ret ESRP Nonop</t>
  </si>
  <si>
    <t>FAS 133 - Debt Valuation - MTM - Current Liab</t>
  </si>
  <si>
    <t>Reg Asset - A5 Rec Cost VA</t>
  </si>
  <si>
    <t>Reg Asset Current Rider A5 DSM</t>
  </si>
  <si>
    <t>Emissions Allowances</t>
  </si>
  <si>
    <t>Reg Asset - Plant</t>
  </si>
  <si>
    <t>Reg ATRR Non Current</t>
  </si>
  <si>
    <t xml:space="preserve">CAPITALIZED O&amp;M EXP </t>
  </si>
  <si>
    <t>Depreciation Rates Applicable Through March 31, 2013</t>
  </si>
  <si>
    <t xml:space="preserve">   Station and Equipment</t>
  </si>
  <si>
    <t xml:space="preserve">   Overhead conductors and Devices</t>
  </si>
  <si>
    <t xml:space="preserve">   Electric Vehicle Recharge Equipment</t>
  </si>
  <si>
    <r>
      <t>Attachment 9 - Depreciation Rates (Continued)</t>
    </r>
    <r>
      <rPr>
        <b/>
        <vertAlign val="superscript"/>
        <sz val="10"/>
        <rFont val="Arial"/>
        <family val="2"/>
      </rPr>
      <t xml:space="preserve">1 </t>
    </r>
  </si>
  <si>
    <t>Depreciation Rates Applicable on and After April 1, 2013</t>
  </si>
  <si>
    <t xml:space="preserve">   Station Equipment</t>
  </si>
  <si>
    <t xml:space="preserve">   Station Equipment - Power Supply Computer Equipment</t>
  </si>
  <si>
    <t>Project AU-1</t>
  </si>
  <si>
    <t>Project AU-2</t>
  </si>
  <si>
    <t>Project AY</t>
  </si>
  <si>
    <t>Project  AZ</t>
  </si>
  <si>
    <t>B1188.6</t>
  </si>
  <si>
    <t>B1188</t>
  </si>
  <si>
    <t>B0756.1</t>
  </si>
  <si>
    <t>B1797</t>
  </si>
  <si>
    <t>B1798</t>
  </si>
  <si>
    <t>Add Sowego - Gainsville 230 kV</t>
  </si>
  <si>
    <t xml:space="preserve">Rebuild Mt Storm - Doubs 500 kV </t>
  </si>
  <si>
    <t xml:space="preserve">Replace both wave traps on </t>
  </si>
  <si>
    <t>Replace wave traps on North Anna to</t>
  </si>
  <si>
    <t xml:space="preserve">Upgrade a 115 kV shunt capacitor banks </t>
  </si>
  <si>
    <t xml:space="preserve">Install one 500/230 kV </t>
  </si>
  <si>
    <t>Install two 500 kV breakers at</t>
  </si>
  <si>
    <t>Wreck and rebuild 7 miles of the</t>
  </si>
  <si>
    <t>Build a 450 MVAR SVC and 300 MVAR</t>
  </si>
  <si>
    <t xml:space="preserve">Build a 2nd 230kV line Harrisonburg to </t>
  </si>
  <si>
    <t>spare</t>
  </si>
  <si>
    <t>Phase 3</t>
  </si>
  <si>
    <t>Dooms - Lexington 500 kV</t>
  </si>
  <si>
    <t xml:space="preserve">Ladysmith 500 kV </t>
  </si>
  <si>
    <t>at Merck and Edinburg</t>
  </si>
  <si>
    <t>transformer and two 230 kV breakers</t>
  </si>
  <si>
    <t>Chancellor 500 kV</t>
  </si>
  <si>
    <t>Dominion owned section of Cloverdale -</t>
  </si>
  <si>
    <t xml:space="preserve">switched shunt at Loudoun 500 kV </t>
  </si>
  <si>
    <t>Endless Caverns</t>
  </si>
  <si>
    <t xml:space="preserve">Loop Line 251 Idylwood -- Arlington into </t>
  </si>
  <si>
    <t>at Brambleton</t>
  </si>
  <si>
    <t xml:space="preserve">Lexington 500 kV </t>
  </si>
  <si>
    <t>the GIS sub</t>
  </si>
  <si>
    <t xml:space="preserve">Merck </t>
  </si>
  <si>
    <t>Edinburg</t>
  </si>
  <si>
    <t xml:space="preserve">     True-Up Adjustment for the previous calendar year in accordance with Attachment 6 A and as calculated in Lines A through I below.</t>
  </si>
  <si>
    <t>Project B-1</t>
  </si>
  <si>
    <t xml:space="preserve">at Loudoun - Replacement of </t>
  </si>
  <si>
    <t>Circuit Breaker</t>
  </si>
  <si>
    <t>B1508.1</t>
  </si>
  <si>
    <t>2015  (000's) - Projection</t>
  </si>
  <si>
    <t>2015 - Projection</t>
  </si>
  <si>
    <r>
      <t>2015</t>
    </r>
    <r>
      <rPr>
        <b/>
        <sz val="11"/>
        <rFont val="Arial"/>
        <family val="2"/>
      </rPr>
      <t xml:space="preserve">  (000's) - Projection</t>
    </r>
  </si>
  <si>
    <r>
      <t>2015</t>
    </r>
    <r>
      <rPr>
        <b/>
        <sz val="14"/>
        <rFont val="Arial"/>
        <family val="2"/>
      </rPr>
      <t xml:space="preserve">  (000's) - Projection</t>
    </r>
  </si>
  <si>
    <t>2015 - Projections</t>
  </si>
  <si>
    <t xml:space="preserve">COST OF REMOVAL - DISTRIBUTION  </t>
  </si>
  <si>
    <t xml:space="preserve">COST OF REMOVAL - GENERAL  </t>
  </si>
  <si>
    <t xml:space="preserve">COST OF REMOVAL - PRODUCTION  </t>
  </si>
  <si>
    <t xml:space="preserve">COST OF REMOVAL - PRODUCTION NA  </t>
  </si>
  <si>
    <t xml:space="preserve">COST OF REMOVAL - TRANSMISSION  </t>
  </si>
  <si>
    <t xml:space="preserve">CWIP ABANDONMENT NON CURRENT - NA3  </t>
  </si>
  <si>
    <t xml:space="preserve">CWIP ABANDONMENT NON CURRENT - WIND  </t>
  </si>
  <si>
    <t xml:space="preserve">DSIT 190 OPERATING NONCURR ASSET VA MIN  </t>
  </si>
  <si>
    <t xml:space="preserve">DSIT 190 OPERATING NONCURR ASSET W.V. NOL  </t>
  </si>
  <si>
    <t xml:space="preserve">FAS 109 ITC DFIT DEFICIENCY (190) - FED EFFECT OF STATE  </t>
  </si>
  <si>
    <t xml:space="preserve">FAS 109 ITC GROSSUP (190) - FED EFFECT OF STATE  </t>
  </si>
  <si>
    <t xml:space="preserve">FUEL DEF OTHER CURRENT LIAB  </t>
  </si>
  <si>
    <t xml:space="preserve">REG LIAB CURREST DSM A5  </t>
  </si>
  <si>
    <t xml:space="preserve">RETENTION BONUS  </t>
  </si>
  <si>
    <t xml:space="preserve">RENEWABLE ENERGY RESOURCE CREDIT  </t>
  </si>
  <si>
    <t xml:space="preserve">WORKERS COMPENSATION - FAS 112  </t>
  </si>
  <si>
    <t>REG ASSET CURRENT RIDER A6 BEAR GARDEN COST RESERVE</t>
  </si>
  <si>
    <t>REG ASSET CURRENT RIDER A6 HOPEWELL AFUDC DEBT</t>
  </si>
  <si>
    <t>REG ASSET CURRENT RIDER A6 SOUTHAMPTON AFUDC DEBT</t>
  </si>
  <si>
    <t>REG ASSET CURRENT RIDER A6 SOUTHAMPTON COST RESERVE</t>
  </si>
  <si>
    <t>REG RATE REFUND-NON CURRENT</t>
  </si>
  <si>
    <t xml:space="preserve">CAPITAL EXPENSE 481A - DISTRIBUTION  </t>
  </si>
  <si>
    <t xml:space="preserve">CAPITALIZED RESTORATION 481A  </t>
  </si>
  <si>
    <t xml:space="preserve">FAS 109 OTHER DFIT DEFICIENCY (282) - FED EFFECT OF STATE  </t>
  </si>
  <si>
    <t xml:space="preserve">FAS 109 PLANT DFIT DEFICIENCY (282) - BRUNSWICK RIDER - FED EFFECT OF STATE  </t>
  </si>
  <si>
    <t xml:space="preserve">FAS 109 PLANT DFIT DEFICIENCY (282) - HOPEWELL RI - FED EFFECT OF STATE  </t>
  </si>
  <si>
    <t xml:space="preserve">FAS 109 PLANT DFIT DEFICIENCY (282) - NAIII RIDER - FED EFFECT OF STATE  </t>
  </si>
  <si>
    <t xml:space="preserve">FAS 109 PLANT DFIT DEFICIENCY (282) - SOUTHAMPTON - FED EFFECT OF STATE  </t>
  </si>
  <si>
    <t xml:space="preserve">FAS 109 PLANT DFIT DEFICIENCY (282) - VCHEC RIDER - FED EFFECT OF STATE  </t>
  </si>
  <si>
    <t xml:space="preserve">FAS 109 PLANT DFIT DEFICIENCY (282) - WARREN RIDER - FED EFFECT OF STATE  </t>
  </si>
  <si>
    <t>FAS 109 PLANT DFIT DEFICIENCY (282) - ALTAVISTA RI - FED EFFECT OF STATE</t>
  </si>
  <si>
    <t>FAS 109 PLANT DFIT DEFICIENCY (282) - BR GARDEN RI - FED EFFECT OF STATE</t>
  </si>
  <si>
    <t xml:space="preserve">FIXED ASSETS FED EFFECT OF STATE  </t>
  </si>
  <si>
    <t xml:space="preserve">LIBERALIZED DEPRECIATION-DISTRIBUTION  </t>
  </si>
  <si>
    <t xml:space="preserve">LIBERALIZED DEPRECIATION-FUEL-NA  </t>
  </si>
  <si>
    <t xml:space="preserve">LIBERALIZED DEPRECIATION-FUEL-SURRY  </t>
  </si>
  <si>
    <t xml:space="preserve">LIBERALIZED DEPRECIATION-GENERAL  </t>
  </si>
  <si>
    <t xml:space="preserve">LIBERALIZED DEPRECIATION-ODEC PLANT  </t>
  </si>
  <si>
    <t xml:space="preserve">LIBERALIZED DEPRECIATION-PEPCO ACQ ADJ  </t>
  </si>
  <si>
    <t xml:space="preserve">LIBERALIZED DEPRECIATION-PRODUCTION  </t>
  </si>
  <si>
    <t xml:space="preserve">LIBERALIZED DEPRECIATION-PRODUCTION BATH  </t>
  </si>
  <si>
    <t xml:space="preserve">LIBERALIZED DEPRECIATION-PRODUCTION NA  </t>
  </si>
  <si>
    <t xml:space="preserve">LIBERALIZED DEPRECIATION-TRANSMISSION  </t>
  </si>
  <si>
    <t>FIXED ASSETS  FED EFFECT OF STATE</t>
  </si>
  <si>
    <t xml:space="preserve">CHARITABLE CONTRIBUTION CFWD  </t>
  </si>
  <si>
    <t xml:space="preserve">FAS 109 OTHER DFIT GROSSUP (283) - ALTAVISTA RIDER - FED EFFECT OF STATE  </t>
  </si>
  <si>
    <t xml:space="preserve">FAS 109 OTHER DFIT GROSSUP (283) - ALTAVISTA RIDER  </t>
  </si>
  <si>
    <t xml:space="preserve">FAS 109 OTHER DFIT GROSSUP (283) - BEAR GARDEN RIDER  </t>
  </si>
  <si>
    <t xml:space="preserve">FAS 109 OTHER DFIT GROSSUP (283) - BEAR GARDEN RIDER - FED EFFECT OF STATE  </t>
  </si>
  <si>
    <t xml:space="preserve">FAS 109 OTHER DFIT GROSSUP (283) - BREMO RIDER  </t>
  </si>
  <si>
    <t xml:space="preserve">FAS 109 OTHER DFIT GROSSUP (283) - BRUNSWICK RIDER  </t>
  </si>
  <si>
    <t xml:space="preserve">FAS 109 OTHER DFIT GROSSUP (283) - BRUNSWICK RIDER - FED EFFECT OF STATE  </t>
  </si>
  <si>
    <t xml:space="preserve">FAS 109 OTHER DFIT GROSSUP (283) - FED EFFECT OF STATE  </t>
  </si>
  <si>
    <t xml:space="preserve">FAS 109 OTHER DFIT GROSSUP (283) - HALIFAX RIDER  </t>
  </si>
  <si>
    <t xml:space="preserve">FAS 109 OTHER DFIT GROSSUP (283) - HOPEWELL RIDER  </t>
  </si>
  <si>
    <t xml:space="preserve">FAS 109 OTHER DFIT GROSSUP (283) - HOPEWELL RIDER - FED EFFECT OF STATE  </t>
  </si>
  <si>
    <t xml:space="preserve">FAS 109 OTHER DFIT GROSSUP (283) - NAIII RIDER  </t>
  </si>
  <si>
    <t xml:space="preserve">FAS 109 OTHER DFIT GROSSUP (283) - NAIII RIDER - FED EFFECT OF STATE  </t>
  </si>
  <si>
    <t xml:space="preserve">FAS 109 OTHER DFIT GROSSUP (283) - PP7 RIDER  </t>
  </si>
  <si>
    <t xml:space="preserve">FAS 109 OTHER DFIT GROSSUP (283) - SOUTHAMPTON RIDER  </t>
  </si>
  <si>
    <t xml:space="preserve">FAS 109 OTHER DFIT GROSSUP (283) - SOUTHAMPTON RIDER - FED EFFECT OF STATE  </t>
  </si>
  <si>
    <t xml:space="preserve">FAS 109 OTHER DFIT GROSSUP (283) - VCHEC RIDER - FED EFFECT OF STATE  </t>
  </si>
  <si>
    <t xml:space="preserve">FAS 109 OTHER DFIT GROSSUP (283) - WARREN RIDER - FED EFFECT OF STATE  </t>
  </si>
  <si>
    <t xml:space="preserve">FAS 133-DEFERRED G/L POWER HEDGE NON CURRENT LIAB  </t>
  </si>
  <si>
    <t xml:space="preserve">REG ASSET - DEBT VALUATION - MTM - CURRENT  </t>
  </si>
  <si>
    <t xml:space="preserve">REG ASSET - DEFERRED G/L POWER HEDGE CURRENT  </t>
  </si>
  <si>
    <t xml:space="preserve">REG ASSET CURRENT RIDER A6 BRUNSWICK AFUDC DEBT  </t>
  </si>
  <si>
    <t xml:space="preserve">REG ASSET NUCLEAR OUTAGE DEFERRAL - CURRENT  </t>
  </si>
  <si>
    <t>RETENTION BONUS</t>
  </si>
  <si>
    <t>Attachment 1 - Accumulated Deferred Income Taxes (ADIT) Worksheet - 2015 Projection</t>
  </si>
  <si>
    <t>Attachment 1A - Accumulated Deferred Income Taxes (ADIT) Worksheet - December 31 of the Previous Year (Projection)</t>
  </si>
  <si>
    <t>Attachment 1B</t>
  </si>
  <si>
    <t>Associated with Pro-rata Liberalized Depreciation</t>
  </si>
  <si>
    <t>Effective on and After January 1, 2015</t>
  </si>
  <si>
    <t>(Not Applicable to the True-up of 2014 and Earlier)</t>
  </si>
  <si>
    <r>
      <rPr>
        <b/>
        <sz val="11"/>
        <rFont val="Arial"/>
        <family val="2"/>
      </rPr>
      <t>NOTE:</t>
    </r>
    <r>
      <rPr>
        <sz val="11"/>
        <rFont val="Arial"/>
        <family val="2"/>
      </rPr>
      <t xml:space="preserve"> Attachment 1B is effective</t>
    </r>
  </si>
  <si>
    <t>Sheet 1 of 4</t>
  </si>
  <si>
    <t>Subject to Refund.  See FERC</t>
  </si>
  <si>
    <t>Docket No. ER14-1831.</t>
  </si>
  <si>
    <t>Part 1:  Account 282, Transmission Plant In Service</t>
  </si>
  <si>
    <t>Columns 3, 4, 7, 8, and 9 are in dollars (except line 15).</t>
  </si>
  <si>
    <t xml:space="preserve">    Line 1</t>
  </si>
  <si>
    <t>Number of Days in Year:</t>
  </si>
  <si>
    <t xml:space="preserve">  (Enter 365, or for Leap Year enter 366)</t>
  </si>
  <si>
    <t>(1)</t>
  </si>
  <si>
    <t>(2)</t>
  </si>
  <si>
    <t>(3)</t>
  </si>
  <si>
    <t>(4)</t>
  </si>
  <si>
    <t>(5)</t>
  </si>
  <si>
    <t>(6)</t>
  </si>
  <si>
    <t>(7)</t>
  </si>
  <si>
    <t>(8)</t>
  </si>
  <si>
    <t>Remaining</t>
  </si>
  <si>
    <t>Pro Rata</t>
  </si>
  <si>
    <t>Pro-rated</t>
  </si>
  <si>
    <t>13 Month</t>
  </si>
  <si>
    <t>Line</t>
  </si>
  <si>
    <t>Activity</t>
  </si>
  <si>
    <t>Days</t>
  </si>
  <si>
    <t>Ratio</t>
  </si>
  <si>
    <t>Dec</t>
  </si>
  <si>
    <t>Total Transmission Plant In Service Net of GSU and GI Plant as a Percentage of Total Transmission Plant In Service:</t>
  </si>
  <si>
    <t>Transmission Plant In Service ADIT Associated with Pro-rata Liberalized Depreciation:</t>
  </si>
  <si>
    <r>
      <t>Explanations</t>
    </r>
    <r>
      <rPr>
        <b/>
        <sz val="11"/>
        <color theme="1"/>
        <rFont val="Arial"/>
        <family val="2"/>
      </rPr>
      <t>:</t>
    </r>
  </si>
  <si>
    <t>Col. 1, Lines 2-3</t>
  </si>
  <si>
    <t>The year prior to the subject year and the subject year, respectively.</t>
  </si>
  <si>
    <t>Col. 3</t>
  </si>
  <si>
    <t>Account 282 month-end ADIT as projected or from accounting records reconciling to Form1 (excludes cost of removal).</t>
  </si>
  <si>
    <t>Col. 4</t>
  </si>
  <si>
    <t>Current month change in ADIT balance.</t>
  </si>
  <si>
    <t>Col. 5</t>
  </si>
  <si>
    <t>Number of days remaining in the year as of and including the last day of the month.</t>
  </si>
  <si>
    <t>Col. 6</t>
  </si>
  <si>
    <t>Col. 5 divided by the number of days in the year.</t>
  </si>
  <si>
    <t>Col. 7</t>
  </si>
  <si>
    <t>Col. 4 multiplied by col. 6.</t>
  </si>
  <si>
    <t>Col. 8, Line 2</t>
  </si>
  <si>
    <t>Amount from col. 3, line 2.</t>
  </si>
  <si>
    <t>Col. 8, Lines 3-14</t>
  </si>
  <si>
    <t>Col. 8 of previous month plus col. 7 of current month.</t>
  </si>
  <si>
    <t>Col. 9, Line 14</t>
  </si>
  <si>
    <t>Col. 8</t>
  </si>
  <si>
    <t>The average of the 13 amounts in col. 8.</t>
  </si>
  <si>
    <t>Col. 9, Line 15</t>
  </si>
  <si>
    <r>
      <t xml:space="preserve">Appendix A, Line 24 </t>
    </r>
    <r>
      <rPr>
        <sz val="11"/>
        <color theme="1"/>
        <rFont val="Calibri"/>
        <family val="2"/>
      </rPr>
      <t>÷</t>
    </r>
    <r>
      <rPr>
        <sz val="11"/>
        <color theme="1"/>
        <rFont val="Arial"/>
        <family val="2"/>
      </rPr>
      <t xml:space="preserve"> Appendix A, Line 21</t>
    </r>
  </si>
  <si>
    <t>Col. 9, Line 16</t>
  </si>
  <si>
    <t xml:space="preserve">Col. 9, Line 14, multiplied by line 15.  To be entered (in thousands) into Column D of the Account 282 section of Attachments 1 and 1A. </t>
  </si>
  <si>
    <t>Attachment 1B (Continued)</t>
  </si>
  <si>
    <t>Sheet 2 of 4</t>
  </si>
  <si>
    <t>Part 2:  Account 282, General Plant</t>
  </si>
  <si>
    <t>Columns 3, 4, 7, 8, and 9 are in dollars.</t>
  </si>
  <si>
    <t>General Plant ADIT Associated with Pro-rata Liberalized Depreciation:</t>
  </si>
  <si>
    <t>Col. 4 multiplied by Col. 6.</t>
  </si>
  <si>
    <t>Col. 8, Line 1</t>
  </si>
  <si>
    <t>Amount from col. 3, line 1.</t>
  </si>
  <si>
    <t>Col. 8, Lines 2-13</t>
  </si>
  <si>
    <t>Col. 8 of previous month plus Col. 7 of current month.</t>
  </si>
  <si>
    <t xml:space="preserve">The average of the 13 amounts in col. 8.  To be entered (in thousands) into Column F of the Account 282 section of Attachments 1 and 1A. </t>
  </si>
  <si>
    <t>Sheet 3 of 4</t>
  </si>
  <si>
    <t>The column and line explanations and the use of line 14 are as described for Part 2.</t>
  </si>
  <si>
    <t>Part 3:  Account 282, Computer Software - Book Amortization</t>
  </si>
  <si>
    <t>Comp Software</t>
  </si>
  <si>
    <t>Book Amort</t>
  </si>
  <si>
    <t>Computer Software - Book Amortization ADIT Associated with Pro-rata Liberalized Depreciation:</t>
  </si>
  <si>
    <t>Sheet 4 of 4</t>
  </si>
  <si>
    <t>Part 4:  Account 282, Computer Software - Tax Amortization</t>
  </si>
  <si>
    <t>Tax Amort</t>
  </si>
  <si>
    <t>Computer Software - Tax Amortization ADIT Associated with Pro-rata Liberalized Depreciation:</t>
  </si>
  <si>
    <t>2015 Projection</t>
  </si>
  <si>
    <t>Computer Software - Tax Amortization ADIT Attributable to January through December 2014:</t>
  </si>
  <si>
    <t>Component of Average Pro-rated ADIT Attributable to May Through December 2014:</t>
  </si>
  <si>
    <t>8 Months Divided by 12 Months:</t>
  </si>
  <si>
    <t>Post-change -- Average Pro-rated ADIT for April Through December 2014:</t>
  </si>
  <si>
    <t>Component of Average ADIT Attributable to January Through April 2014:</t>
  </si>
  <si>
    <t>4 Months Divided by 12 Months:</t>
  </si>
  <si>
    <t>Pre-change -- Average of December 2013 ADIT and April 2014 ADIT:</t>
  </si>
  <si>
    <t>by Explanation</t>
  </si>
  <si>
    <t>As Indicated</t>
  </si>
  <si>
    <t>The column and line explanations and the use of line 20 are as described for Part 2.</t>
  </si>
  <si>
    <t>Columns 3, 4, 7, 8, and 9 are in dollars (except lines 15 and 18).</t>
  </si>
  <si>
    <t>2014 True-up</t>
  </si>
  <si>
    <t>Attachment 1B-2014 (Continued)</t>
  </si>
  <si>
    <t>Computer Software - Book Amortization ADIT Attributable to January through December 2014:</t>
  </si>
  <si>
    <t>Line 16 plus line 19.  To be entered (in thousands) into Column F of the Account 282 section of Attachments 1 and 1A only for calculation of the 2014 true-up.</t>
  </si>
  <si>
    <t>Col. 9, Line 20</t>
  </si>
  <si>
    <t>Line 17 multiplied by line 18.</t>
  </si>
  <si>
    <t>Col. 9, Line 19</t>
  </si>
  <si>
    <t>Average of the nine amounts in col. 8, lines 5 through 13.</t>
  </si>
  <si>
    <t>Col. 9, Line 17</t>
  </si>
  <si>
    <t>Line 14 multiplied by line 15.</t>
  </si>
  <si>
    <t>Average of col. 3, line 1 and col. 3, line 5.</t>
  </si>
  <si>
    <t>Col. 5 divided by 365 days.</t>
  </si>
  <si>
    <t>Account 282 month-end ADIT from accounting records reconciling to Form1 (excludes cost of removal).</t>
  </si>
  <si>
    <t>General Plant ADIT Attributable to January through December 2014:</t>
  </si>
  <si>
    <t>Line 21 multiplied by line 22.  To be entered (in thousands) into Column D of the Account 282 section of Attachments 1 and 1A only for calculation of the 2014 true-up.</t>
  </si>
  <si>
    <t>Col. 9, Line 23</t>
  </si>
  <si>
    <t>Col. 9, Line 22</t>
  </si>
  <si>
    <t>Line 17 plus line 20.</t>
  </si>
  <si>
    <t>Col. 9, Line 21</t>
  </si>
  <si>
    <t>Line 18 multiplied by line 19.</t>
  </si>
  <si>
    <t>Average of the nine amounts in col. 8, lines 6 through 14.</t>
  </si>
  <si>
    <t>Col. 9, Line 18</t>
  </si>
  <si>
    <t>Line 15 multiplied by line 16.</t>
  </si>
  <si>
    <t>Average of col. 3, line 2 and col. 3, line 6.</t>
  </si>
  <si>
    <t>Transmission Plant In Service ADIT Attributable to January through December 2014:</t>
  </si>
  <si>
    <t>Average ADIT Attributable to January Through December 2014:</t>
  </si>
  <si>
    <t>Line 1:  365 days in 2014.</t>
  </si>
  <si>
    <t>Columns 3, 4, 7, 8, and 9 are in dollars (except lines 16, 19, and 22).</t>
  </si>
  <si>
    <t>FERC Docket No. ER14-1831.</t>
  </si>
  <si>
    <t>effective Subject to Refund.  See</t>
  </si>
  <si>
    <r>
      <rPr>
        <b/>
        <sz val="11"/>
        <rFont val="Arial"/>
        <family val="2"/>
      </rPr>
      <t>NOTE:</t>
    </r>
    <r>
      <rPr>
        <sz val="11"/>
        <rFont val="Arial"/>
        <family val="2"/>
      </rPr>
      <t xml:space="preserve"> Attachment 1B-2014 is </t>
    </r>
  </si>
  <si>
    <t>Effective Only for the True-up of 2014</t>
  </si>
  <si>
    <t>Associated with Pro-Rata Liberalized Depreciation</t>
  </si>
  <si>
    <t>Attachment 1B-2014</t>
  </si>
  <si>
    <t>Average Beginning and End of Year ADIT (See Note 1)</t>
  </si>
  <si>
    <t>Note 1:  For this amount and certain of its components above, portions from Account 282 may reflect 13-month average balances as provided for in the instructions for Account 282 in Attachments 1 and 1A.</t>
  </si>
  <si>
    <t>7.  For true-ups beginning with the true-up of 2014, and for projections beginning with the projection of</t>
  </si>
  <si>
    <t>2015;</t>
  </si>
  <si>
    <t>Instead, enter the ADIT amount from Attachment 1B, Part 1, column 9, line 16; however, for the 2014</t>
  </si>
  <si>
    <t>true-up enter the ADIT amount from Attachment 1B-2014, Part 1, column 9, line 23.  (The same entry is</t>
  </si>
  <si>
    <t>to be made in Attachment 1A.)</t>
  </si>
  <si>
    <t xml:space="preserve">     7.b.  For general plant liberalized depreciation, computer software book amortization, and </t>
  </si>
  <si>
    <t>computer software tax amortization, do no enter year-end balances in Column F.  Instead, enter the</t>
  </si>
  <si>
    <t>however, for the 2014 true-up enter the ADIT amounts from column 9, line 20, from the appropriate</t>
  </si>
  <si>
    <t>6.  Re:  Form 1-F filer:  Sum of subtotals for Accounts 282 and 283 should tie to Form No. 1-F, p.113.57.c.</t>
  </si>
  <si>
    <t>1.  ADIT items related only to Non-Electric Operations (e.g., Gas, Water, Sewer) or Production are directly assigned to Column C.</t>
  </si>
  <si>
    <t>2.  ADIT items related only to Transmission are directly assigned to Column D.</t>
  </si>
  <si>
    <t>3.  ADIT items related to Plant and not in Columns C &amp; D are included in Column E.</t>
  </si>
  <si>
    <t>4.  ADIT items related to labor and not in Columns C &amp; D are included in Column F.</t>
  </si>
  <si>
    <t>5. Deferred income taxes arise when items are included in taxable income in different periods than they are included in rates, therefore if the item giving rise to the ADIT is not included in the formula, the associated ADIT amount shall be excluded.</t>
  </si>
  <si>
    <t xml:space="preserve">     7.a.  For transmission plant liberalized depreciation, do not enter year-end balances in Column D.</t>
  </si>
  <si>
    <t>ADIT (See Note 1)</t>
  </si>
  <si>
    <t>to be made in Attachment 1.)</t>
  </si>
  <si>
    <r>
      <t>NOTE:</t>
    </r>
    <r>
      <rPr>
        <sz val="11"/>
        <rFont val="Calibri"/>
        <family val="2"/>
      </rPr>
      <t>  This Attachment 1 is effective Subject to Refund.  See FERC Docket No. ER14-1831.</t>
    </r>
  </si>
  <si>
    <r>
      <t>NOTE:</t>
    </r>
    <r>
      <rPr>
        <sz val="11"/>
        <rFont val="Calibri"/>
        <family val="2"/>
      </rPr>
      <t>  This Attachment 1A is effective Subject to Refund.  See FERC Docket No. ER14-1831.</t>
    </r>
  </si>
  <si>
    <t>Project AK-4</t>
  </si>
  <si>
    <t>Project AK-5</t>
  </si>
  <si>
    <t>Project AK-6</t>
  </si>
  <si>
    <t>Project AK-7</t>
  </si>
  <si>
    <t>Project AV-1</t>
  </si>
  <si>
    <t>Project AV-2</t>
  </si>
  <si>
    <t>Project AW</t>
  </si>
  <si>
    <t>Project AX-1</t>
  </si>
  <si>
    <t>Project AX-2</t>
  </si>
  <si>
    <t>Project BA</t>
  </si>
  <si>
    <t>Project BB-1</t>
  </si>
  <si>
    <t>Project BB-2</t>
  </si>
  <si>
    <t>Project BB-3</t>
  </si>
  <si>
    <t>Project BB-4</t>
  </si>
  <si>
    <t>Project BB-5</t>
  </si>
  <si>
    <t>Project BC</t>
  </si>
  <si>
    <t>Project BD-1</t>
  </si>
  <si>
    <t>Project BD-2</t>
  </si>
  <si>
    <t>Project BE</t>
  </si>
  <si>
    <t>Project BF-1</t>
  </si>
  <si>
    <t>Project BF-2</t>
  </si>
  <si>
    <t>Project BG</t>
  </si>
  <si>
    <t>Project BH - 1</t>
  </si>
  <si>
    <t>Project BH - 2</t>
  </si>
  <si>
    <t>Project BH - 3</t>
  </si>
  <si>
    <t>Project BK</t>
  </si>
  <si>
    <t>Project BU</t>
  </si>
  <si>
    <t>B1698.1</t>
  </si>
  <si>
    <t>B1321</t>
  </si>
  <si>
    <t>B1799</t>
  </si>
  <si>
    <t>B1805</t>
  </si>
  <si>
    <t>B1508.2</t>
  </si>
  <si>
    <t>B2053</t>
  </si>
  <si>
    <t>B1906.1</t>
  </si>
  <si>
    <t>B1908</t>
  </si>
  <si>
    <t>B1905.2</t>
  </si>
  <si>
    <t>B1328</t>
  </si>
  <si>
    <t>Build new Brambleton 500 kV three ring bus</t>
  </si>
  <si>
    <t>Install a 500 kV breaker at Brambleton</t>
  </si>
  <si>
    <t>Build a new 230 kV line North Anna - Oak</t>
  </si>
  <si>
    <t>Build 150 MVAR Switched Shunt at Pleasant</t>
  </si>
  <si>
    <t>Install a 250 MVAR SVC at the existing Mt.</t>
  </si>
  <si>
    <t>Install a 3rd 230 - 115 kV Tx at</t>
  </si>
  <si>
    <t>Rebuild 28 mile line</t>
  </si>
  <si>
    <t>At Yadkin 500 kV, install six 500 kV breakers</t>
  </si>
  <si>
    <t>Rebuild Lexington-Dooms 500 kV</t>
  </si>
  <si>
    <t>Surry 500 kV Station Work</t>
  </si>
  <si>
    <t>Uprate the 3.63 mile line section between</t>
  </si>
  <si>
    <t>connected to the Loudoun to Pleasant View</t>
  </si>
  <si>
    <t>Green and install a 224 MVA 230/115 kV</t>
  </si>
  <si>
    <t>View 500 kV</t>
  </si>
  <si>
    <t>Storm 500 kV substation</t>
  </si>
  <si>
    <t>(Altavista - Skimmer, 115kV)</t>
  </si>
  <si>
    <t>Possum and Dumfries substations,</t>
  </si>
  <si>
    <t xml:space="preserve">500 kV line </t>
  </si>
  <si>
    <t>transformer at oak Green</t>
  </si>
  <si>
    <t>replace the 1600 amp wave trap at</t>
  </si>
  <si>
    <t>Possum Point</t>
  </si>
  <si>
    <t>Note 1:  For these amounts and certain of their components above, portions from Account 282 may reflect 13-month average balances as provided for in the instructions below for Account 282.</t>
  </si>
  <si>
    <r>
      <t>ADIT amounts from column 9, line 14, from the appropriate</t>
    </r>
    <r>
      <rPr>
        <b/>
        <sz val="11"/>
        <color rgb="FFFF0000"/>
        <rFont val="Arial"/>
        <family val="2"/>
      </rPr>
      <t xml:space="preserve"> </t>
    </r>
    <r>
      <rPr>
        <b/>
        <sz val="11"/>
        <rFont val="Arial"/>
        <family val="2"/>
      </rPr>
      <t>of Parts 2, 3, and 4 of Attachment 1B;</t>
    </r>
  </si>
  <si>
    <t>of Parts 2, 3, and 4 of Attachment 1B-2014.  (The same entry is to be made in Attachment 1A.)</t>
  </si>
  <si>
    <t>of Parts 2, 3, and 4 of Attachment 1B-2014.  (The same entry is to be made in Attachment 1.)</t>
  </si>
  <si>
    <t>each project using the applicable Life input in effect during the months of each calendar year the project was in service.</t>
  </si>
  <si>
    <t>Therefore actual revenues collected or the lack of revenues collected in other years are not applicable.  Depreciation will be calculated for</t>
  </si>
</sst>
</file>

<file path=xl/styles.xml><?xml version="1.0" encoding="utf-8"?>
<styleSheet xmlns="http://schemas.openxmlformats.org/spreadsheetml/2006/main">
  <numFmts count="26">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0.0000%"/>
    <numFmt numFmtId="173" formatCode="0.00000%"/>
    <numFmt numFmtId="174" formatCode="#,##0.0000"/>
    <numFmt numFmtId="175" formatCode="#,##0.000_);\(#,##0.000\)"/>
    <numFmt numFmtId="176" formatCode="_(* #,##0.00000_);_(* \(#,##0.00000\);_(* &quot;-&quot;??_);_(@_)"/>
    <numFmt numFmtId="177" formatCode="#,##0.0000_);\(#,##0.0000\)"/>
    <numFmt numFmtId="178" formatCode="_(* #,##0.0_);_(* \(#,##0.0\);_(* &quot;-&quot;??_);_(@_)"/>
    <numFmt numFmtId="179" formatCode="#,##0.0_);\(#,##0.0\)"/>
    <numFmt numFmtId="180" formatCode="_(* #,##0.000_);_(* \(#,##0.000\);_(* &quot;-&quot;??_);_(@_)"/>
    <numFmt numFmtId="181" formatCode="0.000000"/>
    <numFmt numFmtId="182" formatCode="#,##0.000000_);\(#,##0.000000\)"/>
    <numFmt numFmtId="183" formatCode="0.0000000%"/>
    <numFmt numFmtId="184" formatCode="#,##0.0000000000_);\(#,##0.0000000000\)"/>
  </numFmts>
  <fonts count="11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name val="Arial"/>
      <family val="2"/>
    </font>
    <font>
      <sz val="12"/>
      <color indexed="12"/>
      <name val="Arial"/>
      <family val="2"/>
    </font>
    <font>
      <b/>
      <sz val="12"/>
      <color indexed="10"/>
      <name val="Arial"/>
      <family val="2"/>
    </font>
    <font>
      <sz val="12"/>
      <color indexed="10"/>
      <name val="Arial"/>
      <family val="2"/>
    </font>
    <font>
      <b/>
      <sz val="12"/>
      <name val="Arial"/>
      <family val="2"/>
    </font>
    <font>
      <b/>
      <sz val="10"/>
      <color indexed="10"/>
      <name val="Arial"/>
      <family val="2"/>
    </font>
    <font>
      <sz val="10"/>
      <name val="Arial"/>
      <family val="2"/>
    </font>
    <font>
      <sz val="12"/>
      <name val="Arial MT"/>
    </font>
    <font>
      <b/>
      <sz val="14"/>
      <name val="Arial"/>
      <family val="2"/>
    </font>
    <font>
      <sz val="12"/>
      <color indexed="13"/>
      <name val="Arial"/>
      <family val="2"/>
    </font>
    <font>
      <b/>
      <sz val="12"/>
      <color indexed="13"/>
      <name val="Arial"/>
      <family val="2"/>
    </font>
    <font>
      <sz val="14"/>
      <name val="Arial"/>
      <family val="2"/>
    </font>
    <font>
      <b/>
      <sz val="18"/>
      <name val="Arial"/>
      <family val="2"/>
    </font>
    <font>
      <b/>
      <i/>
      <sz val="10"/>
      <name val="Arial"/>
      <family val="2"/>
    </font>
    <font>
      <b/>
      <i/>
      <sz val="12"/>
      <name val="Arial"/>
      <family val="2"/>
    </font>
    <font>
      <b/>
      <i/>
      <sz val="12"/>
      <color indexed="14"/>
      <name val="Arial"/>
      <family val="2"/>
    </font>
    <font>
      <b/>
      <i/>
      <sz val="10"/>
      <color indexed="10"/>
      <name val="Arial"/>
      <family val="2"/>
    </font>
    <font>
      <b/>
      <sz val="10"/>
      <color indexed="14"/>
      <name val="Arial"/>
      <family val="2"/>
    </font>
    <font>
      <b/>
      <sz val="14"/>
      <color indexed="10"/>
      <name val="Arial"/>
      <family val="2"/>
    </font>
    <font>
      <sz val="14"/>
      <name val="Arial"/>
      <family val="2"/>
    </font>
    <font>
      <sz val="12"/>
      <color indexed="43"/>
      <name val="Arial"/>
      <family val="2"/>
    </font>
    <font>
      <sz val="10"/>
      <color indexed="10"/>
      <name val="Arial"/>
      <family val="2"/>
    </font>
    <font>
      <b/>
      <u/>
      <sz val="10"/>
      <name val="Arial"/>
      <family val="2"/>
    </font>
    <font>
      <b/>
      <sz val="11"/>
      <name val="Arial"/>
      <family val="2"/>
    </font>
    <font>
      <b/>
      <u/>
      <sz val="11"/>
      <name val="Arial"/>
      <family val="2"/>
    </font>
    <font>
      <i/>
      <sz val="10"/>
      <name val="Arial"/>
      <family val="2"/>
    </font>
    <font>
      <b/>
      <sz val="18"/>
      <color indexed="10"/>
      <name val="Arial"/>
      <family val="2"/>
    </font>
    <font>
      <sz val="14"/>
      <color indexed="10"/>
      <name val="Arial"/>
      <family val="2"/>
    </font>
    <font>
      <sz val="8"/>
      <name val="Arial"/>
      <family val="2"/>
    </font>
    <font>
      <b/>
      <u/>
      <sz val="12"/>
      <name val="Arial"/>
      <family val="2"/>
    </font>
    <font>
      <sz val="11"/>
      <name val="Arial"/>
      <family val="2"/>
    </font>
    <font>
      <u/>
      <sz val="10"/>
      <name val="Arial"/>
      <family val="2"/>
    </font>
    <font>
      <sz val="12"/>
      <color indexed="8"/>
      <name val="Arial"/>
      <family val="2"/>
    </font>
    <font>
      <b/>
      <i/>
      <sz val="11"/>
      <name val="Arial"/>
      <family val="2"/>
    </font>
    <font>
      <u/>
      <sz val="10"/>
      <name val="Arial"/>
      <family val="2"/>
    </font>
    <font>
      <u val="singleAccounting"/>
      <sz val="10"/>
      <name val="Arial"/>
      <family val="2"/>
    </font>
    <font>
      <sz val="10"/>
      <color indexed="14"/>
      <name val="Arial"/>
      <family val="2"/>
    </font>
    <font>
      <b/>
      <u/>
      <sz val="14"/>
      <name val="Arial"/>
      <family val="2"/>
    </font>
    <font>
      <b/>
      <sz val="12"/>
      <color indexed="8"/>
      <name val="Arial"/>
      <family val="2"/>
    </font>
    <font>
      <sz val="16"/>
      <name val="Arial"/>
      <family val="2"/>
    </font>
    <font>
      <b/>
      <sz val="12"/>
      <color indexed="12"/>
      <name val="Arial"/>
      <family val="2"/>
    </font>
    <font>
      <u/>
      <sz val="11"/>
      <name val="Arial"/>
      <family val="2"/>
    </font>
    <font>
      <u/>
      <sz val="12"/>
      <name val="Arial"/>
      <family val="2"/>
    </font>
    <font>
      <u/>
      <sz val="8"/>
      <name val="Arial"/>
      <family val="2"/>
    </font>
    <font>
      <u/>
      <vertAlign val="subscript"/>
      <sz val="12"/>
      <name val="Arial"/>
      <family val="2"/>
    </font>
    <font>
      <vertAlign val="superscript"/>
      <sz val="10"/>
      <name val="Arial"/>
      <family val="2"/>
    </font>
    <font>
      <u/>
      <vertAlign val="superscript"/>
      <sz val="11"/>
      <name val="Arial"/>
      <family val="2"/>
    </font>
    <font>
      <vertAlign val="superscript"/>
      <sz val="11"/>
      <name val="Arial"/>
      <family val="2"/>
    </font>
    <font>
      <b/>
      <vertAlign val="superscript"/>
      <sz val="10"/>
      <name val="Arial"/>
      <family val="2"/>
    </font>
    <font>
      <u/>
      <vertAlign val="superscript"/>
      <sz val="12"/>
      <name val="Arial"/>
      <family val="2"/>
    </font>
    <font>
      <vertAlign val="superscript"/>
      <sz val="12"/>
      <name val="Arial"/>
      <family val="2"/>
    </font>
    <font>
      <b/>
      <sz val="11"/>
      <name val="Arial Narrow"/>
      <family val="2"/>
    </font>
    <font>
      <sz val="11"/>
      <name val="Arial Narrow"/>
      <family val="2"/>
    </font>
    <font>
      <b/>
      <u/>
      <sz val="11"/>
      <name val="Arial Narrow"/>
      <family val="2"/>
    </font>
    <font>
      <b/>
      <i/>
      <sz val="11"/>
      <name val="Arial Narrow"/>
      <family val="2"/>
    </font>
    <font>
      <sz val="11"/>
      <color indexed="12"/>
      <name val="Arial"/>
      <family val="2"/>
    </font>
    <font>
      <b/>
      <sz val="11"/>
      <color indexed="10"/>
      <name val="Arial"/>
      <family val="2"/>
    </font>
    <font>
      <sz val="11"/>
      <color indexed="10"/>
      <name val="Arial"/>
      <family val="2"/>
    </font>
    <font>
      <sz val="11"/>
      <color rgb="FFFF0000"/>
      <name val="Arial Narrow"/>
      <family val="2"/>
    </font>
    <font>
      <b/>
      <sz val="11"/>
      <color rgb="FFFF0000"/>
      <name val="Arial Narrow"/>
      <family val="2"/>
    </font>
    <font>
      <sz val="10"/>
      <color rgb="FFFF0000"/>
      <name val="Arial"/>
      <family val="2"/>
    </font>
    <font>
      <u val="singleAccounting"/>
      <sz val="10"/>
      <color rgb="FFFF0000"/>
      <name val="Arial"/>
      <family val="2"/>
    </font>
    <font>
      <sz val="11"/>
      <color rgb="FFFF0000"/>
      <name val="Arial"/>
      <family val="2"/>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u val="singleAccounting"/>
      <sz val="11"/>
      <name val="Arial Narrow"/>
      <family val="2"/>
    </font>
    <font>
      <b/>
      <sz val="12"/>
      <color theme="0"/>
      <name val="Arial"/>
      <family val="2"/>
    </font>
    <font>
      <b/>
      <sz val="20"/>
      <name val="Arial"/>
      <family val="2"/>
    </font>
    <font>
      <b/>
      <sz val="12"/>
      <color rgb="FFFF0000"/>
      <name val="Arial"/>
      <family val="2"/>
    </font>
    <font>
      <b/>
      <sz val="10"/>
      <color rgb="FFFF0000"/>
      <name val="Arial"/>
      <family val="2"/>
    </font>
    <font>
      <sz val="10"/>
      <color theme="1"/>
      <name val="Arial"/>
      <family val="2"/>
    </font>
    <font>
      <sz val="10"/>
      <color rgb="FF0070C0"/>
      <name val="Arial"/>
      <family val="2"/>
    </font>
    <font>
      <sz val="11"/>
      <color theme="1"/>
      <name val="Arial"/>
      <family val="2"/>
    </font>
    <font>
      <i/>
      <sz val="12"/>
      <name val="Arial"/>
      <family val="2"/>
    </font>
    <font>
      <i/>
      <sz val="11"/>
      <name val="Arial"/>
      <family val="2"/>
    </font>
    <font>
      <b/>
      <u/>
      <sz val="11"/>
      <color theme="1"/>
      <name val="Arial"/>
      <family val="2"/>
    </font>
    <font>
      <b/>
      <sz val="11"/>
      <color theme="1"/>
      <name val="Arial"/>
      <family val="2"/>
    </font>
    <font>
      <sz val="11"/>
      <color theme="1"/>
      <name val="Calibri"/>
      <family val="2"/>
    </font>
    <font>
      <b/>
      <i/>
      <sz val="12"/>
      <color theme="1"/>
      <name val="Arial"/>
      <family val="2"/>
    </font>
    <font>
      <b/>
      <sz val="11"/>
      <color rgb="FFFF0000"/>
      <name val="Arial"/>
      <family val="2"/>
    </font>
    <font>
      <b/>
      <sz val="11"/>
      <name val="Calibri"/>
      <family val="2"/>
    </font>
    <font>
      <sz val="11"/>
      <name val="Calibri"/>
      <family val="2"/>
    </font>
  </fonts>
  <fills count="61">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rgb="FFFFFF99"/>
        <bgColor indexed="6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15"/>
      </patternFill>
    </fill>
    <fill>
      <patternFill patternType="solid">
        <fgColor indexed="20"/>
      </patternFill>
    </fill>
    <fill>
      <patternFill patternType="lightUp">
        <bgColor auto="1"/>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371">
    <border>
      <left/>
      <right/>
      <top/>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style="thin">
        <color auto="1"/>
      </right>
      <top style="thin">
        <color auto="1"/>
      </top>
      <bottom style="thin">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style="thin">
        <color auto="1"/>
      </right>
      <top style="thin">
        <color auto="1"/>
      </top>
      <bottom style="thin">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style="thin">
        <color indexed="64"/>
      </right>
      <top style="thin">
        <color indexed="64"/>
      </top>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style="thin">
        <color auto="1"/>
      </right>
      <top style="thin">
        <color auto="1"/>
      </top>
      <bottom style="thin">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style="thin">
        <color auto="1"/>
      </right>
      <top style="thin">
        <color auto="1"/>
      </top>
      <bottom style="thin">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style="thin">
        <color auto="1"/>
      </right>
      <top style="thin">
        <color auto="1"/>
      </top>
      <bottom style="thin">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s>
  <cellStyleXfs count="2304">
    <xf numFmtId="0" fontId="0" fillId="0" borderId="0"/>
    <xf numFmtId="43" fontId="11" fillId="0" borderId="0" applyFont="0" applyFill="0" applyBorder="0" applyAlignment="0" applyProtection="0"/>
    <xf numFmtId="44" fontId="11" fillId="0" borderId="0" applyFont="0" applyFill="0" applyBorder="0" applyAlignment="0" applyProtection="0"/>
    <xf numFmtId="165" fontId="16" fillId="0" borderId="0"/>
    <xf numFmtId="170" fontId="24" fillId="0" borderId="0" applyProtection="0"/>
    <xf numFmtId="0" fontId="11" fillId="0" borderId="0"/>
    <xf numFmtId="9" fontId="11"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43" fontId="23"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45" fillId="8" borderId="0"/>
    <xf numFmtId="0" fontId="85"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6" fillId="14" borderId="0" applyNumberFormat="0" applyBorder="0" applyAlignment="0" applyProtection="0"/>
    <xf numFmtId="0" fontId="86" fillId="22" borderId="0" applyNumberFormat="0" applyBorder="0" applyAlignment="0" applyProtection="0"/>
    <xf numFmtId="0" fontId="85" fillId="15" borderId="0" applyNumberFormat="0" applyBorder="0" applyAlignment="0" applyProtection="0"/>
    <xf numFmtId="0" fontId="85" fillId="1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5" fillId="12"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6" fillId="27" borderId="0" applyNumberFormat="0" applyBorder="0" applyAlignment="0" applyProtection="0"/>
    <xf numFmtId="0" fontId="85" fillId="28" borderId="0" applyNumberFormat="0" applyBorder="0" applyAlignment="0" applyProtection="0"/>
    <xf numFmtId="0" fontId="87" fillId="26" borderId="0" applyNumberFormat="0" applyBorder="0" applyAlignment="0" applyProtection="0"/>
    <xf numFmtId="0" fontId="88" fillId="29" borderId="33" applyNumberFormat="0" applyAlignment="0" applyProtection="0"/>
    <xf numFmtId="0" fontId="89" fillId="21" borderId="34" applyNumberFormat="0" applyAlignment="0" applyProtection="0"/>
    <xf numFmtId="0" fontId="90" fillId="30" borderId="0" applyNumberFormat="0" applyBorder="0" applyAlignment="0" applyProtection="0"/>
    <xf numFmtId="0" fontId="90" fillId="31" borderId="0" applyNumberFormat="0" applyBorder="0" applyAlignment="0" applyProtection="0"/>
    <xf numFmtId="0" fontId="90" fillId="32" borderId="0" applyNumberFormat="0" applyBorder="0" applyAlignment="0" applyProtection="0"/>
    <xf numFmtId="0" fontId="86" fillId="19" borderId="0" applyNumberFormat="0" applyBorder="0" applyAlignment="0" applyProtection="0"/>
    <xf numFmtId="0" fontId="91" fillId="0" borderId="35" applyNumberFormat="0" applyFill="0" applyAlignment="0" applyProtection="0"/>
    <xf numFmtId="0" fontId="92" fillId="0" borderId="36" applyNumberFormat="0" applyFill="0" applyAlignment="0" applyProtection="0"/>
    <xf numFmtId="0" fontId="93" fillId="0" borderId="37" applyNumberFormat="0" applyFill="0" applyAlignment="0" applyProtection="0"/>
    <xf numFmtId="0" fontId="93" fillId="0" borderId="0" applyNumberFormat="0" applyFill="0" applyBorder="0" applyAlignment="0" applyProtection="0"/>
    <xf numFmtId="0" fontId="94" fillId="27" borderId="33" applyNumberFormat="0" applyAlignment="0" applyProtection="0"/>
    <xf numFmtId="0" fontId="95" fillId="0" borderId="38" applyNumberFormat="0" applyFill="0" applyAlignment="0" applyProtection="0"/>
    <xf numFmtId="0" fontId="95" fillId="27" borderId="0" applyNumberFormat="0" applyBorder="0" applyAlignment="0" applyProtection="0"/>
    <xf numFmtId="0" fontId="45" fillId="26" borderId="33" applyNumberFormat="0" applyFont="0" applyAlignment="0" applyProtection="0"/>
    <xf numFmtId="0" fontId="96" fillId="29" borderId="39" applyNumberFormat="0" applyAlignment="0" applyProtection="0"/>
    <xf numFmtId="4" fontId="45" fillId="33" borderId="33" applyNumberFormat="0" applyProtection="0">
      <alignment vertical="center"/>
    </xf>
    <xf numFmtId="4" fontId="99" fillId="2" borderId="33" applyNumberFormat="0" applyProtection="0">
      <alignment vertical="center"/>
    </xf>
    <xf numFmtId="4" fontId="45" fillId="2" borderId="33" applyNumberFormat="0" applyProtection="0">
      <alignment horizontal="left" vertical="center" indent="1"/>
    </xf>
    <xf numFmtId="0" fontId="82" fillId="33" borderId="40" applyNumberFormat="0" applyProtection="0">
      <alignment horizontal="left" vertical="top" indent="1"/>
    </xf>
    <xf numFmtId="4" fontId="45" fillId="34" borderId="33" applyNumberFormat="0" applyProtection="0">
      <alignment horizontal="left" vertical="center" indent="1"/>
    </xf>
    <xf numFmtId="4" fontId="45" fillId="35" borderId="33" applyNumberFormat="0" applyProtection="0">
      <alignment horizontal="right" vertical="center"/>
    </xf>
    <xf numFmtId="4" fontId="45" fillId="36" borderId="33" applyNumberFormat="0" applyProtection="0">
      <alignment horizontal="right" vertical="center"/>
    </xf>
    <xf numFmtId="4" fontId="45" fillId="37" borderId="41" applyNumberFormat="0" applyProtection="0">
      <alignment horizontal="right" vertical="center"/>
    </xf>
    <xf numFmtId="4" fontId="45" fillId="38" borderId="33" applyNumberFormat="0" applyProtection="0">
      <alignment horizontal="right" vertical="center"/>
    </xf>
    <xf numFmtId="4" fontId="45" fillId="39" borderId="33" applyNumberFormat="0" applyProtection="0">
      <alignment horizontal="right" vertical="center"/>
    </xf>
    <xf numFmtId="4" fontId="45" fillId="40" borderId="33" applyNumberFormat="0" applyProtection="0">
      <alignment horizontal="right" vertical="center"/>
    </xf>
    <xf numFmtId="4" fontId="45" fillId="41" borderId="33" applyNumberFormat="0" applyProtection="0">
      <alignment horizontal="right" vertical="center"/>
    </xf>
    <xf numFmtId="4" fontId="45" fillId="42" borderId="33" applyNumberFormat="0" applyProtection="0">
      <alignment horizontal="right" vertical="center"/>
    </xf>
    <xf numFmtId="4" fontId="45" fillId="43" borderId="33" applyNumberFormat="0" applyProtection="0">
      <alignment horizontal="right" vertical="center"/>
    </xf>
    <xf numFmtId="4" fontId="45" fillId="44" borderId="41" applyNumberFormat="0" applyProtection="0">
      <alignment horizontal="left" vertical="center" indent="1"/>
    </xf>
    <xf numFmtId="4" fontId="11" fillId="45" borderId="41" applyNumberFormat="0" applyProtection="0">
      <alignment horizontal="left" vertical="center" indent="1"/>
    </xf>
    <xf numFmtId="4" fontId="11" fillId="45" borderId="41" applyNumberFormat="0" applyProtection="0">
      <alignment horizontal="left" vertical="center" indent="1"/>
    </xf>
    <xf numFmtId="4" fontId="45" fillId="46" borderId="33" applyNumberFormat="0" applyProtection="0">
      <alignment horizontal="right" vertical="center"/>
    </xf>
    <xf numFmtId="4" fontId="45" fillId="47" borderId="41" applyNumberFormat="0" applyProtection="0">
      <alignment horizontal="left" vertical="center" indent="1"/>
    </xf>
    <xf numFmtId="4" fontId="45" fillId="46" borderId="41" applyNumberFormat="0" applyProtection="0">
      <alignment horizontal="left" vertical="center" indent="1"/>
    </xf>
    <xf numFmtId="0" fontId="45" fillId="48" borderId="33" applyNumberFormat="0" applyProtection="0">
      <alignment horizontal="left" vertical="center" indent="1"/>
    </xf>
    <xf numFmtId="0" fontId="45" fillId="45" borderId="40" applyNumberFormat="0" applyProtection="0">
      <alignment horizontal="left" vertical="top" indent="1"/>
    </xf>
    <xf numFmtId="0" fontId="45" fillId="49" borderId="33" applyNumberFormat="0" applyProtection="0">
      <alignment horizontal="left" vertical="center" indent="1"/>
    </xf>
    <xf numFmtId="0" fontId="45" fillId="46" borderId="40" applyNumberFormat="0" applyProtection="0">
      <alignment horizontal="left" vertical="top" indent="1"/>
    </xf>
    <xf numFmtId="0" fontId="45" fillId="50" borderId="33" applyNumberFormat="0" applyProtection="0">
      <alignment horizontal="left" vertical="center" indent="1"/>
    </xf>
    <xf numFmtId="0" fontId="45" fillId="50" borderId="40" applyNumberFormat="0" applyProtection="0">
      <alignment horizontal="left" vertical="top" indent="1"/>
    </xf>
    <xf numFmtId="0" fontId="45" fillId="47" borderId="33" applyNumberFormat="0" applyProtection="0">
      <alignment horizontal="left" vertical="center" indent="1"/>
    </xf>
    <xf numFmtId="0" fontId="45" fillId="47" borderId="40" applyNumberFormat="0" applyProtection="0">
      <alignment horizontal="left" vertical="top" indent="1"/>
    </xf>
    <xf numFmtId="0" fontId="45" fillId="51" borderId="42" applyNumberFormat="0">
      <protection locked="0"/>
    </xf>
    <xf numFmtId="0" fontId="80" fillId="45" borderId="43" applyBorder="0"/>
    <xf numFmtId="4" fontId="81" fillId="52" borderId="40" applyNumberFormat="0" applyProtection="0">
      <alignment vertical="center"/>
    </xf>
    <xf numFmtId="4" fontId="99" fillId="53" borderId="26" applyNumberFormat="0" applyProtection="0">
      <alignment vertical="center"/>
    </xf>
    <xf numFmtId="4" fontId="81" fillId="48" borderId="40" applyNumberFormat="0" applyProtection="0">
      <alignment horizontal="left" vertical="center" indent="1"/>
    </xf>
    <xf numFmtId="0" fontId="81" fillId="52" borderId="40" applyNumberFormat="0" applyProtection="0">
      <alignment horizontal="left" vertical="top" indent="1"/>
    </xf>
    <xf numFmtId="4" fontId="45" fillId="0" borderId="33" applyNumberFormat="0" applyProtection="0">
      <alignment horizontal="right" vertical="center"/>
    </xf>
    <xf numFmtId="4" fontId="99" fillId="5" borderId="33" applyNumberFormat="0" applyProtection="0">
      <alignment horizontal="right" vertical="center"/>
    </xf>
    <xf numFmtId="4" fontId="45" fillId="34" borderId="33" applyNumberFormat="0" applyProtection="0">
      <alignment horizontal="left" vertical="center" indent="1"/>
    </xf>
    <xf numFmtId="0" fontId="81" fillId="46" borderId="40" applyNumberFormat="0" applyProtection="0">
      <alignment horizontal="left" vertical="top" indent="1"/>
    </xf>
    <xf numFmtId="4" fontId="83" fillId="54" borderId="41" applyNumberFormat="0" applyProtection="0">
      <alignment horizontal="left" vertical="center" indent="1"/>
    </xf>
    <xf numFmtId="0" fontId="45" fillId="55" borderId="26"/>
    <xf numFmtId="4" fontId="84" fillId="51" borderId="33" applyNumberFormat="0" applyProtection="0">
      <alignment horizontal="right" vertical="center"/>
    </xf>
    <xf numFmtId="0" fontId="97" fillId="0" borderId="0" applyNumberFormat="0" applyFill="0" applyBorder="0" applyAlignment="0" applyProtection="0"/>
    <xf numFmtId="0" fontId="90" fillId="0" borderId="44" applyNumberFormat="0" applyFill="0" applyAlignment="0" applyProtection="0"/>
    <xf numFmtId="0" fontId="98" fillId="0" borderId="0" applyNumberFormat="0" applyFill="0" applyBorder="0" applyAlignment="0" applyProtection="0"/>
    <xf numFmtId="0" fontId="85" fillId="9" borderId="0" applyNumberFormat="0" applyBorder="0" applyAlignment="0" applyProtection="0"/>
    <xf numFmtId="0" fontId="85" fillId="13"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25" borderId="0" applyNumberFormat="0" applyBorder="0" applyAlignment="0" applyProtection="0"/>
    <xf numFmtId="0" fontId="85" fillId="25" borderId="0" applyNumberFormat="0" applyBorder="0" applyAlignment="0" applyProtection="0"/>
    <xf numFmtId="0" fontId="85" fillId="25" borderId="0" applyNumberFormat="0" applyBorder="0" applyAlignment="0" applyProtection="0"/>
    <xf numFmtId="0" fontId="85" fillId="12" borderId="0" applyNumberFormat="0" applyBorder="0" applyAlignment="0" applyProtection="0"/>
    <xf numFmtId="0" fontId="85" fillId="21" borderId="0" applyNumberFormat="0" applyBorder="0" applyAlignment="0" applyProtection="0"/>
    <xf numFmtId="0" fontId="85" fillId="17" borderId="0" applyNumberFormat="0" applyBorder="0" applyAlignment="0" applyProtection="0"/>
    <xf numFmtId="0" fontId="85" fillId="13" borderId="0" applyNumberFormat="0" applyBorder="0" applyAlignment="0" applyProtection="0"/>
    <xf numFmtId="0" fontId="85" fillId="9" borderId="0" applyNumberFormat="0" applyBorder="0" applyAlignment="0" applyProtection="0"/>
    <xf numFmtId="0" fontId="85" fillId="13" borderId="0" applyNumberFormat="0" applyBorder="0" applyAlignment="0" applyProtection="0"/>
    <xf numFmtId="0" fontId="85" fillId="9" borderId="0" applyNumberFormat="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0" fontId="45" fillId="45" borderId="62" applyNumberFormat="0" applyProtection="0">
      <alignment horizontal="left" vertical="top" indent="1"/>
    </xf>
    <xf numFmtId="0" fontId="45" fillId="46" borderId="74" applyNumberFormat="0" applyProtection="0">
      <alignment horizontal="left" vertical="top" indent="1"/>
    </xf>
    <xf numFmtId="4" fontId="45" fillId="38" borderId="60" applyNumberFormat="0" applyProtection="0">
      <alignment horizontal="right" vertical="center"/>
    </xf>
    <xf numFmtId="0" fontId="45" fillId="49" borderId="97" applyNumberFormat="0" applyProtection="0">
      <alignment horizontal="left" vertical="center" indent="1"/>
    </xf>
    <xf numFmtId="4" fontId="45" fillId="44" borderId="82" applyNumberFormat="0" applyProtection="0">
      <alignment horizontal="left" vertical="center" indent="1"/>
    </xf>
    <xf numFmtId="0" fontId="45" fillId="46" borderId="93" applyNumberFormat="0" applyProtection="0">
      <alignment horizontal="left" vertical="top" indent="1"/>
    </xf>
    <xf numFmtId="0" fontId="45" fillId="49" borderId="85" applyNumberFormat="0" applyProtection="0">
      <alignment horizontal="left" vertical="center" indent="1"/>
    </xf>
    <xf numFmtId="4" fontId="45" fillId="44" borderId="75" applyNumberFormat="0" applyProtection="0">
      <alignment horizontal="left" vertical="center" indent="1"/>
    </xf>
    <xf numFmtId="0" fontId="45" fillId="49" borderId="79" applyNumberFormat="0" applyProtection="0">
      <alignment horizontal="left" vertical="center" indent="1"/>
    </xf>
    <xf numFmtId="4" fontId="99" fillId="2" borderId="60" applyNumberFormat="0" applyProtection="0">
      <alignment vertical="center"/>
    </xf>
    <xf numFmtId="0" fontId="45" fillId="46" borderId="87" applyNumberFormat="0" applyProtection="0">
      <alignment horizontal="left" vertical="top" indent="1"/>
    </xf>
    <xf numFmtId="0" fontId="82" fillId="33" borderId="62" applyNumberFormat="0" applyProtection="0">
      <alignment horizontal="left" vertical="top" indent="1"/>
    </xf>
    <xf numFmtId="0" fontId="45" fillId="49" borderId="91" applyNumberFormat="0" applyProtection="0">
      <alignment horizontal="left" vertical="center" indent="1"/>
    </xf>
    <xf numFmtId="4" fontId="45" fillId="2" borderId="60" applyNumberFormat="0" applyProtection="0">
      <alignment horizontal="left" vertical="center" indent="1"/>
    </xf>
    <xf numFmtId="0" fontId="45" fillId="46" borderId="81" applyNumberFormat="0" applyProtection="0">
      <alignment horizontal="left" vertical="top" indent="1"/>
    </xf>
    <xf numFmtId="4" fontId="45" fillId="47" borderId="57" applyNumberFormat="0" applyProtection="0">
      <alignment horizontal="left" vertical="center" indent="1"/>
    </xf>
    <xf numFmtId="0" fontId="45" fillId="45" borderId="56" applyNumberFormat="0" applyProtection="0">
      <alignment horizontal="left" vertical="top" indent="1"/>
    </xf>
    <xf numFmtId="0" fontId="45" fillId="48" borderId="54" applyNumberFormat="0" applyProtection="0">
      <alignment horizontal="left" vertical="center" indent="1"/>
    </xf>
    <xf numFmtId="4" fontId="45" fillId="46" borderId="57" applyNumberFormat="0" applyProtection="0">
      <alignment horizontal="left" vertical="center" indent="1"/>
    </xf>
    <xf numFmtId="4" fontId="45" fillId="41" borderId="54" applyNumberFormat="0" applyProtection="0">
      <alignment horizontal="right" vertical="center"/>
    </xf>
    <xf numFmtId="4" fontId="45" fillId="44" borderId="57" applyNumberFormat="0" applyProtection="0">
      <alignment horizontal="left" vertical="center" indent="1"/>
    </xf>
    <xf numFmtId="4" fontId="45" fillId="43" borderId="54" applyNumberFormat="0" applyProtection="0">
      <alignment horizontal="right" vertical="center"/>
    </xf>
    <xf numFmtId="4" fontId="45" fillId="42" borderId="54" applyNumberFormat="0" applyProtection="0">
      <alignment horizontal="right" vertical="center"/>
    </xf>
    <xf numFmtId="4" fontId="45" fillId="34" borderId="54" applyNumberFormat="0" applyProtection="0">
      <alignment horizontal="left" vertical="center" indent="1"/>
    </xf>
    <xf numFmtId="4" fontId="45" fillId="37" borderId="57" applyNumberFormat="0" applyProtection="0">
      <alignment horizontal="right" vertical="center"/>
    </xf>
    <xf numFmtId="4" fontId="45" fillId="36" borderId="54" applyNumberFormat="0" applyProtection="0">
      <alignment horizontal="right" vertical="center"/>
    </xf>
    <xf numFmtId="4" fontId="45" fillId="35" borderId="54" applyNumberFormat="0" applyProtection="0">
      <alignment horizontal="right" vertical="center"/>
    </xf>
    <xf numFmtId="0" fontId="45" fillId="50" borderId="66" applyNumberFormat="0" applyProtection="0">
      <alignment horizontal="left" vertical="center" indent="1"/>
    </xf>
    <xf numFmtId="4" fontId="45" fillId="33" borderId="54" applyNumberFormat="0" applyProtection="0">
      <alignment vertical="center"/>
    </xf>
    <xf numFmtId="0" fontId="96" fillId="29" borderId="55" applyNumberFormat="0" applyAlignment="0" applyProtection="0"/>
    <xf numFmtId="0" fontId="45" fillId="26" borderId="54" applyNumberFormat="0" applyFont="0" applyAlignment="0" applyProtection="0"/>
    <xf numFmtId="4" fontId="11" fillId="45" borderId="69" applyNumberFormat="0" applyProtection="0">
      <alignment horizontal="left" vertical="center" indent="1"/>
    </xf>
    <xf numFmtId="4" fontId="45" fillId="44" borderId="69" applyNumberFormat="0" applyProtection="0">
      <alignment horizontal="left" vertical="center" indent="1"/>
    </xf>
    <xf numFmtId="4" fontId="45" fillId="46" borderId="66" applyNumberFormat="0" applyProtection="0">
      <alignment horizontal="right" vertical="center"/>
    </xf>
    <xf numFmtId="4" fontId="11" fillId="45" borderId="69" applyNumberFormat="0" applyProtection="0">
      <alignment horizontal="left" vertical="center" indent="1"/>
    </xf>
    <xf numFmtId="4" fontId="45" fillId="39" borderId="72" applyNumberFormat="0" applyProtection="0">
      <alignment horizontal="right" vertical="center"/>
    </xf>
    <xf numFmtId="4" fontId="45" fillId="37" borderId="82" applyNumberFormat="0" applyProtection="0">
      <alignment horizontal="right" vertical="center"/>
    </xf>
    <xf numFmtId="0" fontId="88" fillId="29" borderId="54" applyNumberFormat="0" applyAlignment="0" applyProtection="0"/>
    <xf numFmtId="4" fontId="45" fillId="40" borderId="79" applyNumberFormat="0" applyProtection="0">
      <alignment horizontal="right" vertical="center"/>
    </xf>
    <xf numFmtId="0" fontId="45" fillId="49" borderId="72" applyNumberFormat="0" applyProtection="0">
      <alignment horizontal="left" vertical="center" indent="1"/>
    </xf>
    <xf numFmtId="0" fontId="88" fillId="29" borderId="48" applyNumberFormat="0" applyAlignment="0" applyProtection="0"/>
    <xf numFmtId="0" fontId="94" fillId="27" borderId="60" applyNumberFormat="0" applyAlignment="0" applyProtection="0"/>
    <xf numFmtId="4" fontId="45" fillId="39" borderId="60" applyNumberFormat="0" applyProtection="0">
      <alignment horizontal="right" vertical="center"/>
    </xf>
    <xf numFmtId="4" fontId="45" fillId="40" borderId="60" applyNumberFormat="0" applyProtection="0">
      <alignment horizontal="right" vertical="center"/>
    </xf>
    <xf numFmtId="4" fontId="45" fillId="37" borderId="63" applyNumberFormat="0" applyProtection="0">
      <alignment horizontal="right" vertical="center"/>
    </xf>
    <xf numFmtId="4" fontId="11" fillId="45" borderId="63" applyNumberFormat="0" applyProtection="0">
      <alignment horizontal="left" vertical="center" indent="1"/>
    </xf>
    <xf numFmtId="4" fontId="11" fillId="45" borderId="63" applyNumberFormat="0" applyProtection="0">
      <alignment horizontal="left" vertical="center" indent="1"/>
    </xf>
    <xf numFmtId="4" fontId="45" fillId="46" borderId="60" applyNumberFormat="0" applyProtection="0">
      <alignment horizontal="right" vertical="center"/>
    </xf>
    <xf numFmtId="4" fontId="45" fillId="44" borderId="63" applyNumberFormat="0" applyProtection="0">
      <alignment horizontal="left" vertical="center" indent="1"/>
    </xf>
    <xf numFmtId="0" fontId="45" fillId="49" borderId="60" applyNumberFormat="0" applyProtection="0">
      <alignment horizontal="left" vertical="center" indent="1"/>
    </xf>
    <xf numFmtId="0" fontId="94" fillId="27" borderId="48" applyNumberFormat="0" applyAlignment="0" applyProtection="0"/>
    <xf numFmtId="0" fontId="45" fillId="46" borderId="62" applyNumberFormat="0" applyProtection="0">
      <alignment horizontal="left" vertical="top" indent="1"/>
    </xf>
    <xf numFmtId="0" fontId="45" fillId="50" borderId="60" applyNumberFormat="0" applyProtection="0">
      <alignment horizontal="left" vertical="center" indent="1"/>
    </xf>
    <xf numFmtId="0" fontId="45" fillId="26" borderId="48" applyNumberFormat="0" applyFont="0" applyAlignment="0" applyProtection="0"/>
    <xf numFmtId="0" fontId="96" fillId="29" borderId="49" applyNumberFormat="0" applyAlignment="0" applyProtection="0"/>
    <xf numFmtId="4" fontId="45" fillId="33" borderId="48" applyNumberFormat="0" applyProtection="0">
      <alignment vertical="center"/>
    </xf>
    <xf numFmtId="4" fontId="99" fillId="2" borderId="48" applyNumberFormat="0" applyProtection="0">
      <alignment vertical="center"/>
    </xf>
    <xf numFmtId="4" fontId="45" fillId="2" borderId="48" applyNumberFormat="0" applyProtection="0">
      <alignment horizontal="left" vertical="center" indent="1"/>
    </xf>
    <xf numFmtId="0" fontId="82" fillId="33" borderId="50" applyNumberFormat="0" applyProtection="0">
      <alignment horizontal="left" vertical="top" indent="1"/>
    </xf>
    <xf numFmtId="4" fontId="45" fillId="34" borderId="48" applyNumberFormat="0" applyProtection="0">
      <alignment horizontal="left" vertical="center" indent="1"/>
    </xf>
    <xf numFmtId="4" fontId="45" fillId="35" borderId="48" applyNumberFormat="0" applyProtection="0">
      <alignment horizontal="right" vertical="center"/>
    </xf>
    <xf numFmtId="4" fontId="45" fillId="36" borderId="48" applyNumberFormat="0" applyProtection="0">
      <alignment horizontal="right" vertical="center"/>
    </xf>
    <xf numFmtId="4" fontId="45" fillId="37" borderId="51" applyNumberFormat="0" applyProtection="0">
      <alignment horizontal="right" vertical="center"/>
    </xf>
    <xf numFmtId="4" fontId="45" fillId="38" borderId="48" applyNumberFormat="0" applyProtection="0">
      <alignment horizontal="right" vertical="center"/>
    </xf>
    <xf numFmtId="4" fontId="45" fillId="39" borderId="48" applyNumberFormat="0" applyProtection="0">
      <alignment horizontal="right" vertical="center"/>
    </xf>
    <xf numFmtId="4" fontId="45" fillId="40" borderId="48" applyNumberFormat="0" applyProtection="0">
      <alignment horizontal="right" vertical="center"/>
    </xf>
    <xf numFmtId="4" fontId="45" fillId="41" borderId="48" applyNumberFormat="0" applyProtection="0">
      <alignment horizontal="right" vertical="center"/>
    </xf>
    <xf numFmtId="4" fontId="45" fillId="42" borderId="48" applyNumberFormat="0" applyProtection="0">
      <alignment horizontal="right" vertical="center"/>
    </xf>
    <xf numFmtId="4" fontId="45" fillId="43" borderId="48" applyNumberFormat="0" applyProtection="0">
      <alignment horizontal="right" vertical="center"/>
    </xf>
    <xf numFmtId="4" fontId="45" fillId="44" borderId="51" applyNumberFormat="0" applyProtection="0">
      <alignment horizontal="left" vertical="center" indent="1"/>
    </xf>
    <xf numFmtId="4" fontId="11" fillId="45" borderId="51" applyNumberFormat="0" applyProtection="0">
      <alignment horizontal="left" vertical="center" indent="1"/>
    </xf>
    <xf numFmtId="4" fontId="11" fillId="45" borderId="51" applyNumberFormat="0" applyProtection="0">
      <alignment horizontal="left" vertical="center" indent="1"/>
    </xf>
    <xf numFmtId="4" fontId="45" fillId="46" borderId="48" applyNumberFormat="0" applyProtection="0">
      <alignment horizontal="right" vertical="center"/>
    </xf>
    <xf numFmtId="4" fontId="45" fillId="47" borderId="51" applyNumberFormat="0" applyProtection="0">
      <alignment horizontal="left" vertical="center" indent="1"/>
    </xf>
    <xf numFmtId="4" fontId="45" fillId="46" borderId="51" applyNumberFormat="0" applyProtection="0">
      <alignment horizontal="left" vertical="center" indent="1"/>
    </xf>
    <xf numFmtId="0" fontId="45" fillId="48" borderId="48" applyNumberFormat="0" applyProtection="0">
      <alignment horizontal="left" vertical="center" indent="1"/>
    </xf>
    <xf numFmtId="0" fontId="45" fillId="45" borderId="50" applyNumberFormat="0" applyProtection="0">
      <alignment horizontal="left" vertical="top" indent="1"/>
    </xf>
    <xf numFmtId="0" fontId="45" fillId="49" borderId="48" applyNumberFormat="0" applyProtection="0">
      <alignment horizontal="left" vertical="center" indent="1"/>
    </xf>
    <xf numFmtId="0" fontId="45" fillId="46" borderId="50" applyNumberFormat="0" applyProtection="0">
      <alignment horizontal="left" vertical="top" indent="1"/>
    </xf>
    <xf numFmtId="0" fontId="45" fillId="50" borderId="48" applyNumberFormat="0" applyProtection="0">
      <alignment horizontal="left" vertical="center" indent="1"/>
    </xf>
    <xf numFmtId="0" fontId="45" fillId="50" borderId="50" applyNumberFormat="0" applyProtection="0">
      <alignment horizontal="left" vertical="top" indent="1"/>
    </xf>
    <xf numFmtId="0" fontId="45" fillId="47" borderId="48" applyNumberFormat="0" applyProtection="0">
      <alignment horizontal="left" vertical="center" indent="1"/>
    </xf>
    <xf numFmtId="0" fontId="45" fillId="47" borderId="50" applyNumberFormat="0" applyProtection="0">
      <alignment horizontal="left" vertical="top" indent="1"/>
    </xf>
    <xf numFmtId="4" fontId="45" fillId="44" borderId="88" applyNumberFormat="0" applyProtection="0">
      <alignment horizontal="left" vertical="center" indent="1"/>
    </xf>
    <xf numFmtId="0" fontId="80" fillId="45" borderId="52" applyBorder="0"/>
    <xf numFmtId="4" fontId="81" fillId="52" borderId="50" applyNumberFormat="0" applyProtection="0">
      <alignment vertical="center"/>
    </xf>
    <xf numFmtId="4" fontId="45" fillId="46" borderId="110" applyNumberFormat="0" applyProtection="0">
      <alignment horizontal="right" vertical="center"/>
    </xf>
    <xf numFmtId="4" fontId="81" fillId="48" borderId="50" applyNumberFormat="0" applyProtection="0">
      <alignment horizontal="left" vertical="center" indent="1"/>
    </xf>
    <xf numFmtId="0" fontId="81" fillId="52" borderId="50" applyNumberFormat="0" applyProtection="0">
      <alignment horizontal="left" vertical="top" indent="1"/>
    </xf>
    <xf numFmtId="4" fontId="45" fillId="0" borderId="48" applyNumberFormat="0" applyProtection="0">
      <alignment horizontal="right" vertical="center"/>
    </xf>
    <xf numFmtId="4" fontId="99" fillId="5" borderId="48" applyNumberFormat="0" applyProtection="0">
      <alignment horizontal="right" vertical="center"/>
    </xf>
    <xf numFmtId="4" fontId="45" fillId="34" borderId="48" applyNumberFormat="0" applyProtection="0">
      <alignment horizontal="left" vertical="center" indent="1"/>
    </xf>
    <xf numFmtId="0" fontId="81" fillId="46" borderId="50" applyNumberFormat="0" applyProtection="0">
      <alignment horizontal="left" vertical="top" indent="1"/>
    </xf>
    <xf numFmtId="4" fontId="83" fillId="54" borderId="51" applyNumberFormat="0" applyProtection="0">
      <alignment horizontal="left" vertical="center" indent="1"/>
    </xf>
    <xf numFmtId="4" fontId="45" fillId="38" borderId="66" applyNumberFormat="0" applyProtection="0">
      <alignment horizontal="right" vertical="center"/>
    </xf>
    <xf numFmtId="4" fontId="84" fillId="51" borderId="48" applyNumberFormat="0" applyProtection="0">
      <alignment horizontal="right" vertical="center"/>
    </xf>
    <xf numFmtId="4" fontId="45" fillId="37" borderId="94" applyNumberFormat="0" applyProtection="0">
      <alignment horizontal="right" vertical="center"/>
    </xf>
    <xf numFmtId="0" fontId="90" fillId="0" borderId="53" applyNumberFormat="0" applyFill="0" applyAlignment="0" applyProtection="0"/>
    <xf numFmtId="0" fontId="45" fillId="45" borderId="68" applyNumberFormat="0" applyProtection="0">
      <alignment horizontal="left" vertical="top" indent="1"/>
    </xf>
    <xf numFmtId="4" fontId="45" fillId="46" borderId="54" applyNumberFormat="0" applyProtection="0">
      <alignment horizontal="right" vertical="center"/>
    </xf>
    <xf numFmtId="4" fontId="45" fillId="40" borderId="54" applyNumberFormat="0" applyProtection="0">
      <alignment horizontal="right" vertical="center"/>
    </xf>
    <xf numFmtId="4" fontId="99" fillId="2" borderId="54" applyNumberFormat="0" applyProtection="0">
      <alignment vertical="center"/>
    </xf>
    <xf numFmtId="0" fontId="82" fillId="33" borderId="56" applyNumberFormat="0" applyProtection="0">
      <alignment horizontal="left" vertical="top" indent="1"/>
    </xf>
    <xf numFmtId="0" fontId="45" fillId="49" borderId="66" applyNumberFormat="0" applyProtection="0">
      <alignment horizontal="left" vertical="center" indent="1"/>
    </xf>
    <xf numFmtId="0" fontId="45" fillId="46" borderId="68" applyNumberFormat="0" applyProtection="0">
      <alignment horizontal="left" vertical="top" indent="1"/>
    </xf>
    <xf numFmtId="4" fontId="45" fillId="39" borderId="66" applyNumberFormat="0" applyProtection="0">
      <alignment horizontal="right" vertical="center"/>
    </xf>
    <xf numFmtId="4" fontId="45" fillId="37" borderId="69" applyNumberFormat="0" applyProtection="0">
      <alignment horizontal="right" vertical="center"/>
    </xf>
    <xf numFmtId="4" fontId="45" fillId="40" borderId="72" applyNumberFormat="0" applyProtection="0">
      <alignment horizontal="right" vertical="center"/>
    </xf>
    <xf numFmtId="4" fontId="45" fillId="37" borderId="88" applyNumberFormat="0" applyProtection="0">
      <alignment horizontal="right" vertical="center"/>
    </xf>
    <xf numFmtId="4" fontId="45" fillId="37" borderId="75" applyNumberFormat="0" applyProtection="0">
      <alignment horizontal="right" vertical="center"/>
    </xf>
    <xf numFmtId="4" fontId="45" fillId="40" borderId="66" applyNumberFormat="0" applyProtection="0">
      <alignment horizontal="right" vertical="center"/>
    </xf>
    <xf numFmtId="0" fontId="94" fillId="27" borderId="54" applyNumberFormat="0" applyAlignment="0" applyProtection="0"/>
    <xf numFmtId="4" fontId="45" fillId="2" borderId="54" applyNumberFormat="0" applyProtection="0">
      <alignment horizontal="left" vertical="center" indent="1"/>
    </xf>
    <xf numFmtId="4" fontId="45" fillId="39" borderId="54" applyNumberFormat="0" applyProtection="0">
      <alignment horizontal="right" vertical="center"/>
    </xf>
    <xf numFmtId="4" fontId="11" fillId="45" borderId="57" applyNumberFormat="0" applyProtection="0">
      <alignment horizontal="left" vertical="center" indent="1"/>
    </xf>
    <xf numFmtId="4" fontId="45" fillId="38" borderId="54" applyNumberFormat="0" applyProtection="0">
      <alignment horizontal="right" vertical="center"/>
    </xf>
    <xf numFmtId="4" fontId="11" fillId="45" borderId="57" applyNumberFormat="0" applyProtection="0">
      <alignment horizontal="left" vertical="center" indent="1"/>
    </xf>
    <xf numFmtId="0" fontId="94" fillId="27" borderId="66" applyNumberFormat="0" applyAlignment="0" applyProtection="0"/>
    <xf numFmtId="4" fontId="45" fillId="33" borderId="60" applyNumberFormat="0" applyProtection="0">
      <alignment vertical="center"/>
    </xf>
    <xf numFmtId="0" fontId="45" fillId="46" borderId="99" applyNumberFormat="0" applyProtection="0">
      <alignment horizontal="left" vertical="top" indent="1"/>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5" fillId="49" borderId="54" applyNumberFormat="0" applyProtection="0">
      <alignment horizontal="left" vertical="center" indent="1"/>
    </xf>
    <xf numFmtId="0" fontId="45" fillId="46" borderId="56" applyNumberFormat="0" applyProtection="0">
      <alignment horizontal="left" vertical="top" indent="1"/>
    </xf>
    <xf numFmtId="0" fontId="45" fillId="50" borderId="54" applyNumberFormat="0" applyProtection="0">
      <alignment horizontal="left" vertical="center" indent="1"/>
    </xf>
    <xf numFmtId="0" fontId="45" fillId="50" borderId="56" applyNumberFormat="0" applyProtection="0">
      <alignment horizontal="left" vertical="top" indent="1"/>
    </xf>
    <xf numFmtId="0" fontId="45" fillId="47" borderId="54" applyNumberFormat="0" applyProtection="0">
      <alignment horizontal="left" vertical="center" indent="1"/>
    </xf>
    <xf numFmtId="0" fontId="45" fillId="47" borderId="56" applyNumberFormat="0" applyProtection="0">
      <alignment horizontal="left" vertical="top" indent="1"/>
    </xf>
    <xf numFmtId="4" fontId="45" fillId="44" borderId="94" applyNumberFormat="0" applyProtection="0">
      <alignment horizontal="left" vertical="center" indent="1"/>
    </xf>
    <xf numFmtId="0" fontId="80" fillId="45" borderId="58" applyBorder="0"/>
    <xf numFmtId="4" fontId="81" fillId="52" borderId="56" applyNumberFormat="0" applyProtection="0">
      <alignment vertical="center"/>
    </xf>
    <xf numFmtId="0" fontId="45" fillId="50" borderId="123" applyNumberFormat="0" applyProtection="0">
      <alignment horizontal="left" vertical="center" indent="1"/>
    </xf>
    <xf numFmtId="4" fontId="81" fillId="48" borderId="56" applyNumberFormat="0" applyProtection="0">
      <alignment horizontal="left" vertical="center" indent="1"/>
    </xf>
    <xf numFmtId="0" fontId="81" fillId="52" borderId="56" applyNumberFormat="0" applyProtection="0">
      <alignment horizontal="left" vertical="top" indent="1"/>
    </xf>
    <xf numFmtId="4" fontId="45" fillId="0" borderId="54" applyNumberFormat="0" applyProtection="0">
      <alignment horizontal="right" vertical="center"/>
    </xf>
    <xf numFmtId="4" fontId="99" fillId="5" borderId="54" applyNumberFormat="0" applyProtection="0">
      <alignment horizontal="right" vertical="center"/>
    </xf>
    <xf numFmtId="4" fontId="45" fillId="34" borderId="54" applyNumberFormat="0" applyProtection="0">
      <alignment horizontal="left" vertical="center" indent="1"/>
    </xf>
    <xf numFmtId="0" fontId="81" fillId="46" borderId="56" applyNumberFormat="0" applyProtection="0">
      <alignment horizontal="left" vertical="top" indent="1"/>
    </xf>
    <xf numFmtId="4" fontId="83" fillId="54" borderId="57" applyNumberFormat="0" applyProtection="0">
      <alignment horizontal="left" vertical="center" indent="1"/>
    </xf>
    <xf numFmtId="4" fontId="45" fillId="38" borderId="72" applyNumberFormat="0" applyProtection="0">
      <alignment horizontal="right" vertical="center"/>
    </xf>
    <xf numFmtId="4" fontId="84" fillId="51" borderId="54" applyNumberFormat="0" applyProtection="0">
      <alignment horizontal="right" vertical="center"/>
    </xf>
    <xf numFmtId="4" fontId="45" fillId="37" borderId="100" applyNumberFormat="0" applyProtection="0">
      <alignment horizontal="right" vertical="center"/>
    </xf>
    <xf numFmtId="0" fontId="90" fillId="0" borderId="59" applyNumberFormat="0" applyFill="0" applyAlignment="0" applyProtection="0"/>
    <xf numFmtId="0" fontId="45" fillId="45" borderId="74" applyNumberFormat="0" applyProtection="0">
      <alignment horizontal="left" vertical="top" indent="1"/>
    </xf>
    <xf numFmtId="0" fontId="45" fillId="48" borderId="60" applyNumberFormat="0" applyProtection="0">
      <alignment horizontal="left" vertical="center" indent="1"/>
    </xf>
    <xf numFmtId="4" fontId="45" fillId="43" borderId="60" applyNumberFormat="0" applyProtection="0">
      <alignment horizontal="right" vertical="center"/>
    </xf>
    <xf numFmtId="4" fontId="45" fillId="34" borderId="60" applyNumberFormat="0" applyProtection="0">
      <alignment horizontal="left" vertical="center" indent="1"/>
    </xf>
    <xf numFmtId="4" fontId="45" fillId="36" borderId="60" applyNumberFormat="0" applyProtection="0">
      <alignment horizontal="right" vertical="center"/>
    </xf>
    <xf numFmtId="0" fontId="45" fillId="50" borderId="72" applyNumberFormat="0" applyProtection="0">
      <alignment horizontal="left" vertical="center" indent="1"/>
    </xf>
    <xf numFmtId="0" fontId="96" fillId="29" borderId="61" applyNumberFormat="0" applyAlignment="0" applyProtection="0"/>
    <xf numFmtId="4" fontId="11" fillId="45" borderId="75" applyNumberFormat="0" applyProtection="0">
      <alignment horizontal="left" vertical="center" indent="1"/>
    </xf>
    <xf numFmtId="4" fontId="45" fillId="46" borderId="72" applyNumberFormat="0" applyProtection="0">
      <alignment horizontal="right" vertical="center"/>
    </xf>
    <xf numFmtId="0" fontId="88" fillId="29" borderId="60" applyNumberFormat="0" applyAlignment="0" applyProtection="0"/>
    <xf numFmtId="4" fontId="45" fillId="39" borderId="79" applyNumberFormat="0" applyProtection="0">
      <alignment horizontal="right" vertical="center"/>
    </xf>
    <xf numFmtId="4" fontId="45" fillId="40" borderId="85" applyNumberFormat="0" applyProtection="0">
      <alignment horizontal="right" vertical="center"/>
    </xf>
    <xf numFmtId="4" fontId="11" fillId="45" borderId="75" applyNumberFormat="0" applyProtection="0">
      <alignment horizontal="left" vertical="center" indent="1"/>
    </xf>
    <xf numFmtId="0" fontId="45" fillId="26" borderId="60" applyNumberFormat="0" applyFont="0" applyAlignment="0" applyProtection="0"/>
    <xf numFmtId="4" fontId="45" fillId="35" borderId="60" applyNumberFormat="0" applyProtection="0">
      <alignment horizontal="right" vertical="center"/>
    </xf>
    <xf numFmtId="4" fontId="45" fillId="42" borderId="60" applyNumberFormat="0" applyProtection="0">
      <alignment horizontal="right" vertical="center"/>
    </xf>
    <xf numFmtId="4" fontId="45" fillId="46" borderId="63" applyNumberFormat="0" applyProtection="0">
      <alignment horizontal="left" vertical="center" indent="1"/>
    </xf>
    <xf numFmtId="4" fontId="45" fillId="41" borderId="60" applyNumberFormat="0" applyProtection="0">
      <alignment horizontal="right" vertical="center"/>
    </xf>
    <xf numFmtId="4" fontId="45" fillId="47" borderId="63" applyNumberFormat="0" applyProtection="0">
      <alignment horizontal="left" vertical="center" indent="1"/>
    </xf>
    <xf numFmtId="0" fontId="94" fillId="27" borderId="72" applyNumberFormat="0" applyAlignment="0" applyProtection="0"/>
    <xf numFmtId="4" fontId="99" fillId="2" borderId="66" applyNumberFormat="0" applyProtection="0">
      <alignment vertical="center"/>
    </xf>
    <xf numFmtId="4" fontId="45" fillId="44" borderId="113" applyNumberFormat="0" applyProtection="0">
      <alignment horizontal="left" vertical="center" indent="1"/>
    </xf>
    <xf numFmtId="4" fontId="45" fillId="2" borderId="66" applyNumberFormat="0" applyProtection="0">
      <alignment horizontal="left" vertical="center" indent="1"/>
    </xf>
    <xf numFmtId="0" fontId="82" fillId="33" borderId="68" applyNumberFormat="0" applyProtection="0">
      <alignment horizontal="left" vertical="top" indent="1"/>
    </xf>
    <xf numFmtId="4" fontId="45" fillId="33" borderId="66" applyNumberFormat="0" applyProtection="0">
      <alignment vertical="center"/>
    </xf>
    <xf numFmtId="0" fontId="45" fillId="50" borderId="62" applyNumberFormat="0" applyProtection="0">
      <alignment horizontal="left" vertical="top" indent="1"/>
    </xf>
    <xf numFmtId="0" fontId="45" fillId="47" borderId="60" applyNumberFormat="0" applyProtection="0">
      <alignment horizontal="left" vertical="center" indent="1"/>
    </xf>
    <xf numFmtId="0" fontId="45" fillId="47" borderId="62" applyNumberFormat="0" applyProtection="0">
      <alignment horizontal="left" vertical="top" indent="1"/>
    </xf>
    <xf numFmtId="4" fontId="45" fillId="44" borderId="100" applyNumberFormat="0" applyProtection="0">
      <alignment horizontal="left" vertical="center" indent="1"/>
    </xf>
    <xf numFmtId="0" fontId="80" fillId="45" borderId="64" applyBorder="0"/>
    <xf numFmtId="4" fontId="81" fillId="52" borderId="62" applyNumberFormat="0" applyProtection="0">
      <alignment vertical="center"/>
    </xf>
    <xf numFmtId="4" fontId="45" fillId="34" borderId="104" applyNumberFormat="0" applyProtection="0">
      <alignment horizontal="left" vertical="center" indent="1"/>
    </xf>
    <xf numFmtId="4" fontId="81" fillId="48" borderId="62" applyNumberFormat="0" applyProtection="0">
      <alignment horizontal="left" vertical="center" indent="1"/>
    </xf>
    <xf numFmtId="0" fontId="81" fillId="52" borderId="62" applyNumberFormat="0" applyProtection="0">
      <alignment horizontal="left" vertical="top" indent="1"/>
    </xf>
    <xf numFmtId="4" fontId="45" fillId="0" borderId="60" applyNumberFormat="0" applyProtection="0">
      <alignment horizontal="right" vertical="center"/>
    </xf>
    <xf numFmtId="4" fontId="99" fillId="5" borderId="60" applyNumberFormat="0" applyProtection="0">
      <alignment horizontal="right" vertical="center"/>
    </xf>
    <xf numFmtId="4" fontId="45" fillId="34" borderId="60" applyNumberFormat="0" applyProtection="0">
      <alignment horizontal="left" vertical="center" indent="1"/>
    </xf>
    <xf numFmtId="0" fontId="81" fillId="46" borderId="62" applyNumberFormat="0" applyProtection="0">
      <alignment horizontal="left" vertical="top" indent="1"/>
    </xf>
    <xf numFmtId="4" fontId="83" fillId="54" borderId="63" applyNumberFormat="0" applyProtection="0">
      <alignment horizontal="left" vertical="center" indent="1"/>
    </xf>
    <xf numFmtId="4" fontId="45" fillId="38" borderId="79" applyNumberFormat="0" applyProtection="0">
      <alignment horizontal="right" vertical="center"/>
    </xf>
    <xf numFmtId="4" fontId="84" fillId="51" borderId="60" applyNumberFormat="0" applyProtection="0">
      <alignment horizontal="right" vertical="center"/>
    </xf>
    <xf numFmtId="4" fontId="45" fillId="37" borderId="132" applyNumberFormat="0" applyProtection="0">
      <alignment horizontal="right" vertical="center"/>
    </xf>
    <xf numFmtId="0" fontId="90" fillId="0" borderId="65" applyNumberFormat="0" applyFill="0" applyAlignment="0" applyProtection="0"/>
    <xf numFmtId="0" fontId="45" fillId="45" borderId="81" applyNumberFormat="0" applyProtection="0">
      <alignment horizontal="left" vertical="top" indent="1"/>
    </xf>
    <xf numFmtId="0" fontId="45" fillId="48" borderId="66" applyNumberFormat="0" applyProtection="0">
      <alignment horizontal="left" vertical="center" indent="1"/>
    </xf>
    <xf numFmtId="4" fontId="45" fillId="43" borderId="66" applyNumberFormat="0" applyProtection="0">
      <alignment horizontal="right" vertical="center"/>
    </xf>
    <xf numFmtId="4" fontId="45" fillId="34" borderId="66" applyNumberFormat="0" applyProtection="0">
      <alignment horizontal="left" vertical="center" indent="1"/>
    </xf>
    <xf numFmtId="4" fontId="45" fillId="36" borderId="66" applyNumberFormat="0" applyProtection="0">
      <alignment horizontal="right" vertical="center"/>
    </xf>
    <xf numFmtId="0" fontId="45" fillId="50" borderId="79" applyNumberFormat="0" applyProtection="0">
      <alignment horizontal="left" vertical="center" indent="1"/>
    </xf>
    <xf numFmtId="0" fontId="96" fillId="29" borderId="67" applyNumberFormat="0" applyAlignment="0" applyProtection="0"/>
    <xf numFmtId="4" fontId="11" fillId="45" borderId="82" applyNumberFormat="0" applyProtection="0">
      <alignment horizontal="left" vertical="center" indent="1"/>
    </xf>
    <xf numFmtId="4" fontId="45" fillId="46" borderId="79" applyNumberFormat="0" applyProtection="0">
      <alignment horizontal="right" vertical="center"/>
    </xf>
    <xf numFmtId="0" fontId="88" fillId="29" borderId="66" applyNumberFormat="0" applyAlignment="0" applyProtection="0"/>
    <xf numFmtId="4" fontId="45" fillId="39" borderId="85" applyNumberFormat="0" applyProtection="0">
      <alignment horizontal="right" vertical="center"/>
    </xf>
    <xf numFmtId="4" fontId="45" fillId="40" borderId="91" applyNumberFormat="0" applyProtection="0">
      <alignment horizontal="right" vertical="center"/>
    </xf>
    <xf numFmtId="4" fontId="11" fillId="45" borderId="82" applyNumberFormat="0" applyProtection="0">
      <alignment horizontal="left" vertical="center" indent="1"/>
    </xf>
    <xf numFmtId="0" fontId="45" fillId="26" borderId="66" applyNumberFormat="0" applyFont="0" applyAlignment="0" applyProtection="0"/>
    <xf numFmtId="4" fontId="45" fillId="35" borderId="66" applyNumberFormat="0" applyProtection="0">
      <alignment horizontal="right" vertical="center"/>
    </xf>
    <xf numFmtId="4" fontId="45" fillId="42" borderId="66" applyNumberFormat="0" applyProtection="0">
      <alignment horizontal="right" vertical="center"/>
    </xf>
    <xf numFmtId="4" fontId="45" fillId="46" borderId="69" applyNumberFormat="0" applyProtection="0">
      <alignment horizontal="left" vertical="center" indent="1"/>
    </xf>
    <xf numFmtId="4" fontId="45" fillId="41" borderId="66" applyNumberFormat="0" applyProtection="0">
      <alignment horizontal="right" vertical="center"/>
    </xf>
    <xf numFmtId="4" fontId="45" fillId="47" borderId="69" applyNumberFormat="0" applyProtection="0">
      <alignment horizontal="left" vertical="center" indent="1"/>
    </xf>
    <xf numFmtId="0" fontId="94" fillId="27" borderId="79" applyNumberFormat="0" applyAlignment="0" applyProtection="0"/>
    <xf numFmtId="4" fontId="99" fillId="2" borderId="72" applyNumberFormat="0" applyProtection="0">
      <alignment vertical="center"/>
    </xf>
    <xf numFmtId="0" fontId="90" fillId="0" borderId="128" applyNumberFormat="0" applyFill="0" applyAlignment="0" applyProtection="0"/>
    <xf numFmtId="4" fontId="45" fillId="2" borderId="72" applyNumberFormat="0" applyProtection="0">
      <alignment horizontal="left" vertical="center" indent="1"/>
    </xf>
    <xf numFmtId="0" fontId="82" fillId="33" borderId="74" applyNumberFormat="0" applyProtection="0">
      <alignment horizontal="left" vertical="top" indent="1"/>
    </xf>
    <xf numFmtId="4" fontId="45" fillId="33" borderId="72" applyNumberFormat="0" applyProtection="0">
      <alignment vertical="center"/>
    </xf>
    <xf numFmtId="0" fontId="45" fillId="50" borderId="68" applyNumberFormat="0" applyProtection="0">
      <alignment horizontal="left" vertical="top" indent="1"/>
    </xf>
    <xf numFmtId="0" fontId="45" fillId="47" borderId="66" applyNumberFormat="0" applyProtection="0">
      <alignment horizontal="left" vertical="center" indent="1"/>
    </xf>
    <xf numFmtId="0" fontId="45" fillId="47" borderId="68" applyNumberFormat="0" applyProtection="0">
      <alignment horizontal="left" vertical="top" indent="1"/>
    </xf>
    <xf numFmtId="0" fontId="82" fillId="33" borderId="112" applyNumberFormat="0" applyProtection="0">
      <alignment horizontal="left" vertical="top" indent="1"/>
    </xf>
    <xf numFmtId="0" fontId="80" fillId="45" borderId="70" applyBorder="0"/>
    <xf numFmtId="4" fontId="81" fillId="52" borderId="68" applyNumberFormat="0" applyProtection="0">
      <alignment vertical="center"/>
    </xf>
    <xf numFmtId="4" fontId="45" fillId="34" borderId="104" applyNumberFormat="0" applyProtection="0">
      <alignment horizontal="left" vertical="center" indent="1"/>
    </xf>
    <xf numFmtId="4" fontId="81" fillId="48" borderId="68" applyNumberFormat="0" applyProtection="0">
      <alignment horizontal="left" vertical="center" indent="1"/>
    </xf>
    <xf numFmtId="0" fontId="81" fillId="52" borderId="68" applyNumberFormat="0" applyProtection="0">
      <alignment horizontal="left" vertical="top" indent="1"/>
    </xf>
    <xf numFmtId="4" fontId="45" fillId="0" borderId="66" applyNumberFormat="0" applyProtection="0">
      <alignment horizontal="right" vertical="center"/>
    </xf>
    <xf numFmtId="4" fontId="99" fillId="5" borderId="66" applyNumberFormat="0" applyProtection="0">
      <alignment horizontal="right" vertical="center"/>
    </xf>
    <xf numFmtId="4" fontId="45" fillId="34" borderId="66" applyNumberFormat="0" applyProtection="0">
      <alignment horizontal="left" vertical="center" indent="1"/>
    </xf>
    <xf numFmtId="0" fontId="81" fillId="46" borderId="68" applyNumberFormat="0" applyProtection="0">
      <alignment horizontal="left" vertical="top" indent="1"/>
    </xf>
    <xf numFmtId="4" fontId="83" fillId="54" borderId="69" applyNumberFormat="0" applyProtection="0">
      <alignment horizontal="left" vertical="center" indent="1"/>
    </xf>
    <xf numFmtId="4" fontId="45" fillId="38" borderId="85" applyNumberFormat="0" applyProtection="0">
      <alignment horizontal="right" vertical="center"/>
    </xf>
    <xf numFmtId="4" fontId="84" fillId="51" borderId="66" applyNumberFormat="0" applyProtection="0">
      <alignment horizontal="right" vertical="center"/>
    </xf>
    <xf numFmtId="0" fontId="96" fillId="29" borderId="111" applyNumberFormat="0" applyAlignment="0" applyProtection="0"/>
    <xf numFmtId="0" fontId="90" fillId="0" borderId="71" applyNumberFormat="0" applyFill="0" applyAlignment="0" applyProtection="0"/>
    <xf numFmtId="0" fontId="45" fillId="45" borderId="87" applyNumberFormat="0" applyProtection="0">
      <alignment horizontal="left" vertical="top" indent="1"/>
    </xf>
    <xf numFmtId="0" fontId="45" fillId="48" borderId="72" applyNumberFormat="0" applyProtection="0">
      <alignment horizontal="left" vertical="center" indent="1"/>
    </xf>
    <xf numFmtId="4" fontId="45" fillId="43" borderId="72" applyNumberFormat="0" applyProtection="0">
      <alignment horizontal="right" vertical="center"/>
    </xf>
    <xf numFmtId="4" fontId="45" fillId="34" borderId="72" applyNumberFormat="0" applyProtection="0">
      <alignment horizontal="left" vertical="center" indent="1"/>
    </xf>
    <xf numFmtId="4" fontId="45" fillId="36" borderId="72" applyNumberFormat="0" applyProtection="0">
      <alignment horizontal="right" vertical="center"/>
    </xf>
    <xf numFmtId="0" fontId="45" fillId="50" borderId="85" applyNumberFormat="0" applyProtection="0">
      <alignment horizontal="left" vertical="center" indent="1"/>
    </xf>
    <xf numFmtId="0" fontId="96" fillId="29" borderId="73" applyNumberFormat="0" applyAlignment="0" applyProtection="0"/>
    <xf numFmtId="4" fontId="11" fillId="45" borderId="88" applyNumberFormat="0" applyProtection="0">
      <alignment horizontal="left" vertical="center" indent="1"/>
    </xf>
    <xf numFmtId="4" fontId="45" fillId="46" borderId="85" applyNumberFormat="0" applyProtection="0">
      <alignment horizontal="right" vertical="center"/>
    </xf>
    <xf numFmtId="0" fontId="88" fillId="29" borderId="72" applyNumberFormat="0" applyAlignment="0" applyProtection="0"/>
    <xf numFmtId="4" fontId="45" fillId="39" borderId="91" applyNumberFormat="0" applyProtection="0">
      <alignment horizontal="right" vertical="center"/>
    </xf>
    <xf numFmtId="4" fontId="45" fillId="40" borderId="97" applyNumberFormat="0" applyProtection="0">
      <alignment horizontal="right" vertical="center"/>
    </xf>
    <xf numFmtId="4" fontId="11" fillId="45" borderId="88" applyNumberFormat="0" applyProtection="0">
      <alignment horizontal="left" vertical="center" indent="1"/>
    </xf>
    <xf numFmtId="0" fontId="45" fillId="26" borderId="72" applyNumberFormat="0" applyFont="0" applyAlignment="0" applyProtection="0"/>
    <xf numFmtId="4" fontId="45" fillId="35" borderId="72" applyNumberFormat="0" applyProtection="0">
      <alignment horizontal="right" vertical="center"/>
    </xf>
    <xf numFmtId="4" fontId="45" fillId="42" borderId="72" applyNumberFormat="0" applyProtection="0">
      <alignment horizontal="right" vertical="center"/>
    </xf>
    <xf numFmtId="4" fontId="45" fillId="46" borderId="75" applyNumberFormat="0" applyProtection="0">
      <alignment horizontal="left" vertical="center" indent="1"/>
    </xf>
    <xf numFmtId="4" fontId="45" fillId="41" borderId="72" applyNumberFormat="0" applyProtection="0">
      <alignment horizontal="right" vertical="center"/>
    </xf>
    <xf numFmtId="4" fontId="45" fillId="47" borderId="75" applyNumberFormat="0" applyProtection="0">
      <alignment horizontal="left" vertical="center" indent="1"/>
    </xf>
    <xf numFmtId="0" fontId="94" fillId="27" borderId="85" applyNumberFormat="0" applyAlignment="0" applyProtection="0"/>
    <xf numFmtId="4" fontId="99" fillId="2" borderId="79" applyNumberFormat="0" applyProtection="0">
      <alignment vertical="center"/>
    </xf>
    <xf numFmtId="4" fontId="45" fillId="2" borderId="104" applyNumberFormat="0" applyProtection="0">
      <alignment horizontal="left" vertical="center" indent="1"/>
    </xf>
    <xf numFmtId="4" fontId="45" fillId="2" borderId="79" applyNumberFormat="0" applyProtection="0">
      <alignment horizontal="left" vertical="center" indent="1"/>
    </xf>
    <xf numFmtId="0" fontId="82" fillId="33" borderId="81" applyNumberFormat="0" applyProtection="0">
      <alignment horizontal="left" vertical="top" indent="1"/>
    </xf>
    <xf numFmtId="4" fontId="45" fillId="33" borderId="79" applyNumberFormat="0" applyProtection="0">
      <alignment vertical="center"/>
    </xf>
    <xf numFmtId="0" fontId="45" fillId="50" borderId="74" applyNumberFormat="0" applyProtection="0">
      <alignment horizontal="left" vertical="top" indent="1"/>
    </xf>
    <xf numFmtId="0" fontId="45" fillId="47" borderId="72" applyNumberFormat="0" applyProtection="0">
      <alignment horizontal="left" vertical="center" indent="1"/>
    </xf>
    <xf numFmtId="0" fontId="45" fillId="47" borderId="74" applyNumberFormat="0" applyProtection="0">
      <alignment horizontal="left" vertical="top" indent="1"/>
    </xf>
    <xf numFmtId="0" fontId="45" fillId="26" borderId="110" applyNumberFormat="0" applyFont="0" applyAlignment="0" applyProtection="0"/>
    <xf numFmtId="0" fontId="80" fillId="45" borderId="76" applyBorder="0"/>
    <xf numFmtId="4" fontId="81" fillId="52" borderId="74" applyNumberFormat="0" applyProtection="0">
      <alignment vertical="center"/>
    </xf>
    <xf numFmtId="0" fontId="45" fillId="48" borderId="104" applyNumberFormat="0" applyProtection="0">
      <alignment horizontal="left" vertical="center" indent="1"/>
    </xf>
    <xf numFmtId="4" fontId="81" fillId="48" borderId="74" applyNumberFormat="0" applyProtection="0">
      <alignment horizontal="left" vertical="center" indent="1"/>
    </xf>
    <xf numFmtId="0" fontId="81" fillId="52" borderId="74" applyNumberFormat="0" applyProtection="0">
      <alignment horizontal="left" vertical="top" indent="1"/>
    </xf>
    <xf numFmtId="4" fontId="45" fillId="0" borderId="72" applyNumberFormat="0" applyProtection="0">
      <alignment horizontal="right" vertical="center"/>
    </xf>
    <xf numFmtId="4" fontId="99" fillId="5" borderId="72" applyNumberFormat="0" applyProtection="0">
      <alignment horizontal="right" vertical="center"/>
    </xf>
    <xf numFmtId="4" fontId="45" fillId="34" borderId="72" applyNumberFormat="0" applyProtection="0">
      <alignment horizontal="left" vertical="center" indent="1"/>
    </xf>
    <xf numFmtId="0" fontId="81" fillId="46" borderId="74" applyNumberFormat="0" applyProtection="0">
      <alignment horizontal="left" vertical="top" indent="1"/>
    </xf>
    <xf numFmtId="4" fontId="83" fillId="54" borderId="75" applyNumberFormat="0" applyProtection="0">
      <alignment horizontal="left" vertical="center" indent="1"/>
    </xf>
    <xf numFmtId="4" fontId="45" fillId="38" borderId="91" applyNumberFormat="0" applyProtection="0">
      <alignment horizontal="right" vertical="center"/>
    </xf>
    <xf numFmtId="4" fontId="84" fillId="51" borderId="72" applyNumberFormat="0" applyProtection="0">
      <alignment horizontal="right" vertical="center"/>
    </xf>
    <xf numFmtId="4" fontId="45" fillId="39" borderId="104" applyNumberFormat="0" applyProtection="0">
      <alignment horizontal="right" vertical="center"/>
    </xf>
    <xf numFmtId="0" fontId="90" fillId="0" borderId="77" applyNumberFormat="0" applyFill="0" applyAlignment="0" applyProtection="0"/>
    <xf numFmtId="0" fontId="45" fillId="45" borderId="93" applyNumberFormat="0" applyProtection="0">
      <alignment horizontal="left" vertical="top" indent="1"/>
    </xf>
    <xf numFmtId="0" fontId="45" fillId="48" borderId="79" applyNumberFormat="0" applyProtection="0">
      <alignment horizontal="left" vertical="center" indent="1"/>
    </xf>
    <xf numFmtId="4" fontId="45" fillId="43" borderId="79" applyNumberFormat="0" applyProtection="0">
      <alignment horizontal="right" vertical="center"/>
    </xf>
    <xf numFmtId="4" fontId="45" fillId="34" borderId="79" applyNumberFormat="0" applyProtection="0">
      <alignment horizontal="left" vertical="center" indent="1"/>
    </xf>
    <xf numFmtId="4" fontId="45" fillId="36" borderId="79" applyNumberFormat="0" applyProtection="0">
      <alignment horizontal="right" vertical="center"/>
    </xf>
    <xf numFmtId="0" fontId="45" fillId="50" borderId="91" applyNumberFormat="0" applyProtection="0">
      <alignment horizontal="left" vertical="center" indent="1"/>
    </xf>
    <xf numFmtId="0" fontId="96" fillId="29" borderId="80" applyNumberFormat="0" applyAlignment="0" applyProtection="0"/>
    <xf numFmtId="4" fontId="11" fillId="45" borderId="94" applyNumberFormat="0" applyProtection="0">
      <alignment horizontal="left" vertical="center" indent="1"/>
    </xf>
    <xf numFmtId="4" fontId="45" fillId="46" borderId="91" applyNumberFormat="0" applyProtection="0">
      <alignment horizontal="right" vertical="center"/>
    </xf>
    <xf numFmtId="0" fontId="88" fillId="29" borderId="79" applyNumberFormat="0" applyAlignment="0" applyProtection="0"/>
    <xf numFmtId="4" fontId="45" fillId="39" borderId="97" applyNumberFormat="0" applyProtection="0">
      <alignment horizontal="right" vertical="center"/>
    </xf>
    <xf numFmtId="4" fontId="45" fillId="40" borderId="140" applyNumberFormat="0" applyProtection="0">
      <alignment horizontal="right" vertical="center"/>
    </xf>
    <xf numFmtId="4" fontId="11" fillId="45" borderId="94" applyNumberFormat="0" applyProtection="0">
      <alignment horizontal="left" vertical="center" indent="1"/>
    </xf>
    <xf numFmtId="0" fontId="45" fillId="26" borderId="79" applyNumberFormat="0" applyFont="0" applyAlignment="0" applyProtection="0"/>
    <xf numFmtId="4" fontId="45" fillId="35" borderId="79" applyNumberFormat="0" applyProtection="0">
      <alignment horizontal="right" vertical="center"/>
    </xf>
    <xf numFmtId="4" fontId="45" fillId="42" borderId="79" applyNumberFormat="0" applyProtection="0">
      <alignment horizontal="right" vertical="center"/>
    </xf>
    <xf numFmtId="4" fontId="45" fillId="46" borderId="82" applyNumberFormat="0" applyProtection="0">
      <alignment horizontal="left" vertical="center" indent="1"/>
    </xf>
    <xf numFmtId="4" fontId="45" fillId="41" borderId="79" applyNumberFormat="0" applyProtection="0">
      <alignment horizontal="right" vertical="center"/>
    </xf>
    <xf numFmtId="4" fontId="45" fillId="47" borderId="82" applyNumberFormat="0" applyProtection="0">
      <alignment horizontal="left" vertical="center" indent="1"/>
    </xf>
    <xf numFmtId="0" fontId="94" fillId="27" borderId="91" applyNumberFormat="0" applyAlignment="0" applyProtection="0"/>
    <xf numFmtId="4" fontId="99" fillId="2" borderId="85" applyNumberFormat="0" applyProtection="0">
      <alignment vertical="center"/>
    </xf>
    <xf numFmtId="4" fontId="83" fillId="54" borderId="107" applyNumberFormat="0" applyProtection="0">
      <alignment horizontal="left" vertical="center" indent="1"/>
    </xf>
    <xf numFmtId="4" fontId="45" fillId="2" borderId="85" applyNumberFormat="0" applyProtection="0">
      <alignment horizontal="left" vertical="center" indent="1"/>
    </xf>
    <xf numFmtId="0" fontId="82" fillId="33" borderId="87" applyNumberFormat="0" applyProtection="0">
      <alignment horizontal="left" vertical="top" indent="1"/>
    </xf>
    <xf numFmtId="4" fontId="45" fillId="33" borderId="85" applyNumberFormat="0" applyProtection="0">
      <alignment vertical="center"/>
    </xf>
    <xf numFmtId="0" fontId="45" fillId="50" borderId="81" applyNumberFormat="0" applyProtection="0">
      <alignment horizontal="left" vertical="top" indent="1"/>
    </xf>
    <xf numFmtId="0" fontId="45" fillId="47" borderId="79" applyNumberFormat="0" applyProtection="0">
      <alignment horizontal="left" vertical="center" indent="1"/>
    </xf>
    <xf numFmtId="0" fontId="45" fillId="47" borderId="81" applyNumberFormat="0" applyProtection="0">
      <alignment horizontal="left" vertical="top" indent="1"/>
    </xf>
    <xf numFmtId="4" fontId="45" fillId="35" borderId="104" applyNumberFormat="0" applyProtection="0">
      <alignment horizontal="right" vertical="center"/>
    </xf>
    <xf numFmtId="0" fontId="80" fillId="45" borderId="83" applyBorder="0"/>
    <xf numFmtId="4" fontId="81" fillId="52" borderId="81" applyNumberFormat="0" applyProtection="0">
      <alignment vertical="center"/>
    </xf>
    <xf numFmtId="4" fontId="11" fillId="45" borderId="118" applyNumberFormat="0" applyProtection="0">
      <alignment horizontal="left" vertical="center" indent="1"/>
    </xf>
    <xf numFmtId="4" fontId="81" fillId="48" borderId="81" applyNumberFormat="0" applyProtection="0">
      <alignment horizontal="left" vertical="center" indent="1"/>
    </xf>
    <xf numFmtId="0" fontId="81" fillId="52" borderId="81" applyNumberFormat="0" applyProtection="0">
      <alignment horizontal="left" vertical="top" indent="1"/>
    </xf>
    <xf numFmtId="4" fontId="45" fillId="0" borderId="79" applyNumberFormat="0" applyProtection="0">
      <alignment horizontal="right" vertical="center"/>
    </xf>
    <xf numFmtId="4" fontId="99" fillId="5" borderId="79" applyNumberFormat="0" applyProtection="0">
      <alignment horizontal="right" vertical="center"/>
    </xf>
    <xf numFmtId="4" fontId="45" fillId="34" borderId="79" applyNumberFormat="0" applyProtection="0">
      <alignment horizontal="left" vertical="center" indent="1"/>
    </xf>
    <xf numFmtId="0" fontId="81" fillId="46" borderId="81" applyNumberFormat="0" applyProtection="0">
      <alignment horizontal="left" vertical="top" indent="1"/>
    </xf>
    <xf numFmtId="4" fontId="83" fillId="54" borderId="82" applyNumberFormat="0" applyProtection="0">
      <alignment horizontal="left" vertical="center" indent="1"/>
    </xf>
    <xf numFmtId="4" fontId="45" fillId="38" borderId="97" applyNumberFormat="0" applyProtection="0">
      <alignment horizontal="right" vertical="center"/>
    </xf>
    <xf numFmtId="4" fontId="84" fillId="51" borderId="79" applyNumberFormat="0" applyProtection="0">
      <alignment horizontal="right" vertical="center"/>
    </xf>
    <xf numFmtId="4" fontId="99" fillId="5" borderId="123" applyNumberFormat="0" applyProtection="0">
      <alignment horizontal="right" vertical="center"/>
    </xf>
    <xf numFmtId="0" fontId="90" fillId="0" borderId="84" applyNumberFormat="0" applyFill="0" applyAlignment="0" applyProtection="0"/>
    <xf numFmtId="0" fontId="45" fillId="45" borderId="99" applyNumberFormat="0" applyProtection="0">
      <alignment horizontal="left" vertical="top" indent="1"/>
    </xf>
    <xf numFmtId="0" fontId="45" fillId="48" borderId="85" applyNumberFormat="0" applyProtection="0">
      <alignment horizontal="left" vertical="center" indent="1"/>
    </xf>
    <xf numFmtId="4" fontId="45" fillId="43" borderId="85" applyNumberFormat="0" applyProtection="0">
      <alignment horizontal="right" vertical="center"/>
    </xf>
    <xf numFmtId="4" fontId="45" fillId="34" borderId="85" applyNumberFormat="0" applyProtection="0">
      <alignment horizontal="left" vertical="center" indent="1"/>
    </xf>
    <xf numFmtId="4" fontId="45" fillId="36" borderId="85" applyNumberFormat="0" applyProtection="0">
      <alignment horizontal="right" vertical="center"/>
    </xf>
    <xf numFmtId="0" fontId="45" fillId="50" borderId="97" applyNumberFormat="0" applyProtection="0">
      <alignment horizontal="left" vertical="center" indent="1"/>
    </xf>
    <xf numFmtId="0" fontId="96" fillId="29" borderId="86" applyNumberFormat="0" applyAlignment="0" applyProtection="0"/>
    <xf numFmtId="4" fontId="11" fillId="45" borderId="100" applyNumberFormat="0" applyProtection="0">
      <alignment horizontal="left" vertical="center" indent="1"/>
    </xf>
    <xf numFmtId="4" fontId="45" fillId="46" borderId="97" applyNumberFormat="0" applyProtection="0">
      <alignment horizontal="right" vertical="center"/>
    </xf>
    <xf numFmtId="0" fontId="88" fillId="29" borderId="85" applyNumberFormat="0" applyAlignment="0" applyProtection="0"/>
    <xf numFmtId="0" fontId="94" fillId="27" borderId="110" applyNumberFormat="0" applyAlignment="0" applyProtection="0"/>
    <xf numFmtId="0" fontId="88" fillId="29" borderId="110" applyNumberFormat="0" applyAlignment="0" applyProtection="0"/>
    <xf numFmtId="4" fontId="11" fillId="45" borderId="100" applyNumberFormat="0" applyProtection="0">
      <alignment horizontal="left" vertical="center" indent="1"/>
    </xf>
    <xf numFmtId="0" fontId="45" fillId="26" borderId="85" applyNumberFormat="0" applyFont="0" applyAlignment="0" applyProtection="0"/>
    <xf numFmtId="4" fontId="45" fillId="35" borderId="85" applyNumberFormat="0" applyProtection="0">
      <alignment horizontal="right" vertical="center"/>
    </xf>
    <xf numFmtId="4" fontId="45" fillId="42" borderId="85" applyNumberFormat="0" applyProtection="0">
      <alignment horizontal="right" vertical="center"/>
    </xf>
    <xf numFmtId="4" fontId="45" fillId="46" borderId="88" applyNumberFormat="0" applyProtection="0">
      <alignment horizontal="left" vertical="center" indent="1"/>
    </xf>
    <xf numFmtId="4" fontId="45" fillId="41" borderId="85" applyNumberFormat="0" applyProtection="0">
      <alignment horizontal="right" vertical="center"/>
    </xf>
    <xf numFmtId="4" fontId="45" fillId="47" borderId="88" applyNumberFormat="0" applyProtection="0">
      <alignment horizontal="left" vertical="center" indent="1"/>
    </xf>
    <xf numFmtId="0" fontId="94" fillId="27" borderId="97" applyNumberFormat="0" applyAlignment="0" applyProtection="0"/>
    <xf numFmtId="4" fontId="99" fillId="2" borderId="91" applyNumberFormat="0" applyProtection="0">
      <alignment vertical="center"/>
    </xf>
    <xf numFmtId="4" fontId="45" fillId="47" borderId="107" applyNumberFormat="0" applyProtection="0">
      <alignment horizontal="left" vertical="center" indent="1"/>
    </xf>
    <xf numFmtId="4" fontId="45" fillId="2" borderId="91" applyNumberFormat="0" applyProtection="0">
      <alignment horizontal="left" vertical="center" indent="1"/>
    </xf>
    <xf numFmtId="0" fontId="82" fillId="33" borderId="93" applyNumberFormat="0" applyProtection="0">
      <alignment horizontal="left" vertical="top" indent="1"/>
    </xf>
    <xf numFmtId="4" fontId="45" fillId="33" borderId="91" applyNumberFormat="0" applyProtection="0">
      <alignment vertical="center"/>
    </xf>
    <xf numFmtId="0" fontId="45" fillId="50" borderId="87" applyNumberFormat="0" applyProtection="0">
      <alignment horizontal="left" vertical="top" indent="1"/>
    </xf>
    <xf numFmtId="0" fontId="45" fillId="47" borderId="85" applyNumberFormat="0" applyProtection="0">
      <alignment horizontal="left" vertical="center" indent="1"/>
    </xf>
    <xf numFmtId="0" fontId="45" fillId="47" borderId="87" applyNumberFormat="0" applyProtection="0">
      <alignment horizontal="left" vertical="top" indent="1"/>
    </xf>
    <xf numFmtId="4" fontId="99" fillId="5" borderId="104" applyNumberFormat="0" applyProtection="0">
      <alignment horizontal="right" vertical="center"/>
    </xf>
    <xf numFmtId="0" fontId="80" fillId="45" borderId="89" applyBorder="0"/>
    <xf numFmtId="4" fontId="81" fillId="52" borderId="87" applyNumberFormat="0" applyProtection="0">
      <alignment vertical="center"/>
    </xf>
    <xf numFmtId="4" fontId="11" fillId="45" borderId="118" applyNumberFormat="0" applyProtection="0">
      <alignment horizontal="left" vertical="center" indent="1"/>
    </xf>
    <xf numFmtId="4" fontId="81" fillId="48" borderId="87" applyNumberFormat="0" applyProtection="0">
      <alignment horizontal="left" vertical="center" indent="1"/>
    </xf>
    <xf numFmtId="0" fontId="81" fillId="52" borderId="87" applyNumberFormat="0" applyProtection="0">
      <alignment horizontal="left" vertical="top" indent="1"/>
    </xf>
    <xf numFmtId="4" fontId="45" fillId="0" borderId="85" applyNumberFormat="0" applyProtection="0">
      <alignment horizontal="right" vertical="center"/>
    </xf>
    <xf numFmtId="4" fontId="99" fillId="5" borderId="85" applyNumberFormat="0" applyProtection="0">
      <alignment horizontal="right" vertical="center"/>
    </xf>
    <xf numFmtId="4" fontId="45" fillId="34" borderId="85" applyNumberFormat="0" applyProtection="0">
      <alignment horizontal="left" vertical="center" indent="1"/>
    </xf>
    <xf numFmtId="0" fontId="81" fillId="46" borderId="87" applyNumberFormat="0" applyProtection="0">
      <alignment horizontal="left" vertical="top" indent="1"/>
    </xf>
    <xf numFmtId="4" fontId="83" fillId="54" borderId="88" applyNumberFormat="0" applyProtection="0">
      <alignment horizontal="left" vertical="center" indent="1"/>
    </xf>
    <xf numFmtId="4" fontId="81" fillId="48" borderId="142" applyNumberFormat="0" applyProtection="0">
      <alignment horizontal="left" vertical="center" indent="1"/>
    </xf>
    <xf numFmtId="4" fontId="84" fillId="51" borderId="85" applyNumberFormat="0" applyProtection="0">
      <alignment horizontal="right" vertical="center"/>
    </xf>
    <xf numFmtId="0" fontId="45" fillId="49" borderId="104" applyNumberFormat="0" applyProtection="0">
      <alignment horizontal="left" vertical="center" indent="1"/>
    </xf>
    <xf numFmtId="0" fontId="90" fillId="0" borderId="90" applyNumberFormat="0" applyFill="0" applyAlignment="0" applyProtection="0"/>
    <xf numFmtId="4" fontId="11" fillId="45" borderId="113" applyNumberFormat="0" applyProtection="0">
      <alignment horizontal="left" vertical="center" indent="1"/>
    </xf>
    <xf numFmtId="0" fontId="45" fillId="48" borderId="91" applyNumberFormat="0" applyProtection="0">
      <alignment horizontal="left" vertical="center" indent="1"/>
    </xf>
    <xf numFmtId="4" fontId="45" fillId="43" borderId="91" applyNumberFormat="0" applyProtection="0">
      <alignment horizontal="right" vertical="center"/>
    </xf>
    <xf numFmtId="4" fontId="45" fillId="34" borderId="91" applyNumberFormat="0" applyProtection="0">
      <alignment horizontal="left" vertical="center" indent="1"/>
    </xf>
    <xf numFmtId="4" fontId="45" fillId="36" borderId="91" applyNumberFormat="0" applyProtection="0">
      <alignment horizontal="right" vertical="center"/>
    </xf>
    <xf numFmtId="0" fontId="45" fillId="49" borderId="110" applyNumberFormat="0" applyProtection="0">
      <alignment horizontal="left" vertical="center" indent="1"/>
    </xf>
    <xf numFmtId="0" fontId="96" fillId="29" borderId="92" applyNumberFormat="0" applyAlignment="0" applyProtection="0"/>
    <xf numFmtId="4" fontId="45" fillId="33" borderId="110" applyNumberFormat="0" applyProtection="0">
      <alignment vertical="center"/>
    </xf>
    <xf numFmtId="4" fontId="45" fillId="39" borderId="110" applyNumberFormat="0" applyProtection="0">
      <alignment horizontal="right" vertical="center"/>
    </xf>
    <xf numFmtId="0" fontId="88" fillId="29" borderId="91" applyNumberFormat="0" applyAlignment="0" applyProtection="0"/>
    <xf numFmtId="4" fontId="45" fillId="34" borderId="140" applyNumberFormat="0" applyProtection="0">
      <alignment horizontal="left" vertical="center" indent="1"/>
    </xf>
    <xf numFmtId="4" fontId="45" fillId="40" borderId="104" applyNumberFormat="0" applyProtection="0">
      <alignment horizontal="right" vertical="center"/>
    </xf>
    <xf numFmtId="4" fontId="45" fillId="38" borderId="110" applyNumberFormat="0" applyProtection="0">
      <alignment horizontal="right" vertical="center"/>
    </xf>
    <xf numFmtId="0" fontId="45" fillId="26" borderId="91" applyNumberFormat="0" applyFont="0" applyAlignment="0" applyProtection="0"/>
    <xf numFmtId="4" fontId="45" fillId="35" borderId="91" applyNumberFormat="0" applyProtection="0">
      <alignment horizontal="right" vertical="center"/>
    </xf>
    <xf numFmtId="4" fontId="45" fillId="42" borderId="91" applyNumberFormat="0" applyProtection="0">
      <alignment horizontal="right" vertical="center"/>
    </xf>
    <xf numFmtId="4" fontId="45" fillId="46" borderId="94" applyNumberFormat="0" applyProtection="0">
      <alignment horizontal="left" vertical="center" indent="1"/>
    </xf>
    <xf numFmtId="4" fontId="45" fillId="41" borderId="91" applyNumberFormat="0" applyProtection="0">
      <alignment horizontal="right" vertical="center"/>
    </xf>
    <xf numFmtId="4" fontId="45" fillId="47" borderId="94" applyNumberFormat="0" applyProtection="0">
      <alignment horizontal="left" vertical="center" indent="1"/>
    </xf>
    <xf numFmtId="0" fontId="82" fillId="33" borderId="106" applyNumberFormat="0" applyProtection="0">
      <alignment horizontal="left" vertical="top" indent="1"/>
    </xf>
    <xf numFmtId="4" fontId="99" fillId="2" borderId="97" applyNumberFormat="0" applyProtection="0">
      <alignment vertical="center"/>
    </xf>
    <xf numFmtId="0" fontId="45" fillId="26" borderId="104" applyNumberFormat="0" applyFont="0" applyAlignment="0" applyProtection="0"/>
    <xf numFmtId="4" fontId="45" fillId="2" borderId="97" applyNumberFormat="0" applyProtection="0">
      <alignment horizontal="left" vertical="center" indent="1"/>
    </xf>
    <xf numFmtId="0" fontId="82" fillId="33" borderId="99" applyNumberFormat="0" applyProtection="0">
      <alignment horizontal="left" vertical="top" indent="1"/>
    </xf>
    <xf numFmtId="4" fontId="45" fillId="33" borderId="97" applyNumberFormat="0" applyProtection="0">
      <alignment vertical="center"/>
    </xf>
    <xf numFmtId="0" fontId="45" fillId="50" borderId="93" applyNumberFormat="0" applyProtection="0">
      <alignment horizontal="left" vertical="top" indent="1"/>
    </xf>
    <xf numFmtId="0" fontId="45" fillId="47" borderId="91" applyNumberFormat="0" applyProtection="0">
      <alignment horizontal="left" vertical="center" indent="1"/>
    </xf>
    <xf numFmtId="0" fontId="45" fillId="47" borderId="93" applyNumberFormat="0" applyProtection="0">
      <alignment horizontal="left" vertical="top" indent="1"/>
    </xf>
    <xf numFmtId="4" fontId="45" fillId="46" borderId="104" applyNumberFormat="0" applyProtection="0">
      <alignment horizontal="right" vertical="center"/>
    </xf>
    <xf numFmtId="0" fontId="80" fillId="45" borderId="95" applyBorder="0"/>
    <xf numFmtId="4" fontId="81" fillId="52" borderId="93" applyNumberFormat="0" applyProtection="0">
      <alignment vertical="center"/>
    </xf>
    <xf numFmtId="4" fontId="45" fillId="37" borderId="118" applyNumberFormat="0" applyProtection="0">
      <alignment horizontal="right" vertical="center"/>
    </xf>
    <xf numFmtId="4" fontId="81" fillId="48" borderId="93" applyNumberFormat="0" applyProtection="0">
      <alignment horizontal="left" vertical="center" indent="1"/>
    </xf>
    <xf numFmtId="0" fontId="81" fillId="52" borderId="93" applyNumberFormat="0" applyProtection="0">
      <alignment horizontal="left" vertical="top" indent="1"/>
    </xf>
    <xf numFmtId="4" fontId="45" fillId="0" borderId="91" applyNumberFormat="0" applyProtection="0">
      <alignment horizontal="right" vertical="center"/>
    </xf>
    <xf numFmtId="4" fontId="99" fillId="5" borderId="91" applyNumberFormat="0" applyProtection="0">
      <alignment horizontal="right" vertical="center"/>
    </xf>
    <xf numFmtId="4" fontId="45" fillId="34" borderId="91" applyNumberFormat="0" applyProtection="0">
      <alignment horizontal="left" vertical="center" indent="1"/>
    </xf>
    <xf numFmtId="0" fontId="81" fillId="46" borderId="93" applyNumberFormat="0" applyProtection="0">
      <alignment horizontal="left" vertical="top" indent="1"/>
    </xf>
    <xf numFmtId="4" fontId="83" fillId="54" borderId="94" applyNumberFormat="0" applyProtection="0">
      <alignment horizontal="left" vertical="center" indent="1"/>
    </xf>
    <xf numFmtId="4" fontId="45" fillId="37" borderId="157" applyNumberFormat="0" applyProtection="0">
      <alignment horizontal="right" vertical="center"/>
    </xf>
    <xf numFmtId="4" fontId="84" fillId="51" borderId="91" applyNumberFormat="0" applyProtection="0">
      <alignment horizontal="right" vertical="center"/>
    </xf>
    <xf numFmtId="0" fontId="88" fillId="29" borderId="123" applyNumberFormat="0" applyAlignment="0" applyProtection="0"/>
    <xf numFmtId="0" fontId="90" fillId="0" borderId="96" applyNumberFormat="0" applyFill="0" applyAlignment="0" applyProtection="0"/>
    <xf numFmtId="4" fontId="45" fillId="43" borderId="129" applyNumberFormat="0" applyProtection="0">
      <alignment horizontal="right" vertical="center"/>
    </xf>
    <xf numFmtId="0" fontId="45" fillId="48" borderId="97" applyNumberFormat="0" applyProtection="0">
      <alignment horizontal="left" vertical="center" indent="1"/>
    </xf>
    <xf numFmtId="4" fontId="45" fillId="43" borderId="97" applyNumberFormat="0" applyProtection="0">
      <alignment horizontal="right" vertical="center"/>
    </xf>
    <xf numFmtId="4" fontId="45" fillId="34" borderId="97" applyNumberFormat="0" applyProtection="0">
      <alignment horizontal="left" vertical="center" indent="1"/>
    </xf>
    <xf numFmtId="4" fontId="45" fillId="36" borderId="97" applyNumberFormat="0" applyProtection="0">
      <alignment horizontal="right" vertical="center"/>
    </xf>
    <xf numFmtId="0" fontId="82" fillId="33" borderId="117" applyNumberFormat="0" applyProtection="0">
      <alignment horizontal="left" vertical="top" indent="1"/>
    </xf>
    <xf numFmtId="0" fontId="96" fillId="29" borderId="98" applyNumberFormat="0" applyAlignment="0" applyProtection="0"/>
    <xf numFmtId="4" fontId="45" fillId="35" borderId="110" applyNumberFormat="0" applyProtection="0">
      <alignment horizontal="right" vertical="center"/>
    </xf>
    <xf numFmtId="4" fontId="45" fillId="46" borderId="113" applyNumberFormat="0" applyProtection="0">
      <alignment horizontal="left" vertical="center" indent="1"/>
    </xf>
    <xf numFmtId="0" fontId="88" fillId="29" borderId="97" applyNumberFormat="0" applyAlignment="0" applyProtection="0"/>
    <xf numFmtId="4" fontId="45" fillId="41" borderId="104" applyNumberFormat="0" applyProtection="0">
      <alignment horizontal="right" vertical="center"/>
    </xf>
    <xf numFmtId="4" fontId="81" fillId="52" borderId="106" applyNumberFormat="0" applyProtection="0">
      <alignment vertical="center"/>
    </xf>
    <xf numFmtId="4" fontId="45" fillId="42" borderId="110" applyNumberFormat="0" applyProtection="0">
      <alignment horizontal="right" vertical="center"/>
    </xf>
    <xf numFmtId="0" fontId="45" fillId="26" borderId="97" applyNumberFormat="0" applyFont="0" applyAlignment="0" applyProtection="0"/>
    <xf numFmtId="4" fontId="45" fillId="35" borderId="97" applyNumberFormat="0" applyProtection="0">
      <alignment horizontal="right" vertical="center"/>
    </xf>
    <xf numFmtId="4" fontId="45" fillId="42" borderId="97" applyNumberFormat="0" applyProtection="0">
      <alignment horizontal="right" vertical="center"/>
    </xf>
    <xf numFmtId="4" fontId="45" fillId="46" borderId="100" applyNumberFormat="0" applyProtection="0">
      <alignment horizontal="left" vertical="center" indent="1"/>
    </xf>
    <xf numFmtId="4" fontId="45" fillId="41" borderId="97" applyNumberFormat="0" applyProtection="0">
      <alignment horizontal="right" vertical="center"/>
    </xf>
    <xf numFmtId="4" fontId="45" fillId="47" borderId="100" applyNumberFormat="0" applyProtection="0">
      <alignment horizontal="left" vertical="center" indent="1"/>
    </xf>
    <xf numFmtId="0" fontId="81" fillId="46" borderId="106" applyNumberFormat="0" applyProtection="0">
      <alignment horizontal="left" vertical="top" indent="1"/>
    </xf>
    <xf numFmtId="4" fontId="45" fillId="33" borderId="123" applyNumberFormat="0" applyProtection="0">
      <alignment vertical="center"/>
    </xf>
    <xf numFmtId="0" fontId="96" fillId="29" borderId="105" applyNumberFormat="0" applyAlignment="0" applyProtection="0"/>
    <xf numFmtId="0" fontId="88" fillId="29" borderId="104" applyNumberFormat="0" applyAlignment="0" applyProtection="0"/>
    <xf numFmtId="0" fontId="96" fillId="29" borderId="124" applyNumberFormat="0" applyAlignment="0" applyProtection="0"/>
    <xf numFmtId="4" fontId="45" fillId="35" borderId="129" applyNumberFormat="0" applyProtection="0">
      <alignment horizontal="right" vertical="center"/>
    </xf>
    <xf numFmtId="0" fontId="45" fillId="50" borderId="99" applyNumberFormat="0" applyProtection="0">
      <alignment horizontal="left" vertical="top" indent="1"/>
    </xf>
    <xf numFmtId="0" fontId="45" fillId="47" borderId="97" applyNumberFormat="0" applyProtection="0">
      <alignment horizontal="left" vertical="center" indent="1"/>
    </xf>
    <xf numFmtId="0" fontId="45" fillId="47" borderId="99" applyNumberFormat="0" applyProtection="0">
      <alignment horizontal="left" vertical="top" indent="1"/>
    </xf>
    <xf numFmtId="0" fontId="45" fillId="46" borderId="117" applyNumberFormat="0" applyProtection="0">
      <alignment horizontal="left" vertical="top" indent="1"/>
    </xf>
    <xf numFmtId="0" fontId="80" fillId="45" borderId="101" applyBorder="0"/>
    <xf numFmtId="4" fontId="81" fillId="52" borderId="99" applyNumberFormat="0" applyProtection="0">
      <alignment vertical="center"/>
    </xf>
    <xf numFmtId="0" fontId="45" fillId="48" borderId="151" applyNumberFormat="0" applyProtection="0">
      <alignment horizontal="left" vertical="center" indent="1"/>
    </xf>
    <xf numFmtId="4" fontId="81" fillId="48" borderId="99" applyNumberFormat="0" applyProtection="0">
      <alignment horizontal="left" vertical="center" indent="1"/>
    </xf>
    <xf numFmtId="0" fontId="81" fillId="52" borderId="99" applyNumberFormat="0" applyProtection="0">
      <alignment horizontal="left" vertical="top" indent="1"/>
    </xf>
    <xf numFmtId="4" fontId="45" fillId="0" borderId="97" applyNumberFormat="0" applyProtection="0">
      <alignment horizontal="right" vertical="center"/>
    </xf>
    <xf numFmtId="4" fontId="99" fillId="5" borderId="97" applyNumberFormat="0" applyProtection="0">
      <alignment horizontal="right" vertical="center"/>
    </xf>
    <xf numFmtId="4" fontId="45" fillId="34" borderId="97" applyNumberFormat="0" applyProtection="0">
      <alignment horizontal="left" vertical="center" indent="1"/>
    </xf>
    <xf numFmtId="0" fontId="81" fillId="46" borderId="99" applyNumberFormat="0" applyProtection="0">
      <alignment horizontal="left" vertical="top" indent="1"/>
    </xf>
    <xf numFmtId="4" fontId="83" fillId="54" borderId="100" applyNumberFormat="0" applyProtection="0">
      <alignment horizontal="left" vertical="center" indent="1"/>
    </xf>
    <xf numFmtId="4" fontId="45" fillId="42" borderId="104" applyNumberFormat="0" applyProtection="0">
      <alignment horizontal="right" vertical="center"/>
    </xf>
    <xf numFmtId="4" fontId="84" fillId="51" borderId="97" applyNumberFormat="0" applyProtection="0">
      <alignment horizontal="right" vertical="center"/>
    </xf>
    <xf numFmtId="0" fontId="45" fillId="45" borderId="106" applyNumberFormat="0" applyProtection="0">
      <alignment horizontal="left" vertical="top" indent="1"/>
    </xf>
    <xf numFmtId="0" fontId="90" fillId="0" borderId="102" applyNumberFormat="0" applyFill="0" applyAlignment="0" applyProtection="0"/>
    <xf numFmtId="4" fontId="45" fillId="33" borderId="104" applyNumberFormat="0" applyProtection="0">
      <alignment vertical="center"/>
    </xf>
    <xf numFmtId="4" fontId="11" fillId="45" borderId="113" applyNumberFormat="0" applyProtection="0">
      <alignment horizontal="left" vertical="center" indent="1"/>
    </xf>
    <xf numFmtId="4" fontId="45" fillId="2" borderId="110" applyNumberFormat="0" applyProtection="0">
      <alignment horizontal="left" vertical="center" indent="1"/>
    </xf>
    <xf numFmtId="4" fontId="45" fillId="47" borderId="143" applyNumberFormat="0" applyProtection="0">
      <alignment horizontal="left" vertical="center" indent="1"/>
    </xf>
    <xf numFmtId="4" fontId="45" fillId="33" borderId="140" applyNumberFormat="0" applyProtection="0">
      <alignment vertical="center"/>
    </xf>
    <xf numFmtId="4" fontId="99" fillId="2" borderId="104" applyNumberFormat="0" applyProtection="0">
      <alignment vertical="center"/>
    </xf>
    <xf numFmtId="4" fontId="45" fillId="41" borderId="123" applyNumberFormat="0" applyProtection="0">
      <alignment horizontal="right" vertical="center"/>
    </xf>
    <xf numFmtId="4" fontId="45" fillId="38" borderId="104" applyNumberFormat="0" applyProtection="0">
      <alignment horizontal="right" vertical="center"/>
    </xf>
    <xf numFmtId="4" fontId="45" fillId="36" borderId="104" applyNumberFormat="0" applyProtection="0">
      <alignment horizontal="right" vertical="center"/>
    </xf>
    <xf numFmtId="0" fontId="45" fillId="46" borderId="106" applyNumberFormat="0" applyProtection="0">
      <alignment horizontal="left" vertical="top" indent="1"/>
    </xf>
    <xf numFmtId="0" fontId="80" fillId="45" borderId="108" applyBorder="0"/>
    <xf numFmtId="0" fontId="45" fillId="50" borderId="104" applyNumberFormat="0" applyProtection="0">
      <alignment horizontal="left" vertical="center" indent="1"/>
    </xf>
    <xf numFmtId="4" fontId="45" fillId="37" borderId="107" applyNumberFormat="0" applyProtection="0">
      <alignment horizontal="right" vertical="center"/>
    </xf>
    <xf numFmtId="4" fontId="45" fillId="44" borderId="118" applyNumberFormat="0" applyProtection="0">
      <alignment horizontal="left" vertical="center" indent="1"/>
    </xf>
    <xf numFmtId="4" fontId="45" fillId="43" borderId="151" applyNumberFormat="0" applyProtection="0">
      <alignment horizontal="right" vertical="center"/>
    </xf>
    <xf numFmtId="4" fontId="99" fillId="2" borderId="110" applyNumberFormat="0" applyProtection="0">
      <alignment vertical="center"/>
    </xf>
    <xf numFmtId="4" fontId="45" fillId="37" borderId="113" applyNumberFormat="0" applyProtection="0">
      <alignment horizontal="right" vertical="center"/>
    </xf>
    <xf numFmtId="4" fontId="83" fillId="54" borderId="121" applyNumberFormat="0" applyProtection="0">
      <alignment horizontal="left" vertical="center" indent="1"/>
    </xf>
    <xf numFmtId="4" fontId="45" fillId="40" borderId="110" applyNumberFormat="0" applyProtection="0">
      <alignment horizontal="right" vertical="center"/>
    </xf>
    <xf numFmtId="4" fontId="45" fillId="46" borderId="107" applyNumberFormat="0" applyProtection="0">
      <alignment horizontal="left" vertical="center" indent="1"/>
    </xf>
    <xf numFmtId="4" fontId="45" fillId="35" borderId="158" applyNumberFormat="0" applyProtection="0">
      <alignment horizontal="right" vertical="center"/>
    </xf>
    <xf numFmtId="0" fontId="94" fillId="27" borderId="104" applyNumberFormat="0" applyAlignment="0" applyProtection="0"/>
    <xf numFmtId="0" fontId="45" fillId="48" borderId="110" applyNumberFormat="0" applyProtection="0">
      <alignment horizontal="left" vertical="center" indent="1"/>
    </xf>
    <xf numFmtId="4" fontId="45" fillId="43" borderId="110" applyNumberFormat="0" applyProtection="0">
      <alignment horizontal="right" vertical="center"/>
    </xf>
    <xf numFmtId="0" fontId="90" fillId="0" borderId="109" applyNumberFormat="0" applyFill="0" applyAlignment="0" applyProtection="0"/>
    <xf numFmtId="0" fontId="45" fillId="46" borderId="112" applyNumberFormat="0" applyProtection="0">
      <alignment horizontal="left" vertical="top" indent="1"/>
    </xf>
    <xf numFmtId="0" fontId="45" fillId="50" borderId="110" applyNumberFormat="0" applyProtection="0">
      <alignment horizontal="left" vertical="center" indent="1"/>
    </xf>
    <xf numFmtId="0" fontId="45" fillId="45" borderId="112" applyNumberFormat="0" applyProtection="0">
      <alignment horizontal="left" vertical="top" indent="1"/>
    </xf>
    <xf numFmtId="4" fontId="11" fillId="45" borderId="132" applyNumberFormat="0" applyProtection="0">
      <alignment horizontal="left" vertical="center" indent="1"/>
    </xf>
    <xf numFmtId="4" fontId="45" fillId="46" borderId="123" applyNumberFormat="0" applyProtection="0">
      <alignment horizontal="right" vertical="center"/>
    </xf>
    <xf numFmtId="4" fontId="83" fillId="54" borderId="126" applyNumberFormat="0" applyProtection="0">
      <alignment horizontal="left" vertical="center" indent="1"/>
    </xf>
    <xf numFmtId="4" fontId="45" fillId="34" borderId="123" applyNumberFormat="0" applyProtection="0">
      <alignment horizontal="left" vertical="center" indent="1"/>
    </xf>
    <xf numFmtId="4" fontId="45" fillId="43" borderId="140" applyNumberFormat="0" applyProtection="0">
      <alignment horizontal="right" vertical="center"/>
    </xf>
    <xf numFmtId="4" fontId="11" fillId="45" borderId="126" applyNumberFormat="0" applyProtection="0">
      <alignment horizontal="left" vertical="center" indent="1"/>
    </xf>
    <xf numFmtId="4" fontId="45" fillId="47" borderId="121" applyNumberFormat="0" applyProtection="0">
      <alignment horizontal="left" vertical="center" indent="1"/>
    </xf>
    <xf numFmtId="4" fontId="11" fillId="45" borderId="126" applyNumberFormat="0" applyProtection="0">
      <alignment horizontal="left" vertical="center" indent="1"/>
    </xf>
    <xf numFmtId="0" fontId="94" fillId="27" borderId="129" applyNumberFormat="0" applyAlignment="0" applyProtection="0"/>
    <xf numFmtId="0" fontId="45" fillId="45" borderId="125" applyNumberFormat="0" applyProtection="0">
      <alignment horizontal="left" vertical="top" indent="1"/>
    </xf>
    <xf numFmtId="4" fontId="11" fillId="45" borderId="132" applyNumberFormat="0" applyProtection="0">
      <alignment horizontal="left" vertical="center" indent="1"/>
    </xf>
    <xf numFmtId="0" fontId="81" fillId="46" borderId="125" applyNumberFormat="0" applyProtection="0">
      <alignment horizontal="left" vertical="top" indent="1"/>
    </xf>
    <xf numFmtId="0" fontId="96" fillId="29" borderId="130" applyNumberFormat="0" applyAlignment="0" applyProtection="0"/>
    <xf numFmtId="4" fontId="83" fillId="54" borderId="143" applyNumberFormat="0" applyProtection="0">
      <alignment horizontal="left" vertical="center" indent="1"/>
    </xf>
    <xf numFmtId="0" fontId="45" fillId="45" borderId="117" applyNumberFormat="0" applyProtection="0">
      <alignment horizontal="left" vertical="top" indent="1"/>
    </xf>
    <xf numFmtId="4" fontId="45" fillId="46" borderId="121" applyNumberFormat="0" applyProtection="0">
      <alignment horizontal="left" vertical="center" indent="1"/>
    </xf>
    <xf numFmtId="4" fontId="45" fillId="44" borderId="148" applyNumberFormat="0" applyProtection="0">
      <alignment horizontal="left" vertical="center" indent="1"/>
    </xf>
    <xf numFmtId="4" fontId="45" fillId="34" borderId="110" applyNumberFormat="0" applyProtection="0">
      <alignment horizontal="left" vertical="center" indent="1"/>
    </xf>
    <xf numFmtId="4" fontId="81" fillId="48" borderId="125" applyNumberFormat="0" applyProtection="0">
      <alignment horizontal="left" vertical="center" indent="1"/>
    </xf>
    <xf numFmtId="0" fontId="88" fillId="29" borderId="140" applyNumberFormat="0" applyAlignment="0" applyProtection="0"/>
    <xf numFmtId="4" fontId="45" fillId="38" borderId="129" applyNumberFormat="0" applyProtection="0">
      <alignment horizontal="right" vertical="center"/>
    </xf>
    <xf numFmtId="4" fontId="81" fillId="48" borderId="106" applyNumberFormat="0" applyProtection="0">
      <alignment horizontal="left" vertical="center" indent="1"/>
    </xf>
    <xf numFmtId="4" fontId="45" fillId="0" borderId="104" applyNumberFormat="0" applyProtection="0">
      <alignment horizontal="right" vertical="center"/>
    </xf>
    <xf numFmtId="0" fontId="45" fillId="47" borderId="106" applyNumberFormat="0" applyProtection="0">
      <alignment horizontal="left" vertical="top" indent="1"/>
    </xf>
    <xf numFmtId="0" fontId="45" fillId="50" borderId="106" applyNumberFormat="0" applyProtection="0">
      <alignment horizontal="left" vertical="top" indent="1"/>
    </xf>
    <xf numFmtId="0" fontId="45" fillId="47" borderId="104" applyNumberFormat="0" applyProtection="0">
      <alignment horizontal="left" vertical="center" indent="1"/>
    </xf>
    <xf numFmtId="0" fontId="81" fillId="52" borderId="106" applyNumberFormat="0" applyProtection="0">
      <alignment horizontal="left" vertical="top" indent="1"/>
    </xf>
    <xf numFmtId="4" fontId="84" fillId="51" borderId="104" applyNumberFormat="0" applyProtection="0">
      <alignment horizontal="right" vertical="center"/>
    </xf>
    <xf numFmtId="4" fontId="45" fillId="36" borderId="110" applyNumberFormat="0" applyProtection="0">
      <alignment horizontal="right" vertical="center"/>
    </xf>
    <xf numFmtId="4" fontId="45" fillId="40" borderId="129" applyNumberFormat="0" applyProtection="0">
      <alignment horizontal="right" vertical="center"/>
    </xf>
    <xf numFmtId="4" fontId="45" fillId="47" borderId="113" applyNumberFormat="0" applyProtection="0">
      <alignment horizontal="left" vertical="center" indent="1"/>
    </xf>
    <xf numFmtId="0" fontId="45" fillId="26" borderId="123" applyNumberFormat="0" applyFont="0" applyAlignment="0" applyProtection="0"/>
    <xf numFmtId="4" fontId="45" fillId="41" borderId="110" applyNumberFormat="0" applyProtection="0">
      <alignment horizontal="right" vertical="center"/>
    </xf>
    <xf numFmtId="4" fontId="45" fillId="40" borderId="123" applyNumberFormat="0" applyProtection="0">
      <alignment horizontal="right" vertical="center"/>
    </xf>
    <xf numFmtId="4" fontId="11" fillId="45" borderId="107" applyNumberFormat="0" applyProtection="0">
      <alignment horizontal="left" vertical="center" indent="1"/>
    </xf>
    <xf numFmtId="4" fontId="45" fillId="42" borderId="129" applyNumberFormat="0" applyProtection="0">
      <alignment horizontal="right" vertical="center"/>
    </xf>
    <xf numFmtId="4" fontId="11" fillId="45" borderId="107" applyNumberFormat="0" applyProtection="0">
      <alignment horizontal="left" vertical="center" indent="1"/>
    </xf>
    <xf numFmtId="4" fontId="45" fillId="44" borderId="107" applyNumberFormat="0" applyProtection="0">
      <alignment horizontal="left" vertical="center" indent="1"/>
    </xf>
    <xf numFmtId="4" fontId="45" fillId="43" borderId="104" applyNumberFormat="0" applyProtection="0">
      <alignment horizontal="right" vertical="center"/>
    </xf>
    <xf numFmtId="0" fontId="45" fillId="48" borderId="129" applyNumberFormat="0" applyProtection="0">
      <alignment horizontal="left" vertical="center" indent="1"/>
    </xf>
    <xf numFmtId="0" fontId="45" fillId="50" borderId="112" applyNumberFormat="0" applyProtection="0">
      <alignment horizontal="left" vertical="top" indent="1"/>
    </xf>
    <xf numFmtId="0" fontId="45" fillId="47" borderId="110" applyNumberFormat="0" applyProtection="0">
      <alignment horizontal="left" vertical="center" indent="1"/>
    </xf>
    <xf numFmtId="0" fontId="45" fillId="47" borderId="112" applyNumberFormat="0" applyProtection="0">
      <alignment horizontal="left" vertical="top" indent="1"/>
    </xf>
    <xf numFmtId="4" fontId="81" fillId="52" borderId="125" applyNumberFormat="0" applyProtection="0">
      <alignment vertical="center"/>
    </xf>
    <xf numFmtId="0" fontId="80" fillId="45" borderId="114" applyBorder="0"/>
    <xf numFmtId="4" fontId="81" fillId="52" borderId="112" applyNumberFormat="0" applyProtection="0">
      <alignment vertical="center"/>
    </xf>
    <xf numFmtId="0" fontId="80" fillId="45" borderId="127" applyBorder="0"/>
    <xf numFmtId="4" fontId="81" fillId="48" borderId="112" applyNumberFormat="0" applyProtection="0">
      <alignment horizontal="left" vertical="center" indent="1"/>
    </xf>
    <xf numFmtId="0" fontId="81" fillId="52" borderId="112" applyNumberFormat="0" applyProtection="0">
      <alignment horizontal="left" vertical="top" indent="1"/>
    </xf>
    <xf numFmtId="4" fontId="45" fillId="0" borderId="110" applyNumberFormat="0" applyProtection="0">
      <alignment horizontal="right" vertical="center"/>
    </xf>
    <xf numFmtId="4" fontId="99" fillId="5" borderId="110" applyNumberFormat="0" applyProtection="0">
      <alignment horizontal="right" vertical="center"/>
    </xf>
    <xf numFmtId="4" fontId="45" fillId="34" borderId="110" applyNumberFormat="0" applyProtection="0">
      <alignment horizontal="left" vertical="center" indent="1"/>
    </xf>
    <xf numFmtId="0" fontId="81" fillId="46" borderId="112" applyNumberFormat="0" applyProtection="0">
      <alignment horizontal="left" vertical="top" indent="1"/>
    </xf>
    <xf numFmtId="4" fontId="83" fillId="54" borderId="113" applyNumberFormat="0" applyProtection="0">
      <alignment horizontal="left" vertical="center" indent="1"/>
    </xf>
    <xf numFmtId="4" fontId="11" fillId="45" borderId="161" applyNumberFormat="0" applyProtection="0">
      <alignment horizontal="left" vertical="center" indent="1"/>
    </xf>
    <xf numFmtId="4" fontId="84" fillId="51" borderId="110" applyNumberFormat="0" applyProtection="0">
      <alignment horizontal="right" vertical="center"/>
    </xf>
    <xf numFmtId="4" fontId="45" fillId="37" borderId="166" applyNumberFormat="0" applyProtection="0">
      <alignment horizontal="right" vertical="center"/>
    </xf>
    <xf numFmtId="0" fontId="90" fillId="0" borderId="115" applyNumberFormat="0" applyFill="0" applyAlignment="0" applyProtection="0"/>
    <xf numFmtId="0" fontId="45" fillId="46" borderId="125" applyNumberFormat="0" applyProtection="0">
      <alignment horizontal="left" vertical="top" indent="1"/>
    </xf>
    <xf numFmtId="4" fontId="45" fillId="0" borderId="140" applyNumberFormat="0" applyProtection="0">
      <alignment horizontal="right" vertical="center"/>
    </xf>
    <xf numFmtId="4" fontId="11" fillId="45" borderId="137" applyNumberFormat="0" applyProtection="0">
      <alignment horizontal="left" vertical="center" indent="1"/>
    </xf>
    <xf numFmtId="0" fontId="45" fillId="45" borderId="177" applyNumberFormat="0" applyProtection="0">
      <alignment horizontal="left" vertical="top" indent="1"/>
    </xf>
    <xf numFmtId="0" fontId="88" fillId="29" borderId="129" applyNumberFormat="0" applyAlignment="0" applyProtection="0"/>
    <xf numFmtId="0" fontId="45" fillId="49" borderId="123" applyNumberFormat="0" applyProtection="0">
      <alignment horizontal="left" vertical="center" indent="1"/>
    </xf>
    <xf numFmtId="0" fontId="96" fillId="29" borderId="116" applyNumberFormat="0" applyAlignment="0" applyProtection="0"/>
    <xf numFmtId="4" fontId="99" fillId="2" borderId="123" applyNumberFormat="0" applyProtection="0">
      <alignment vertical="center"/>
    </xf>
    <xf numFmtId="0" fontId="82" fillId="33" borderId="125" applyNumberFormat="0" applyProtection="0">
      <alignment horizontal="left" vertical="top" indent="1"/>
    </xf>
    <xf numFmtId="4" fontId="99" fillId="2" borderId="129" applyNumberFormat="0" applyProtection="0">
      <alignment vertical="center"/>
    </xf>
    <xf numFmtId="4" fontId="45" fillId="39" borderId="129" applyNumberFormat="0" applyProtection="0">
      <alignment horizontal="right" vertical="center"/>
    </xf>
    <xf numFmtId="4" fontId="45" fillId="2" borderId="129" applyNumberFormat="0" applyProtection="0">
      <alignment horizontal="left" vertical="center" indent="1"/>
    </xf>
    <xf numFmtId="4" fontId="45" fillId="2" borderId="123" applyNumberFormat="0" applyProtection="0">
      <alignment horizontal="left" vertical="center" indent="1"/>
    </xf>
    <xf numFmtId="4" fontId="45" fillId="34" borderId="123" applyNumberFormat="0" applyProtection="0">
      <alignment horizontal="left" vertical="center" indent="1"/>
    </xf>
    <xf numFmtId="0" fontId="82" fillId="33" borderId="153" applyNumberFormat="0" applyProtection="0">
      <alignment horizontal="left" vertical="top" indent="1"/>
    </xf>
    <xf numFmtId="0" fontId="45" fillId="26" borderId="129" applyNumberFormat="0" applyFont="0" applyAlignment="0" applyProtection="0"/>
    <xf numFmtId="4" fontId="45" fillId="46" borderId="118" applyNumberFormat="0" applyProtection="0">
      <alignment horizontal="left" vertical="center" indent="1"/>
    </xf>
    <xf numFmtId="4" fontId="45" fillId="46" borderId="132" applyNumberFormat="0" applyProtection="0">
      <alignment horizontal="left" vertical="center" indent="1"/>
    </xf>
    <xf numFmtId="4" fontId="45" fillId="47" borderId="118" applyNumberFormat="0" applyProtection="0">
      <alignment horizontal="left" vertical="center" indent="1"/>
    </xf>
    <xf numFmtId="4" fontId="11" fillId="45" borderId="157" applyNumberFormat="0" applyProtection="0">
      <alignment horizontal="left" vertical="center" indent="1"/>
    </xf>
    <xf numFmtId="0" fontId="45" fillId="50" borderId="129" applyNumberFormat="0" applyProtection="0">
      <alignment horizontal="left" vertical="center" indent="1"/>
    </xf>
    <xf numFmtId="0" fontId="82" fillId="33" borderId="165" applyNumberFormat="0" applyProtection="0">
      <alignment horizontal="left" vertical="top" indent="1"/>
    </xf>
    <xf numFmtId="0" fontId="45" fillId="45" borderId="131" applyNumberFormat="0" applyProtection="0">
      <alignment horizontal="left" vertical="top" indent="1"/>
    </xf>
    <xf numFmtId="0" fontId="45" fillId="48" borderId="140" applyNumberFormat="0" applyProtection="0">
      <alignment horizontal="left" vertical="center" indent="1"/>
    </xf>
    <xf numFmtId="0" fontId="45" fillId="46" borderId="131" applyNumberFormat="0" applyProtection="0">
      <alignment horizontal="left" vertical="top" indent="1"/>
    </xf>
    <xf numFmtId="0" fontId="45" fillId="50" borderId="117" applyNumberFormat="0" applyProtection="0">
      <alignment horizontal="left" vertical="top" indent="1"/>
    </xf>
    <xf numFmtId="4" fontId="45" fillId="42" borderId="123" applyNumberFormat="0" applyProtection="0">
      <alignment horizontal="right" vertical="center"/>
    </xf>
    <xf numFmtId="0" fontId="45" fillId="47" borderId="117" applyNumberFormat="0" applyProtection="0">
      <alignment horizontal="left" vertical="top" indent="1"/>
    </xf>
    <xf numFmtId="0" fontId="81" fillId="52" borderId="142" applyNumberFormat="0" applyProtection="0">
      <alignment horizontal="left" vertical="top" indent="1"/>
    </xf>
    <xf numFmtId="0" fontId="80" fillId="45" borderId="119" applyBorder="0"/>
    <xf numFmtId="4" fontId="81" fillId="52" borderId="117" applyNumberFormat="0" applyProtection="0">
      <alignment vertical="center"/>
    </xf>
    <xf numFmtId="4" fontId="45" fillId="43" borderId="123" applyNumberFormat="0" applyProtection="0">
      <alignment horizontal="right" vertical="center"/>
    </xf>
    <xf numFmtId="4" fontId="81" fillId="48" borderId="117" applyNumberFormat="0" applyProtection="0">
      <alignment horizontal="left" vertical="center" indent="1"/>
    </xf>
    <xf numFmtId="0" fontId="81" fillId="52" borderId="117" applyNumberFormat="0" applyProtection="0">
      <alignment horizontal="left" vertical="top" indent="1"/>
    </xf>
    <xf numFmtId="4" fontId="11" fillId="45" borderId="161" applyNumberFormat="0" applyProtection="0">
      <alignment horizontal="left" vertical="center" indent="1"/>
    </xf>
    <xf numFmtId="0" fontId="45" fillId="46" borderId="147" applyNumberFormat="0" applyProtection="0">
      <alignment horizontal="left" vertical="top" indent="1"/>
    </xf>
    <xf numFmtId="4" fontId="45" fillId="37" borderId="137" applyNumberFormat="0" applyProtection="0">
      <alignment horizontal="right" vertical="center"/>
    </xf>
    <xf numFmtId="0" fontId="81" fillId="46" borderId="117" applyNumberFormat="0" applyProtection="0">
      <alignment horizontal="left" vertical="top" indent="1"/>
    </xf>
    <xf numFmtId="4" fontId="83" fillId="54" borderId="118" applyNumberFormat="0" applyProtection="0">
      <alignment horizontal="left" vertical="center" indent="1"/>
    </xf>
    <xf numFmtId="4" fontId="11" fillId="45" borderId="137" applyNumberFormat="0" applyProtection="0">
      <alignment horizontal="left" vertical="center" indent="1"/>
    </xf>
    <xf numFmtId="4" fontId="45" fillId="35" borderId="123" applyNumberFormat="0" applyProtection="0">
      <alignment horizontal="right" vertical="center"/>
    </xf>
    <xf numFmtId="4" fontId="45" fillId="44" borderId="126" applyNumberFormat="0" applyProtection="0">
      <alignment horizontal="left" vertical="center" indent="1"/>
    </xf>
    <xf numFmtId="0" fontId="90" fillId="0" borderId="120" applyNumberFormat="0" applyFill="0" applyAlignment="0" applyProtection="0"/>
    <xf numFmtId="4" fontId="45" fillId="44" borderId="137" applyNumberFormat="0" applyProtection="0">
      <alignment horizontal="left" vertical="center" indent="1"/>
    </xf>
    <xf numFmtId="4" fontId="84" fillId="51" borderId="140" applyNumberFormat="0" applyProtection="0">
      <alignment horizontal="right" vertical="center"/>
    </xf>
    <xf numFmtId="4" fontId="45" fillId="46" borderId="140" applyNumberFormat="0" applyProtection="0">
      <alignment horizontal="right" vertical="center"/>
    </xf>
    <xf numFmtId="4" fontId="45" fillId="42" borderId="151" applyNumberFormat="0" applyProtection="0">
      <alignment horizontal="right" vertical="center"/>
    </xf>
    <xf numFmtId="0" fontId="81" fillId="52" borderId="153" applyNumberFormat="0" applyProtection="0">
      <alignment horizontal="left" vertical="top" indent="1"/>
    </xf>
    <xf numFmtId="4" fontId="45" fillId="46" borderId="129" applyNumberFormat="0" applyProtection="0">
      <alignment horizontal="right" vertical="center"/>
    </xf>
    <xf numFmtId="0" fontId="45" fillId="49" borderId="129" applyNumberFormat="0" applyProtection="0">
      <alignment horizontal="left" vertical="center" indent="1"/>
    </xf>
    <xf numFmtId="4" fontId="45" fillId="44" borderId="121" applyNumberFormat="0" applyProtection="0">
      <alignment horizontal="left" vertical="center" indent="1"/>
    </xf>
    <xf numFmtId="4" fontId="11" fillId="45" borderId="121" applyNumberFormat="0" applyProtection="0">
      <alignment horizontal="left" vertical="center" indent="1"/>
    </xf>
    <xf numFmtId="4" fontId="45" fillId="33" borderId="129" applyNumberFormat="0" applyProtection="0">
      <alignment vertical="center"/>
    </xf>
    <xf numFmtId="4" fontId="45" fillId="37" borderId="121" applyNumberFormat="0" applyProtection="0">
      <alignment horizontal="right" vertical="center"/>
    </xf>
    <xf numFmtId="0" fontId="82" fillId="33" borderId="131" applyNumberFormat="0" applyProtection="0">
      <alignment horizontal="left" vertical="top" indent="1"/>
    </xf>
    <xf numFmtId="4" fontId="11" fillId="45" borderId="121" applyNumberFormat="0" applyProtection="0">
      <alignment horizontal="left" vertical="center" indent="1"/>
    </xf>
    <xf numFmtId="4" fontId="45" fillId="44" borderId="132" applyNumberFormat="0" applyProtection="0">
      <alignment horizontal="left" vertical="center" indent="1"/>
    </xf>
    <xf numFmtId="0" fontId="82" fillId="33" borderId="147" applyNumberFormat="0" applyProtection="0">
      <alignment horizontal="left" vertical="top" indent="1"/>
    </xf>
    <xf numFmtId="4" fontId="45" fillId="34" borderId="151" applyNumberFormat="0" applyProtection="0">
      <alignment horizontal="left" vertical="center" indent="1"/>
    </xf>
    <xf numFmtId="4" fontId="45" fillId="2" borderId="140" applyNumberFormat="0" applyProtection="0">
      <alignment horizontal="left" vertical="center" indent="1"/>
    </xf>
    <xf numFmtId="0" fontId="45" fillId="45" borderId="136" applyNumberFormat="0" applyProtection="0">
      <alignment horizontal="left" vertical="top" indent="1"/>
    </xf>
    <xf numFmtId="0" fontId="96" fillId="29" borderId="141" applyNumberFormat="0" applyAlignment="0" applyProtection="0"/>
    <xf numFmtId="4" fontId="84" fillId="51" borderId="151" applyNumberFormat="0" applyProtection="0">
      <alignment horizontal="right" vertical="center"/>
    </xf>
    <xf numFmtId="4" fontId="45" fillId="42" borderId="158" applyNumberFormat="0" applyProtection="0">
      <alignment horizontal="right" vertical="center"/>
    </xf>
    <xf numFmtId="4" fontId="45" fillId="46" borderId="151" applyNumberFormat="0" applyProtection="0">
      <alignment horizontal="right" vertical="center"/>
    </xf>
    <xf numFmtId="0" fontId="94" fillId="27" borderId="123" applyNumberFormat="0" applyAlignment="0" applyProtection="0"/>
    <xf numFmtId="0" fontId="45" fillId="46" borderId="136" applyNumberFormat="0" applyProtection="0">
      <alignment horizontal="left" vertical="top" indent="1"/>
    </xf>
    <xf numFmtId="4" fontId="45" fillId="0" borderId="123" applyNumberFormat="0" applyProtection="0">
      <alignment horizontal="right" vertical="center"/>
    </xf>
    <xf numFmtId="0" fontId="45" fillId="50" borderId="125" applyNumberFormat="0" applyProtection="0">
      <alignment horizontal="left" vertical="top" indent="1"/>
    </xf>
    <xf numFmtId="0" fontId="45" fillId="47" borderId="125" applyNumberFormat="0" applyProtection="0">
      <alignment horizontal="left" vertical="top" indent="1"/>
    </xf>
    <xf numFmtId="0" fontId="45" fillId="48" borderId="123" applyNumberFormat="0" applyProtection="0">
      <alignment horizontal="left" vertical="center" indent="1"/>
    </xf>
    <xf numFmtId="4" fontId="45" fillId="47" borderId="126" applyNumberFormat="0" applyProtection="0">
      <alignment horizontal="left" vertical="center" indent="1"/>
    </xf>
    <xf numFmtId="4" fontId="45" fillId="46" borderId="126" applyNumberFormat="0" applyProtection="0">
      <alignment horizontal="left" vertical="center" indent="1"/>
    </xf>
    <xf numFmtId="0" fontId="45" fillId="47" borderId="123" applyNumberFormat="0" applyProtection="0">
      <alignment horizontal="left" vertical="center" indent="1"/>
    </xf>
    <xf numFmtId="0" fontId="81" fillId="52" borderId="125" applyNumberFormat="0" applyProtection="0">
      <alignment horizontal="left" vertical="top" indent="1"/>
    </xf>
    <xf numFmtId="4" fontId="84" fillId="51" borderId="123" applyNumberFormat="0" applyProtection="0">
      <alignment horizontal="right" vertical="center"/>
    </xf>
    <xf numFmtId="4" fontId="45" fillId="36" borderId="129" applyNumberFormat="0" applyProtection="0">
      <alignment horizontal="right" vertical="center"/>
    </xf>
    <xf numFmtId="4" fontId="45" fillId="42" borderId="140" applyNumberFormat="0" applyProtection="0">
      <alignment horizontal="right" vertical="center"/>
    </xf>
    <xf numFmtId="4" fontId="45" fillId="34" borderId="129" applyNumberFormat="0" applyProtection="0">
      <alignment horizontal="left" vertical="center" indent="1"/>
    </xf>
    <xf numFmtId="4" fontId="83" fillId="54" borderId="154" applyNumberFormat="0" applyProtection="0">
      <alignment horizontal="left" vertical="center" indent="1"/>
    </xf>
    <xf numFmtId="0" fontId="80" fillId="45" borderId="162" applyBorder="0"/>
    <xf numFmtId="4" fontId="45" fillId="39" borderId="123" applyNumberFormat="0" applyProtection="0">
      <alignment horizontal="right" vertical="center"/>
    </xf>
    <xf numFmtId="0" fontId="45" fillId="26" borderId="158" applyNumberFormat="0" applyFont="0" applyAlignment="0" applyProtection="0"/>
    <xf numFmtId="4" fontId="45" fillId="38" borderId="123" applyNumberFormat="0" applyProtection="0">
      <alignment horizontal="right" vertical="center"/>
    </xf>
    <xf numFmtId="4" fontId="45" fillId="37" borderId="126" applyNumberFormat="0" applyProtection="0">
      <alignment horizontal="right" vertical="center"/>
    </xf>
    <xf numFmtId="4" fontId="45" fillId="36" borderId="123" applyNumberFormat="0" applyProtection="0">
      <alignment horizontal="right" vertical="center"/>
    </xf>
    <xf numFmtId="4" fontId="45" fillId="41" borderId="129" applyNumberFormat="0" applyProtection="0">
      <alignment horizontal="right" vertical="center"/>
    </xf>
    <xf numFmtId="4" fontId="45" fillId="47" borderId="132" applyNumberFormat="0" applyProtection="0">
      <alignment horizontal="left" vertical="center" indent="1"/>
    </xf>
    <xf numFmtId="4" fontId="45" fillId="46" borderId="143" applyNumberFormat="0" applyProtection="0">
      <alignment horizontal="left" vertical="center" indent="1"/>
    </xf>
    <xf numFmtId="4" fontId="45" fillId="44" borderId="166" applyNumberFormat="0" applyProtection="0">
      <alignment horizontal="left" vertical="center" indent="1"/>
    </xf>
    <xf numFmtId="4" fontId="45" fillId="35" borderId="169" applyNumberFormat="0" applyProtection="0">
      <alignment horizontal="right" vertical="center"/>
    </xf>
    <xf numFmtId="4" fontId="45" fillId="37" borderId="148" applyNumberFormat="0" applyProtection="0">
      <alignment horizontal="right" vertical="center"/>
    </xf>
    <xf numFmtId="0" fontId="82" fillId="33" borderId="136" applyNumberFormat="0" applyProtection="0">
      <alignment horizontal="left" vertical="top" indent="1"/>
    </xf>
    <xf numFmtId="4" fontId="45" fillId="40" borderId="217" applyNumberFormat="0" applyProtection="0">
      <alignment horizontal="right" vertical="center"/>
    </xf>
    <xf numFmtId="0" fontId="45" fillId="50" borderId="131" applyNumberFormat="0" applyProtection="0">
      <alignment horizontal="left" vertical="top" indent="1"/>
    </xf>
    <xf numFmtId="0" fontId="45" fillId="47" borderId="129" applyNumberFormat="0" applyProtection="0">
      <alignment horizontal="left" vertical="center" indent="1"/>
    </xf>
    <xf numFmtId="0" fontId="45" fillId="47" borderId="131" applyNumberFormat="0" applyProtection="0">
      <alignment horizontal="left" vertical="top" indent="1"/>
    </xf>
    <xf numFmtId="0" fontId="88" fillId="29" borderId="151" applyNumberFormat="0" applyAlignment="0" applyProtection="0"/>
    <xf numFmtId="0" fontId="80" fillId="45" borderId="133" applyBorder="0"/>
    <xf numFmtId="4" fontId="81" fillId="52" borderId="131" applyNumberFormat="0" applyProtection="0">
      <alignment vertical="center"/>
    </xf>
    <xf numFmtId="0" fontId="45" fillId="50" borderId="160" applyNumberFormat="0" applyProtection="0">
      <alignment horizontal="left" vertical="top" indent="1"/>
    </xf>
    <xf numFmtId="4" fontId="81" fillId="48" borderId="131" applyNumberFormat="0" applyProtection="0">
      <alignment horizontal="left" vertical="center" indent="1"/>
    </xf>
    <xf numFmtId="0" fontId="81" fillId="52" borderId="131" applyNumberFormat="0" applyProtection="0">
      <alignment horizontal="left" vertical="top" indent="1"/>
    </xf>
    <xf numFmtId="4" fontId="45" fillId="0" borderId="129" applyNumberFormat="0" applyProtection="0">
      <alignment horizontal="right" vertical="center"/>
    </xf>
    <xf numFmtId="4" fontId="99" fillId="5" borderId="129" applyNumberFormat="0" applyProtection="0">
      <alignment horizontal="right" vertical="center"/>
    </xf>
    <xf numFmtId="4" fontId="45" fillId="34" borderId="129" applyNumberFormat="0" applyProtection="0">
      <alignment horizontal="left" vertical="center" indent="1"/>
    </xf>
    <xf numFmtId="0" fontId="81" fillId="46" borderId="131" applyNumberFormat="0" applyProtection="0">
      <alignment horizontal="left" vertical="top" indent="1"/>
    </xf>
    <xf numFmtId="4" fontId="83" fillId="54" borderId="132" applyNumberFormat="0" applyProtection="0">
      <alignment horizontal="left" vertical="center" indent="1"/>
    </xf>
    <xf numFmtId="4" fontId="45" fillId="0" borderId="193" applyNumberFormat="0" applyProtection="0">
      <alignment horizontal="right" vertical="center"/>
    </xf>
    <xf numFmtId="4" fontId="84" fillId="51" borderId="129" applyNumberFormat="0" applyProtection="0">
      <alignment horizontal="right" vertical="center"/>
    </xf>
    <xf numFmtId="0" fontId="82" fillId="33" borderId="142" applyNumberFormat="0" applyProtection="0">
      <alignment horizontal="left" vertical="top" indent="1"/>
    </xf>
    <xf numFmtId="0" fontId="90" fillId="0" borderId="134" applyNumberFormat="0" applyFill="0" applyAlignment="0" applyProtection="0"/>
    <xf numFmtId="4" fontId="45" fillId="41" borderId="169" applyNumberFormat="0" applyProtection="0">
      <alignment horizontal="right" vertical="center"/>
    </xf>
    <xf numFmtId="0" fontId="45" fillId="26" borderId="199" applyNumberFormat="0" applyFont="0" applyAlignment="0" applyProtection="0"/>
    <xf numFmtId="4" fontId="45" fillId="33" borderId="151" applyNumberFormat="0" applyProtection="0">
      <alignment vertical="center"/>
    </xf>
    <xf numFmtId="4" fontId="11" fillId="45" borderId="148" applyNumberFormat="0" applyProtection="0">
      <alignment horizontal="left" vertical="center" indent="1"/>
    </xf>
    <xf numFmtId="4" fontId="81" fillId="48" borderId="160" applyNumberFormat="0" applyProtection="0">
      <alignment horizontal="left" vertical="center" indent="1"/>
    </xf>
    <xf numFmtId="4" fontId="11" fillId="45" borderId="184" applyNumberFormat="0" applyProtection="0">
      <alignment horizontal="left" vertical="center" indent="1"/>
    </xf>
    <xf numFmtId="0" fontId="96" fillId="29" borderId="135" applyNumberFormat="0" applyAlignment="0" applyProtection="0"/>
    <xf numFmtId="4" fontId="45" fillId="36" borderId="158" applyNumberFormat="0" applyProtection="0">
      <alignment horizontal="right" vertical="center"/>
    </xf>
    <xf numFmtId="4" fontId="45" fillId="0" borderId="151" applyNumberFormat="0" applyProtection="0">
      <alignment horizontal="right" vertical="center"/>
    </xf>
    <xf numFmtId="4" fontId="45" fillId="35" borderId="140" applyNumberFormat="0" applyProtection="0">
      <alignment horizontal="right" vertical="center"/>
    </xf>
    <xf numFmtId="4" fontId="45" fillId="41" borderId="140" applyNumberFormat="0" applyProtection="0">
      <alignment horizontal="right" vertical="center"/>
    </xf>
    <xf numFmtId="4" fontId="45" fillId="36" borderId="140" applyNumberFormat="0" applyProtection="0">
      <alignment horizontal="right" vertical="center"/>
    </xf>
    <xf numFmtId="4" fontId="84" fillId="51" borderId="169" applyNumberFormat="0" applyProtection="0">
      <alignment horizontal="right" vertical="center"/>
    </xf>
    <xf numFmtId="4" fontId="45" fillId="39" borderId="175" applyNumberFormat="0" applyProtection="0">
      <alignment horizontal="right" vertical="center"/>
    </xf>
    <xf numFmtId="4" fontId="11" fillId="45" borderId="148" applyNumberFormat="0" applyProtection="0">
      <alignment horizontal="left" vertical="center" indent="1"/>
    </xf>
    <xf numFmtId="0" fontId="45" fillId="45" borderId="147" applyNumberFormat="0" applyProtection="0">
      <alignment horizontal="left" vertical="top" indent="1"/>
    </xf>
    <xf numFmtId="4" fontId="45" fillId="46" borderId="137" applyNumberFormat="0" applyProtection="0">
      <alignment horizontal="left" vertical="center" indent="1"/>
    </xf>
    <xf numFmtId="4" fontId="45" fillId="34" borderId="193" applyNumberFormat="0" applyProtection="0">
      <alignment horizontal="left" vertical="center" indent="1"/>
    </xf>
    <xf numFmtId="4" fontId="45" fillId="47" borderId="137" applyNumberFormat="0" applyProtection="0">
      <alignment horizontal="left" vertical="center" indent="1"/>
    </xf>
    <xf numFmtId="4" fontId="99" fillId="2" borderId="140" applyNumberFormat="0" applyProtection="0">
      <alignment vertical="center"/>
    </xf>
    <xf numFmtId="0" fontId="45" fillId="50" borderId="142" applyNumberFormat="0" applyProtection="0">
      <alignment horizontal="left" vertical="top" indent="1"/>
    </xf>
    <xf numFmtId="0" fontId="45" fillId="50" borderId="158" applyNumberFormat="0" applyProtection="0">
      <alignment horizontal="left" vertical="center" indent="1"/>
    </xf>
    <xf numFmtId="0" fontId="45" fillId="47" borderId="140" applyNumberFormat="0" applyProtection="0">
      <alignment horizontal="left" vertical="center" indent="1"/>
    </xf>
    <xf numFmtId="0" fontId="45" fillId="47" borderId="142" applyNumberFormat="0" applyProtection="0">
      <alignment horizontal="left" vertical="top" indent="1"/>
    </xf>
    <xf numFmtId="0" fontId="45" fillId="50" borderId="140" applyNumberFormat="0" applyProtection="0">
      <alignment horizontal="left" vertical="center" indent="1"/>
    </xf>
    <xf numFmtId="0" fontId="45" fillId="50" borderId="136" applyNumberFormat="0" applyProtection="0">
      <alignment horizontal="left" vertical="top" indent="1"/>
    </xf>
    <xf numFmtId="4" fontId="45" fillId="46" borderId="154" applyNumberFormat="0" applyProtection="0">
      <alignment horizontal="left" vertical="center" indent="1"/>
    </xf>
    <xf numFmtId="0" fontId="45" fillId="47" borderId="136" applyNumberFormat="0" applyProtection="0">
      <alignment horizontal="left" vertical="top" indent="1"/>
    </xf>
    <xf numFmtId="4" fontId="45" fillId="2" borderId="151" applyNumberFormat="0" applyProtection="0">
      <alignment horizontal="left" vertical="center" indent="1"/>
    </xf>
    <xf numFmtId="0" fontId="80" fillId="45" borderId="138" applyBorder="0"/>
    <xf numFmtId="4" fontId="81" fillId="52" borderId="136" applyNumberFormat="0" applyProtection="0">
      <alignment vertical="center"/>
    </xf>
    <xf numFmtId="4" fontId="45" fillId="47" borderId="154" applyNumberFormat="0" applyProtection="0">
      <alignment horizontal="left" vertical="center" indent="1"/>
    </xf>
    <xf numFmtId="4" fontId="81" fillId="48" borderId="136" applyNumberFormat="0" applyProtection="0">
      <alignment horizontal="left" vertical="center" indent="1"/>
    </xf>
    <xf numFmtId="0" fontId="81" fillId="52" borderId="136" applyNumberFormat="0" applyProtection="0">
      <alignment horizontal="left" vertical="top" indent="1"/>
    </xf>
    <xf numFmtId="0" fontId="88" fillId="29" borderId="169" applyNumberFormat="0" applyAlignment="0" applyProtection="0"/>
    <xf numFmtId="0" fontId="82" fillId="33" borderId="160" applyNumberFormat="0" applyProtection="0">
      <alignment horizontal="left" vertical="top" indent="1"/>
    </xf>
    <xf numFmtId="0" fontId="96" fillId="29" borderId="152" applyNumberFormat="0" applyAlignment="0" applyProtection="0"/>
    <xf numFmtId="0" fontId="81" fillId="46" borderId="136" applyNumberFormat="0" applyProtection="0">
      <alignment horizontal="left" vertical="top" indent="1"/>
    </xf>
    <xf numFmtId="4" fontId="83" fillId="54" borderId="137" applyNumberFormat="0" applyProtection="0">
      <alignment horizontal="left" vertical="center" indent="1"/>
    </xf>
    <xf numFmtId="4" fontId="11" fillId="45" borderId="184" applyNumberFormat="0" applyProtection="0">
      <alignment horizontal="left" vertical="center" indent="1"/>
    </xf>
    <xf numFmtId="4" fontId="81" fillId="48" borderId="153" applyNumberFormat="0" applyProtection="0">
      <alignment horizontal="left" vertical="center" indent="1"/>
    </xf>
    <xf numFmtId="4" fontId="45" fillId="40" borderId="151" applyNumberFormat="0" applyProtection="0">
      <alignment horizontal="right" vertical="center"/>
    </xf>
    <xf numFmtId="0" fontId="90" fillId="0" borderId="139" applyNumberFormat="0" applyFill="0" applyAlignment="0" applyProtection="0"/>
    <xf numFmtId="0" fontId="45" fillId="46" borderId="177" applyNumberFormat="0" applyProtection="0">
      <alignment horizontal="left" vertical="top" indent="1"/>
    </xf>
    <xf numFmtId="0" fontId="88" fillId="29" borderId="158" applyNumberFormat="0" applyAlignment="0" applyProtection="0"/>
    <xf numFmtId="0" fontId="81" fillId="46" borderId="142" applyNumberFormat="0" applyProtection="0">
      <alignment horizontal="left" vertical="top" indent="1"/>
    </xf>
    <xf numFmtId="0" fontId="96" fillId="29" borderId="200" applyNumberFormat="0" applyAlignment="0" applyProtection="0"/>
    <xf numFmtId="4" fontId="81" fillId="52" borderId="142" applyNumberFormat="0" applyProtection="0">
      <alignment vertical="center"/>
    </xf>
    <xf numFmtId="0" fontId="45" fillId="45" borderId="142" applyNumberFormat="0" applyProtection="0">
      <alignment horizontal="left" vertical="top" indent="1"/>
    </xf>
    <xf numFmtId="0" fontId="45" fillId="46" borderId="142" applyNumberFormat="0" applyProtection="0">
      <alignment horizontal="left" vertical="top" indent="1"/>
    </xf>
    <xf numFmtId="4" fontId="45" fillId="44" borderId="143" applyNumberFormat="0" applyProtection="0">
      <alignment horizontal="left" vertical="center" indent="1"/>
    </xf>
    <xf numFmtId="4" fontId="11" fillId="45" borderId="143" applyNumberFormat="0" applyProtection="0">
      <alignment horizontal="left" vertical="center" indent="1"/>
    </xf>
    <xf numFmtId="4" fontId="45" fillId="39" borderId="140" applyNumberFormat="0" applyProtection="0">
      <alignment horizontal="right" vertical="center"/>
    </xf>
    <xf numFmtId="4" fontId="45" fillId="37" borderId="143" applyNumberFormat="0" applyProtection="0">
      <alignment horizontal="right" vertical="center"/>
    </xf>
    <xf numFmtId="4" fontId="45" fillId="38" borderId="140" applyNumberFormat="0" applyProtection="0">
      <alignment horizontal="right" vertical="center"/>
    </xf>
    <xf numFmtId="4" fontId="11" fillId="45" borderId="143" applyNumberFormat="0" applyProtection="0">
      <alignment horizontal="left" vertical="center" indent="1"/>
    </xf>
    <xf numFmtId="0" fontId="45" fillId="49" borderId="140" applyNumberFormat="0" applyProtection="0">
      <alignment horizontal="left" vertical="center" indent="1"/>
    </xf>
    <xf numFmtId="0" fontId="80" fillId="45" borderId="144" applyBorder="0"/>
    <xf numFmtId="4" fontId="45" fillId="34" borderId="140" applyNumberFormat="0" applyProtection="0">
      <alignment horizontal="left" vertical="center" indent="1"/>
    </xf>
    <xf numFmtId="4" fontId="45" fillId="34" borderId="158" applyNumberFormat="0" applyProtection="0">
      <alignment horizontal="left" vertical="center" indent="1"/>
    </xf>
    <xf numFmtId="4" fontId="99" fillId="5" borderId="140" applyNumberFormat="0" applyProtection="0">
      <alignment horizontal="right" vertical="center"/>
    </xf>
    <xf numFmtId="0" fontId="90" fillId="0" borderId="145" applyNumberFormat="0" applyFill="0" applyAlignment="0" applyProtection="0"/>
    <xf numFmtId="0" fontId="45" fillId="49" borderId="253" applyNumberFormat="0" applyProtection="0">
      <alignment horizontal="left" vertical="center" indent="1"/>
    </xf>
    <xf numFmtId="0" fontId="45" fillId="26" borderId="140" applyNumberFormat="0" applyFont="0" applyAlignment="0" applyProtection="0"/>
    <xf numFmtId="4" fontId="45" fillId="44" borderId="157" applyNumberFormat="0" applyProtection="0">
      <alignment horizontal="left" vertical="center" indent="1"/>
    </xf>
    <xf numFmtId="0" fontId="94" fillId="27" borderId="158" applyNumberFormat="0" applyAlignment="0" applyProtection="0"/>
    <xf numFmtId="4" fontId="45" fillId="40" borderId="175" applyNumberFormat="0" applyProtection="0">
      <alignment horizontal="right" vertical="center"/>
    </xf>
    <xf numFmtId="0" fontId="94" fillId="27" borderId="140" applyNumberFormat="0" applyAlignment="0" applyProtection="0"/>
    <xf numFmtId="0" fontId="96" fillId="29" borderId="146" applyNumberFormat="0" applyAlignment="0" applyProtection="0"/>
    <xf numFmtId="4" fontId="45" fillId="40" borderId="181" applyNumberFormat="0" applyProtection="0">
      <alignment horizontal="right" vertical="center"/>
    </xf>
    <xf numFmtId="4" fontId="11" fillId="45" borderId="178" applyNumberFormat="0" applyProtection="0">
      <alignment horizontal="left" vertical="center" indent="1"/>
    </xf>
    <xf numFmtId="4" fontId="45" fillId="35" borderId="151" applyNumberFormat="0" applyProtection="0">
      <alignment horizontal="right" vertical="center"/>
    </xf>
    <xf numFmtId="4" fontId="45" fillId="41" borderId="151" applyNumberFormat="0" applyProtection="0">
      <alignment horizontal="right" vertical="center"/>
    </xf>
    <xf numFmtId="4" fontId="45" fillId="36" borderId="151" applyNumberFormat="0" applyProtection="0">
      <alignment horizontal="right" vertical="center"/>
    </xf>
    <xf numFmtId="4" fontId="45" fillId="46" borderId="205" applyNumberFormat="0" applyProtection="0">
      <alignment horizontal="right" vertical="center"/>
    </xf>
    <xf numFmtId="4" fontId="45" fillId="34" borderId="169" applyNumberFormat="0" applyProtection="0">
      <alignment horizontal="left" vertical="center" indent="1"/>
    </xf>
    <xf numFmtId="4" fontId="11" fillId="45" borderId="157" applyNumberFormat="0" applyProtection="0">
      <alignment horizontal="left" vertical="center" indent="1"/>
    </xf>
    <xf numFmtId="4" fontId="11" fillId="45" borderId="166" applyNumberFormat="0" applyProtection="0">
      <alignment horizontal="left" vertical="center" indent="1"/>
    </xf>
    <xf numFmtId="4" fontId="45" fillId="46" borderId="148" applyNumberFormat="0" applyProtection="0">
      <alignment horizontal="left" vertical="center" indent="1"/>
    </xf>
    <xf numFmtId="4" fontId="83" fillId="54" borderId="196" applyNumberFormat="0" applyProtection="0">
      <alignment horizontal="left" vertical="center" indent="1"/>
    </xf>
    <xf numFmtId="4" fontId="45" fillId="47" borderId="148" applyNumberFormat="0" applyProtection="0">
      <alignment horizontal="left" vertical="center" indent="1"/>
    </xf>
    <xf numFmtId="4" fontId="99" fillId="2" borderId="151" applyNumberFormat="0" applyProtection="0">
      <alignment vertical="center"/>
    </xf>
    <xf numFmtId="0" fontId="45" fillId="50" borderId="153" applyNumberFormat="0" applyProtection="0">
      <alignment horizontal="left" vertical="top" indent="1"/>
    </xf>
    <xf numFmtId="4" fontId="45" fillId="36" borderId="175" applyNumberFormat="0" applyProtection="0">
      <alignment horizontal="right" vertical="center"/>
    </xf>
    <xf numFmtId="0" fontId="45" fillId="47" borderId="151" applyNumberFormat="0" applyProtection="0">
      <alignment horizontal="left" vertical="center" indent="1"/>
    </xf>
    <xf numFmtId="0" fontId="45" fillId="47" borderId="153" applyNumberFormat="0" applyProtection="0">
      <alignment horizontal="left" vertical="top" indent="1"/>
    </xf>
    <xf numFmtId="0" fontId="45" fillId="50" borderId="151" applyNumberFormat="0" applyProtection="0">
      <alignment horizontal="left" vertical="center" indent="1"/>
    </xf>
    <xf numFmtId="0" fontId="45" fillId="50" borderId="147" applyNumberFormat="0" applyProtection="0">
      <alignment horizontal="left" vertical="top" indent="1"/>
    </xf>
    <xf numFmtId="4" fontId="45" fillId="34" borderId="199" applyNumberFormat="0" applyProtection="0">
      <alignment horizontal="left" vertical="center" indent="1"/>
    </xf>
    <xf numFmtId="0" fontId="45" fillId="47" borderId="147" applyNumberFormat="0" applyProtection="0">
      <alignment horizontal="left" vertical="top" indent="1"/>
    </xf>
    <xf numFmtId="4" fontId="45" fillId="44" borderId="161" applyNumberFormat="0" applyProtection="0">
      <alignment horizontal="left" vertical="center" indent="1"/>
    </xf>
    <xf numFmtId="0" fontId="80" fillId="45" borderId="149" applyBorder="0"/>
    <xf numFmtId="4" fontId="81" fillId="52" borderId="147" applyNumberFormat="0" applyProtection="0">
      <alignment vertical="center"/>
    </xf>
    <xf numFmtId="4" fontId="81" fillId="52" borderId="160" applyNumberFormat="0" applyProtection="0">
      <alignment vertical="center"/>
    </xf>
    <xf numFmtId="4" fontId="81" fillId="48" borderId="147" applyNumberFormat="0" applyProtection="0">
      <alignment horizontal="left" vertical="center" indent="1"/>
    </xf>
    <xf numFmtId="0" fontId="81" fillId="52" borderId="147" applyNumberFormat="0" applyProtection="0">
      <alignment horizontal="left" vertical="top" indent="1"/>
    </xf>
    <xf numFmtId="4" fontId="45" fillId="42" borderId="169" applyNumberFormat="0" applyProtection="0">
      <alignment horizontal="right" vertical="center"/>
    </xf>
    <xf numFmtId="4" fontId="83" fillId="54" borderId="172" applyNumberFormat="0" applyProtection="0">
      <alignment horizontal="left" vertical="center" indent="1"/>
    </xf>
    <xf numFmtId="4" fontId="45" fillId="41" borderId="158" applyNumberFormat="0" applyProtection="0">
      <alignment horizontal="right" vertical="center"/>
    </xf>
    <xf numFmtId="0" fontId="81" fillId="46" borderId="147" applyNumberFormat="0" applyProtection="0">
      <alignment horizontal="left" vertical="top" indent="1"/>
    </xf>
    <xf numFmtId="4" fontId="83" fillId="54" borderId="148" applyNumberFormat="0" applyProtection="0">
      <alignment horizontal="left" vertical="center" indent="1"/>
    </xf>
    <xf numFmtId="4" fontId="45" fillId="44" borderId="184" applyNumberFormat="0" applyProtection="0">
      <alignment horizontal="left" vertical="center" indent="1"/>
    </xf>
    <xf numFmtId="4" fontId="45" fillId="2" borderId="193" applyNumberFormat="0" applyProtection="0">
      <alignment horizontal="left" vertical="center" indent="1"/>
    </xf>
    <xf numFmtId="0" fontId="45" fillId="49" borderId="158" applyNumberFormat="0" applyProtection="0">
      <alignment horizontal="left" vertical="center" indent="1"/>
    </xf>
    <xf numFmtId="0" fontId="90" fillId="0" borderId="150" applyNumberFormat="0" applyFill="0" applyAlignment="0" applyProtection="0"/>
    <xf numFmtId="4" fontId="11" fillId="45" borderId="178" applyNumberFormat="0" applyProtection="0">
      <alignment horizontal="left" vertical="center" indent="1"/>
    </xf>
    <xf numFmtId="4" fontId="11" fillId="45" borderId="166" applyNumberFormat="0" applyProtection="0">
      <alignment horizontal="left" vertical="center" indent="1"/>
    </xf>
    <xf numFmtId="0" fontId="81" fillId="46" borderId="153" applyNumberFormat="0" applyProtection="0">
      <alignment horizontal="left" vertical="top" indent="1"/>
    </xf>
    <xf numFmtId="4" fontId="45" fillId="2" borderId="205" applyNumberFormat="0" applyProtection="0">
      <alignment horizontal="left" vertical="center" indent="1"/>
    </xf>
    <xf numFmtId="4" fontId="81" fillId="52" borderId="153" applyNumberFormat="0" applyProtection="0">
      <alignment vertical="center"/>
    </xf>
    <xf numFmtId="0" fontId="45" fillId="45" borderId="153" applyNumberFormat="0" applyProtection="0">
      <alignment horizontal="left" vertical="top" indent="1"/>
    </xf>
    <xf numFmtId="0" fontId="45" fillId="46" borderId="153" applyNumberFormat="0" applyProtection="0">
      <alignment horizontal="left" vertical="top" indent="1"/>
    </xf>
    <xf numFmtId="4" fontId="45" fillId="44" borderId="154" applyNumberFormat="0" applyProtection="0">
      <alignment horizontal="left" vertical="center" indent="1"/>
    </xf>
    <xf numFmtId="4" fontId="11" fillId="45" borderId="154" applyNumberFormat="0" applyProtection="0">
      <alignment horizontal="left" vertical="center" indent="1"/>
    </xf>
    <xf numFmtId="4" fontId="45" fillId="39" borderId="151" applyNumberFormat="0" applyProtection="0">
      <alignment horizontal="right" vertical="center"/>
    </xf>
    <xf numFmtId="4" fontId="45" fillId="37" borderId="154" applyNumberFormat="0" applyProtection="0">
      <alignment horizontal="right" vertical="center"/>
    </xf>
    <xf numFmtId="4" fontId="45" fillId="38" borderId="151" applyNumberFormat="0" applyProtection="0">
      <alignment horizontal="right" vertical="center"/>
    </xf>
    <xf numFmtId="4" fontId="11" fillId="45" borderId="154" applyNumberFormat="0" applyProtection="0">
      <alignment horizontal="left" vertical="center" indent="1"/>
    </xf>
    <xf numFmtId="0" fontId="45" fillId="49" borderId="151" applyNumberFormat="0" applyProtection="0">
      <alignment horizontal="left" vertical="center" indent="1"/>
    </xf>
    <xf numFmtId="0" fontId="80" fillId="45" borderId="155" applyBorder="0"/>
    <xf numFmtId="4" fontId="45" fillId="34" borderId="151" applyNumberFormat="0" applyProtection="0">
      <alignment horizontal="left" vertical="center" indent="1"/>
    </xf>
    <xf numFmtId="4" fontId="45" fillId="34" borderId="175" applyNumberFormat="0" applyProtection="0">
      <alignment horizontal="left" vertical="center" indent="1"/>
    </xf>
    <xf numFmtId="4" fontId="99" fillId="5" borderId="151" applyNumberFormat="0" applyProtection="0">
      <alignment horizontal="right" vertical="center"/>
    </xf>
    <xf numFmtId="0" fontId="90" fillId="0" borderId="156" applyNumberFormat="0" applyFill="0" applyAlignment="0" applyProtection="0"/>
    <xf numFmtId="0" fontId="96" fillId="29" borderId="159" applyNumberFormat="0" applyAlignment="0" applyProtection="0"/>
    <xf numFmtId="0" fontId="45" fillId="26" borderId="151" applyNumberFormat="0" applyFont="0" applyAlignment="0" applyProtection="0"/>
    <xf numFmtId="4" fontId="45" fillId="37" borderId="178" applyNumberFormat="0" applyProtection="0">
      <alignment horizontal="right" vertical="center"/>
    </xf>
    <xf numFmtId="0" fontId="45" fillId="50" borderId="175" applyNumberFormat="0" applyProtection="0">
      <alignment horizontal="left" vertical="center" indent="1"/>
    </xf>
    <xf numFmtId="4" fontId="45" fillId="46" borderId="166" applyNumberFormat="0" applyProtection="0">
      <alignment horizontal="left" vertical="center" indent="1"/>
    </xf>
    <xf numFmtId="0" fontId="94" fillId="27" borderId="151" applyNumberFormat="0" applyAlignment="0" applyProtection="0"/>
    <xf numFmtId="4" fontId="45" fillId="43" borderId="169" applyNumberFormat="0" applyProtection="0">
      <alignment horizontal="right" vertical="center"/>
    </xf>
    <xf numFmtId="4" fontId="45" fillId="2" borderId="158" applyNumberFormat="0" applyProtection="0">
      <alignment horizontal="left" vertical="center" indent="1"/>
    </xf>
    <xf numFmtId="4" fontId="45" fillId="33" borderId="158" applyNumberFormat="0" applyProtection="0">
      <alignment vertical="center"/>
    </xf>
    <xf numFmtId="4" fontId="45" fillId="46" borderId="158" applyNumberFormat="0" applyProtection="0">
      <alignment horizontal="right" vertical="center"/>
    </xf>
    <xf numFmtId="0" fontId="45" fillId="46" borderId="160" applyNumberFormat="0" applyProtection="0">
      <alignment horizontal="left" vertical="top" indent="1"/>
    </xf>
    <xf numFmtId="4" fontId="45" fillId="47" borderId="161" applyNumberFormat="0" applyProtection="0">
      <alignment horizontal="left" vertical="center" indent="1"/>
    </xf>
    <xf numFmtId="4" fontId="99" fillId="2" borderId="158" applyNumberFormat="0" applyProtection="0">
      <alignment vertical="center"/>
    </xf>
    <xf numFmtId="0" fontId="81" fillId="52" borderId="171" applyNumberFormat="0" applyProtection="0">
      <alignment horizontal="left" vertical="top" indent="1"/>
    </xf>
    <xf numFmtId="4" fontId="45" fillId="39" borderId="181" applyNumberFormat="0" applyProtection="0">
      <alignment horizontal="right" vertical="center"/>
    </xf>
    <xf numFmtId="0" fontId="45" fillId="49" borderId="175" applyNumberFormat="0" applyProtection="0">
      <alignment horizontal="left" vertical="center" indent="1"/>
    </xf>
    <xf numFmtId="4" fontId="45" fillId="46" borderId="157" applyNumberFormat="0" applyProtection="0">
      <alignment horizontal="left" vertical="center" indent="1"/>
    </xf>
    <xf numFmtId="4" fontId="45" fillId="44" borderId="178" applyNumberFormat="0" applyProtection="0">
      <alignment horizontal="left" vertical="center" indent="1"/>
    </xf>
    <xf numFmtId="4" fontId="45" fillId="47" borderId="157" applyNumberFormat="0" applyProtection="0">
      <alignment horizontal="left" vertical="center" indent="1"/>
    </xf>
    <xf numFmtId="4" fontId="45" fillId="43" borderId="158" applyNumberFormat="0" applyProtection="0">
      <alignment horizontal="right" vertical="center"/>
    </xf>
    <xf numFmtId="0" fontId="81" fillId="46" borderId="160" applyNumberFormat="0" applyProtection="0">
      <alignment horizontal="left" vertical="top" indent="1"/>
    </xf>
    <xf numFmtId="4" fontId="45" fillId="38" borderId="222" applyNumberFormat="0" applyProtection="0">
      <alignment horizontal="right" vertical="center"/>
    </xf>
    <xf numFmtId="4" fontId="83" fillId="54" borderId="161" applyNumberFormat="0" applyProtection="0">
      <alignment horizontal="left" vertical="center" indent="1"/>
    </xf>
    <xf numFmtId="0" fontId="45" fillId="49" borderId="181" applyNumberFormat="0" applyProtection="0">
      <alignment horizontal="left" vertical="center" indent="1"/>
    </xf>
    <xf numFmtId="4" fontId="45" fillId="34" borderId="158" applyNumberFormat="0" applyProtection="0">
      <alignment horizontal="left" vertical="center" indent="1"/>
    </xf>
    <xf numFmtId="0" fontId="45" fillId="46" borderId="165" applyNumberFormat="0" applyProtection="0">
      <alignment horizontal="left" vertical="top" indent="1"/>
    </xf>
    <xf numFmtId="0" fontId="45" fillId="48" borderId="193" applyNumberFormat="0" applyProtection="0">
      <alignment horizontal="left" vertical="center" indent="1"/>
    </xf>
    <xf numFmtId="0" fontId="45" fillId="45" borderId="165" applyNumberFormat="0" applyProtection="0">
      <alignment horizontal="left" vertical="top" indent="1"/>
    </xf>
    <xf numFmtId="4" fontId="45" fillId="33" borderId="169" applyNumberFormat="0" applyProtection="0">
      <alignment vertical="center"/>
    </xf>
    <xf numFmtId="0" fontId="45" fillId="48" borderId="169" applyNumberFormat="0" applyProtection="0">
      <alignment horizontal="left" vertical="center" indent="1"/>
    </xf>
    <xf numFmtId="4" fontId="45" fillId="2" borderId="175" applyNumberFormat="0" applyProtection="0">
      <alignment horizontal="left" vertical="center" indent="1"/>
    </xf>
    <xf numFmtId="4" fontId="45" fillId="46" borderId="169" applyNumberFormat="0" applyProtection="0">
      <alignment horizontal="right" vertical="center"/>
    </xf>
    <xf numFmtId="4" fontId="45" fillId="46" borderId="208" applyNumberFormat="0" applyProtection="0">
      <alignment horizontal="left" vertical="center" indent="1"/>
    </xf>
    <xf numFmtId="4" fontId="45" fillId="46" borderId="172" applyNumberFormat="0" applyProtection="0">
      <alignment horizontal="left" vertical="center" indent="1"/>
    </xf>
    <xf numFmtId="4" fontId="45" fillId="2" borderId="169" applyNumberFormat="0" applyProtection="0">
      <alignment horizontal="left" vertical="center" indent="1"/>
    </xf>
    <xf numFmtId="4" fontId="45" fillId="47" borderId="172" applyNumberFormat="0" applyProtection="0">
      <alignment horizontal="left" vertical="center" indent="1"/>
    </xf>
    <xf numFmtId="0" fontId="82" fillId="33" borderId="177" applyNumberFormat="0" applyProtection="0">
      <alignment horizontal="left" vertical="top" indent="1"/>
    </xf>
    <xf numFmtId="4" fontId="45" fillId="37" borderId="189" applyNumberFormat="0" applyProtection="0">
      <alignment horizontal="right" vertical="center"/>
    </xf>
    <xf numFmtId="4" fontId="83" fillId="54" borderId="157" applyNumberFormat="0" applyProtection="0">
      <alignment horizontal="left" vertical="center" indent="1"/>
    </xf>
    <xf numFmtId="0" fontId="96" fillId="29" borderId="170" applyNumberFormat="0" applyAlignment="0" applyProtection="0"/>
    <xf numFmtId="4" fontId="45" fillId="33" borderId="175" applyNumberFormat="0" applyProtection="0">
      <alignment vertical="center"/>
    </xf>
    <xf numFmtId="4" fontId="81" fillId="48" borderId="171" applyNumberFormat="0" applyProtection="0">
      <alignment horizontal="left" vertical="center" indent="1"/>
    </xf>
    <xf numFmtId="4" fontId="45" fillId="40" borderId="169" applyNumberFormat="0" applyProtection="0">
      <alignment horizontal="right" vertical="center"/>
    </xf>
    <xf numFmtId="4" fontId="45" fillId="43" borderId="175" applyNumberFormat="0" applyProtection="0">
      <alignment horizontal="right" vertical="center"/>
    </xf>
    <xf numFmtId="4" fontId="99" fillId="2" borderId="175" applyNumberFormat="0" applyProtection="0">
      <alignment vertical="center"/>
    </xf>
    <xf numFmtId="0" fontId="96" fillId="29" borderId="164" applyNumberFormat="0" applyAlignment="0" applyProtection="0"/>
    <xf numFmtId="4" fontId="84" fillId="51" borderId="158" applyNumberFormat="0" applyProtection="0">
      <alignment horizontal="right" vertical="center"/>
    </xf>
    <xf numFmtId="0" fontId="90" fillId="0" borderId="163" applyNumberFormat="0" applyFill="0" applyAlignment="0" applyProtection="0"/>
    <xf numFmtId="0" fontId="81" fillId="52" borderId="160" applyNumberFormat="0" applyProtection="0">
      <alignment horizontal="left" vertical="top" indent="1"/>
    </xf>
    <xf numFmtId="4" fontId="99" fillId="5" borderId="158" applyNumberFormat="0" applyProtection="0">
      <alignment horizontal="right" vertical="center"/>
    </xf>
    <xf numFmtId="0" fontId="45" fillId="47" borderId="158" applyNumberFormat="0" applyProtection="0">
      <alignment horizontal="left" vertical="center" indent="1"/>
    </xf>
    <xf numFmtId="0" fontId="94" fillId="27" borderId="175" applyNumberFormat="0" applyAlignment="0" applyProtection="0"/>
    <xf numFmtId="0" fontId="45" fillId="45" borderId="160" applyNumberFormat="0" applyProtection="0">
      <alignment horizontal="left" vertical="top" indent="1"/>
    </xf>
    <xf numFmtId="4" fontId="45" fillId="46" borderId="161" applyNumberFormat="0" applyProtection="0">
      <alignment horizontal="left" vertical="center" indent="1"/>
    </xf>
    <xf numFmtId="0" fontId="45" fillId="48" borderId="158" applyNumberFormat="0" applyProtection="0">
      <alignment horizontal="left" vertical="center" indent="1"/>
    </xf>
    <xf numFmtId="0" fontId="45" fillId="47" borderId="160" applyNumberFormat="0" applyProtection="0">
      <alignment horizontal="left" vertical="top" indent="1"/>
    </xf>
    <xf numFmtId="4" fontId="45" fillId="0" borderId="158" applyNumberFormat="0" applyProtection="0">
      <alignment horizontal="right" vertical="center"/>
    </xf>
    <xf numFmtId="0" fontId="82" fillId="33" borderId="171" applyNumberFormat="0" applyProtection="0">
      <alignment horizontal="left" vertical="top" indent="1"/>
    </xf>
    <xf numFmtId="4" fontId="11" fillId="45" borderId="208" applyNumberFormat="0" applyProtection="0">
      <alignment horizontal="left" vertical="center" indent="1"/>
    </xf>
    <xf numFmtId="4" fontId="45" fillId="37" borderId="184" applyNumberFormat="0" applyProtection="0">
      <alignment horizontal="right" vertical="center"/>
    </xf>
    <xf numFmtId="4" fontId="45" fillId="46" borderId="175" applyNumberFormat="0" applyProtection="0">
      <alignment horizontal="right" vertical="center"/>
    </xf>
    <xf numFmtId="4" fontId="45" fillId="36" borderId="169" applyNumberFormat="0" applyProtection="0">
      <alignment horizontal="right" vertical="center"/>
    </xf>
    <xf numFmtId="4" fontId="45" fillId="0" borderId="169" applyNumberFormat="0" applyProtection="0">
      <alignment horizontal="right" vertical="center"/>
    </xf>
    <xf numFmtId="4" fontId="45" fillId="40" borderId="158" applyNumberFormat="0" applyProtection="0">
      <alignment horizontal="right" vertical="center"/>
    </xf>
    <xf numFmtId="4" fontId="45" fillId="46" borderId="181" applyNumberFormat="0" applyProtection="0">
      <alignment horizontal="right" vertical="center"/>
    </xf>
    <xf numFmtId="4" fontId="45" fillId="39" borderId="158" applyNumberFormat="0" applyProtection="0">
      <alignment horizontal="right" vertical="center"/>
    </xf>
    <xf numFmtId="4" fontId="45" fillId="38" borderId="158" applyNumberFormat="0" applyProtection="0">
      <alignment horizontal="right" vertical="center"/>
    </xf>
    <xf numFmtId="4" fontId="45" fillId="37" borderId="161" applyNumberFormat="0" applyProtection="0">
      <alignment horizontal="right" vertical="center"/>
    </xf>
    <xf numFmtId="4" fontId="45" fillId="47" borderId="166" applyNumberFormat="0" applyProtection="0">
      <alignment horizontal="left" vertical="center" indent="1"/>
    </xf>
    <xf numFmtId="4" fontId="99" fillId="2" borderId="169" applyNumberFormat="0" applyProtection="0">
      <alignment vertical="center"/>
    </xf>
    <xf numFmtId="0" fontId="45" fillId="50" borderId="171" applyNumberFormat="0" applyProtection="0">
      <alignment horizontal="left" vertical="top" indent="1"/>
    </xf>
    <xf numFmtId="0" fontId="45" fillId="46" borderId="188" applyNumberFormat="0" applyProtection="0">
      <alignment horizontal="left" vertical="top" indent="1"/>
    </xf>
    <xf numFmtId="0" fontId="45" fillId="47" borderId="169" applyNumberFormat="0" applyProtection="0">
      <alignment horizontal="left" vertical="center" indent="1"/>
    </xf>
    <xf numFmtId="0" fontId="45" fillId="47" borderId="171" applyNumberFormat="0" applyProtection="0">
      <alignment horizontal="left" vertical="top" indent="1"/>
    </xf>
    <xf numFmtId="0" fontId="45" fillId="50" borderId="169" applyNumberFormat="0" applyProtection="0">
      <alignment horizontal="left" vertical="center" indent="1"/>
    </xf>
    <xf numFmtId="0" fontId="45" fillId="50" borderId="165" applyNumberFormat="0" applyProtection="0">
      <alignment horizontal="left" vertical="top" indent="1"/>
    </xf>
    <xf numFmtId="0" fontId="94" fillId="27" borderId="181" applyNumberFormat="0" applyAlignment="0" applyProtection="0"/>
    <xf numFmtId="0" fontId="45" fillId="47" borderId="165" applyNumberFormat="0" applyProtection="0">
      <alignment horizontal="left" vertical="top" indent="1"/>
    </xf>
    <xf numFmtId="4" fontId="81" fillId="48" borderId="201" applyNumberFormat="0" applyProtection="0">
      <alignment horizontal="left" vertical="center" indent="1"/>
    </xf>
    <xf numFmtId="0" fontId="80" fillId="45" borderId="167" applyBorder="0"/>
    <xf numFmtId="4" fontId="81" fillId="52" borderId="165" applyNumberFormat="0" applyProtection="0">
      <alignment vertical="center"/>
    </xf>
    <xf numFmtId="4" fontId="45" fillId="41" borderId="222" applyNumberFormat="0" applyProtection="0">
      <alignment horizontal="right" vertical="center"/>
    </xf>
    <xf numFmtId="4" fontId="81" fillId="48" borderId="165" applyNumberFormat="0" applyProtection="0">
      <alignment horizontal="left" vertical="center" indent="1"/>
    </xf>
    <xf numFmtId="0" fontId="81" fillId="52" borderId="165" applyNumberFormat="0" applyProtection="0">
      <alignment horizontal="left" vertical="top" indent="1"/>
    </xf>
    <xf numFmtId="4" fontId="45" fillId="47" borderId="196" applyNumberFormat="0" applyProtection="0">
      <alignment horizontal="left" vertical="center" indent="1"/>
    </xf>
    <xf numFmtId="4" fontId="45" fillId="33" borderId="193" applyNumberFormat="0" applyProtection="0">
      <alignment vertical="center"/>
    </xf>
    <xf numFmtId="0" fontId="88" fillId="29" borderId="205" applyNumberFormat="0" applyAlignment="0" applyProtection="0"/>
    <xf numFmtId="0" fontId="81" fillId="46" borderId="165" applyNumberFormat="0" applyProtection="0">
      <alignment horizontal="left" vertical="top" indent="1"/>
    </xf>
    <xf numFmtId="4" fontId="83" fillId="54" borderId="166" applyNumberFormat="0" applyProtection="0">
      <alignment horizontal="left" vertical="center" indent="1"/>
    </xf>
    <xf numFmtId="0" fontId="88" fillId="29" borderId="199" applyNumberFormat="0" applyAlignment="0" applyProtection="0"/>
    <xf numFmtId="4" fontId="45" fillId="38" borderId="181" applyNumberFormat="0" applyProtection="0">
      <alignment horizontal="right" vertical="center"/>
    </xf>
    <xf numFmtId="4" fontId="45" fillId="43" borderId="193" applyNumberFormat="0" applyProtection="0">
      <alignment horizontal="right" vertical="center"/>
    </xf>
    <xf numFmtId="0" fontId="90" fillId="0" borderId="168" applyNumberFormat="0" applyFill="0" applyAlignment="0" applyProtection="0"/>
    <xf numFmtId="0" fontId="45" fillId="45" borderId="183" applyNumberFormat="0" applyProtection="0">
      <alignment horizontal="left" vertical="top" indent="1"/>
    </xf>
    <xf numFmtId="0" fontId="45" fillId="48" borderId="175" applyNumberFormat="0" applyProtection="0">
      <alignment horizontal="left" vertical="center" indent="1"/>
    </xf>
    <xf numFmtId="0" fontId="81" fillId="46" borderId="171" applyNumberFormat="0" applyProtection="0">
      <alignment horizontal="left" vertical="top" indent="1"/>
    </xf>
    <xf numFmtId="4" fontId="45" fillId="46" borderId="193" applyNumberFormat="0" applyProtection="0">
      <alignment horizontal="right" vertical="center"/>
    </xf>
    <xf numFmtId="4" fontId="81" fillId="52" borderId="171" applyNumberFormat="0" applyProtection="0">
      <alignment vertical="center"/>
    </xf>
    <xf numFmtId="0" fontId="45" fillId="45" borderId="171" applyNumberFormat="0" applyProtection="0">
      <alignment horizontal="left" vertical="top" indent="1"/>
    </xf>
    <xf numFmtId="0" fontId="45" fillId="46" borderId="171" applyNumberFormat="0" applyProtection="0">
      <alignment horizontal="left" vertical="top" indent="1"/>
    </xf>
    <xf numFmtId="4" fontId="45" fillId="44" borderId="172" applyNumberFormat="0" applyProtection="0">
      <alignment horizontal="left" vertical="center" indent="1"/>
    </xf>
    <xf numFmtId="4" fontId="11" fillId="45" borderId="172" applyNumberFormat="0" applyProtection="0">
      <alignment horizontal="left" vertical="center" indent="1"/>
    </xf>
    <xf numFmtId="4" fontId="45" fillId="39" borderId="169" applyNumberFormat="0" applyProtection="0">
      <alignment horizontal="right" vertical="center"/>
    </xf>
    <xf numFmtId="4" fontId="45" fillId="37" borderId="172" applyNumberFormat="0" applyProtection="0">
      <alignment horizontal="right" vertical="center"/>
    </xf>
    <xf numFmtId="4" fontId="45" fillId="38" borderId="169" applyNumberFormat="0" applyProtection="0">
      <alignment horizontal="right" vertical="center"/>
    </xf>
    <xf numFmtId="4" fontId="11" fillId="45" borderId="172" applyNumberFormat="0" applyProtection="0">
      <alignment horizontal="left" vertical="center" indent="1"/>
    </xf>
    <xf numFmtId="0" fontId="45" fillId="49" borderId="169" applyNumberFormat="0" applyProtection="0">
      <alignment horizontal="left" vertical="center" indent="1"/>
    </xf>
    <xf numFmtId="0" fontId="80" fillId="45" borderId="173" applyBorder="0"/>
    <xf numFmtId="4" fontId="45" fillId="34" borderId="169" applyNumberFormat="0" applyProtection="0">
      <alignment horizontal="left" vertical="center" indent="1"/>
    </xf>
    <xf numFmtId="0" fontId="45" fillId="45" borderId="188" applyNumberFormat="0" applyProtection="0">
      <alignment horizontal="left" vertical="top" indent="1"/>
    </xf>
    <xf numFmtId="4" fontId="99" fillId="5" borderId="169" applyNumberFormat="0" applyProtection="0">
      <alignment horizontal="right" vertical="center"/>
    </xf>
    <xf numFmtId="0" fontId="90" fillId="0" borderId="174" applyNumberFormat="0" applyFill="0" applyAlignment="0" applyProtection="0"/>
    <xf numFmtId="4" fontId="45" fillId="44" borderId="189" applyNumberFormat="0" applyProtection="0">
      <alignment horizontal="left" vertical="center" indent="1"/>
    </xf>
    <xf numFmtId="0" fontId="45" fillId="26" borderId="169" applyNumberFormat="0" applyFont="0" applyAlignment="0" applyProtection="0"/>
    <xf numFmtId="4" fontId="45" fillId="38" borderId="175" applyNumberFormat="0" applyProtection="0">
      <alignment horizontal="right" vertical="center"/>
    </xf>
    <xf numFmtId="0" fontId="45" fillId="50" borderId="181" applyNumberFormat="0" applyProtection="0">
      <alignment horizontal="left" vertical="center" indent="1"/>
    </xf>
    <xf numFmtId="0" fontId="45" fillId="46" borderId="183" applyNumberFormat="0" applyProtection="0">
      <alignment horizontal="left" vertical="top" indent="1"/>
    </xf>
    <xf numFmtId="0" fontId="94" fillId="27" borderId="169" applyNumberFormat="0" applyAlignment="0" applyProtection="0"/>
    <xf numFmtId="0" fontId="96" fillId="29" borderId="176" applyNumberFormat="0" applyAlignment="0" applyProtection="0"/>
    <xf numFmtId="4" fontId="11" fillId="45" borderId="189" applyNumberFormat="0" applyProtection="0">
      <alignment horizontal="left" vertical="center" indent="1"/>
    </xf>
    <xf numFmtId="4" fontId="45" fillId="38" borderId="217" applyNumberFormat="0" applyProtection="0">
      <alignment horizontal="right" vertical="center"/>
    </xf>
    <xf numFmtId="0" fontId="88" fillId="29" borderId="175" applyNumberFormat="0" applyAlignment="0" applyProtection="0"/>
    <xf numFmtId="0" fontId="81" fillId="52" borderId="195" applyNumberFormat="0" applyProtection="0">
      <alignment horizontal="left" vertical="top" indent="1"/>
    </xf>
    <xf numFmtId="4" fontId="45" fillId="41" borderId="205" applyNumberFormat="0" applyProtection="0">
      <alignment horizontal="right" vertical="center"/>
    </xf>
    <xf numFmtId="4" fontId="11" fillId="45" borderId="189" applyNumberFormat="0" applyProtection="0">
      <alignment horizontal="left" vertical="center" indent="1"/>
    </xf>
    <xf numFmtId="0" fontId="45" fillId="26" borderId="175" applyNumberFormat="0" applyFont="0" applyAlignment="0" applyProtection="0"/>
    <xf numFmtId="4" fontId="45" fillId="35" borderId="175" applyNumberFormat="0" applyProtection="0">
      <alignment horizontal="right" vertical="center"/>
    </xf>
    <xf numFmtId="4" fontId="45" fillId="42" borderId="175" applyNumberFormat="0" applyProtection="0">
      <alignment horizontal="right" vertical="center"/>
    </xf>
    <xf numFmtId="4" fontId="45" fillId="46" borderId="178" applyNumberFormat="0" applyProtection="0">
      <alignment horizontal="left" vertical="center" indent="1"/>
    </xf>
    <xf numFmtId="4" fontId="45" fillId="41" borderId="175" applyNumberFormat="0" applyProtection="0">
      <alignment horizontal="right" vertical="center"/>
    </xf>
    <xf numFmtId="4" fontId="45" fillId="47" borderId="178" applyNumberFormat="0" applyProtection="0">
      <alignment horizontal="left" vertical="center" indent="1"/>
    </xf>
    <xf numFmtId="0" fontId="88" fillId="29" borderId="193" applyNumberFormat="0" applyAlignment="0" applyProtection="0"/>
    <xf numFmtId="4" fontId="99" fillId="2" borderId="181" applyNumberFormat="0" applyProtection="0">
      <alignment vertical="center"/>
    </xf>
    <xf numFmtId="0" fontId="45" fillId="46" borderId="201" applyNumberFormat="0" applyProtection="0">
      <alignment horizontal="left" vertical="top" indent="1"/>
    </xf>
    <xf numFmtId="4" fontId="45" fillId="2" borderId="181" applyNumberFormat="0" applyProtection="0">
      <alignment horizontal="left" vertical="center" indent="1"/>
    </xf>
    <xf numFmtId="0" fontId="82" fillId="33" borderId="183" applyNumberFormat="0" applyProtection="0">
      <alignment horizontal="left" vertical="top" indent="1"/>
    </xf>
    <xf numFmtId="4" fontId="45" fillId="33" borderId="181" applyNumberFormat="0" applyProtection="0">
      <alignment vertical="center"/>
    </xf>
    <xf numFmtId="0" fontId="45" fillId="50" borderId="177" applyNumberFormat="0" applyProtection="0">
      <alignment horizontal="left" vertical="top" indent="1"/>
    </xf>
    <xf numFmtId="0" fontId="45" fillId="47" borderId="175" applyNumberFormat="0" applyProtection="0">
      <alignment horizontal="left" vertical="center" indent="1"/>
    </xf>
    <xf numFmtId="0" fontId="45" fillId="47" borderId="177" applyNumberFormat="0" applyProtection="0">
      <alignment horizontal="left" vertical="top" indent="1"/>
    </xf>
    <xf numFmtId="0" fontId="96" fillId="29" borderId="194" applyNumberFormat="0" applyAlignment="0" applyProtection="0"/>
    <xf numFmtId="0" fontId="80" fillId="45" borderId="179" applyBorder="0"/>
    <xf numFmtId="4" fontId="81" fillId="52" borderId="177" applyNumberFormat="0" applyProtection="0">
      <alignment vertical="center"/>
    </xf>
    <xf numFmtId="4" fontId="45" fillId="40" borderId="211" applyNumberFormat="0" applyProtection="0">
      <alignment horizontal="right" vertical="center"/>
    </xf>
    <xf numFmtId="4" fontId="81" fillId="48" borderId="177" applyNumberFormat="0" applyProtection="0">
      <alignment horizontal="left" vertical="center" indent="1"/>
    </xf>
    <xf numFmtId="0" fontId="81" fillId="52" borderId="177" applyNumberFormat="0" applyProtection="0">
      <alignment horizontal="left" vertical="top" indent="1"/>
    </xf>
    <xf numFmtId="4" fontId="45" fillId="0" borderId="175" applyNumberFormat="0" applyProtection="0">
      <alignment horizontal="right" vertical="center"/>
    </xf>
    <xf numFmtId="4" fontId="99" fillId="5" borderId="175" applyNumberFormat="0" applyProtection="0">
      <alignment horizontal="right" vertical="center"/>
    </xf>
    <xf numFmtId="4" fontId="45" fillId="34" borderId="175" applyNumberFormat="0" applyProtection="0">
      <alignment horizontal="left" vertical="center" indent="1"/>
    </xf>
    <xf numFmtId="0" fontId="81" fillId="46" borderId="177" applyNumberFormat="0" applyProtection="0">
      <alignment horizontal="left" vertical="top" indent="1"/>
    </xf>
    <xf numFmtId="4" fontId="83" fillId="54" borderId="178" applyNumberFormat="0" applyProtection="0">
      <alignment horizontal="left" vertical="center" indent="1"/>
    </xf>
    <xf numFmtId="4" fontId="81" fillId="48" borderId="195" applyNumberFormat="0" applyProtection="0">
      <alignment horizontal="left" vertical="center" indent="1"/>
    </xf>
    <xf numFmtId="4" fontId="84" fillId="51" borderId="175" applyNumberFormat="0" applyProtection="0">
      <alignment horizontal="right" vertical="center"/>
    </xf>
    <xf numFmtId="4" fontId="45" fillId="40" borderId="193" applyNumberFormat="0" applyProtection="0">
      <alignment horizontal="right" vertical="center"/>
    </xf>
    <xf numFmtId="0" fontId="90" fillId="0" borderId="180" applyNumberFormat="0" applyFill="0" applyAlignment="0" applyProtection="0"/>
    <xf numFmtId="4" fontId="99" fillId="2" borderId="205" applyNumberFormat="0" applyProtection="0">
      <alignment vertical="center"/>
    </xf>
    <xf numFmtId="0" fontId="45" fillId="48" borderId="181" applyNumberFormat="0" applyProtection="0">
      <alignment horizontal="left" vertical="center" indent="1"/>
    </xf>
    <xf numFmtId="4" fontId="45" fillId="43" borderId="181" applyNumberFormat="0" applyProtection="0">
      <alignment horizontal="right" vertical="center"/>
    </xf>
    <xf numFmtId="4" fontId="45" fillId="34" borderId="181" applyNumberFormat="0" applyProtection="0">
      <alignment horizontal="left" vertical="center" indent="1"/>
    </xf>
    <xf numFmtId="4" fontId="45" fillId="36" borderId="181" applyNumberFormat="0" applyProtection="0">
      <alignment horizontal="right" vertical="center"/>
    </xf>
    <xf numFmtId="4" fontId="45" fillId="2" borderId="199" applyNumberFormat="0" applyProtection="0">
      <alignment horizontal="left" vertical="center" indent="1"/>
    </xf>
    <xf numFmtId="0" fontId="96" fillId="29" borderId="182" applyNumberFormat="0" applyAlignment="0" applyProtection="0"/>
    <xf numFmtId="4" fontId="45" fillId="43" borderId="199" applyNumberFormat="0" applyProtection="0">
      <alignment horizontal="right" vertical="center"/>
    </xf>
    <xf numFmtId="0" fontId="45" fillId="49" borderId="199" applyNumberFormat="0" applyProtection="0">
      <alignment horizontal="left" vertical="center" indent="1"/>
    </xf>
    <xf numFmtId="0" fontId="88" fillId="29" borderId="181" applyNumberFormat="0" applyAlignment="0" applyProtection="0"/>
    <xf numFmtId="4" fontId="45" fillId="35" borderId="205" applyNumberFormat="0" applyProtection="0">
      <alignment horizontal="right" vertical="center"/>
    </xf>
    <xf numFmtId="4" fontId="45" fillId="42" borderId="193" applyNumberFormat="0" applyProtection="0">
      <alignment horizontal="right" vertical="center"/>
    </xf>
    <xf numFmtId="4" fontId="84" fillId="51" borderId="193" applyNumberFormat="0" applyProtection="0">
      <alignment horizontal="right" vertical="center"/>
    </xf>
    <xf numFmtId="0" fontId="45" fillId="26" borderId="181" applyNumberFormat="0" applyFont="0" applyAlignment="0" applyProtection="0"/>
    <xf numFmtId="4" fontId="45" fillId="35" borderId="181" applyNumberFormat="0" applyProtection="0">
      <alignment horizontal="right" vertical="center"/>
    </xf>
    <xf numFmtId="4" fontId="45" fillId="42" borderId="181" applyNumberFormat="0" applyProtection="0">
      <alignment horizontal="right" vertical="center"/>
    </xf>
    <xf numFmtId="4" fontId="45" fillId="46" borderId="184" applyNumberFormat="0" applyProtection="0">
      <alignment horizontal="left" vertical="center" indent="1"/>
    </xf>
    <xf numFmtId="4" fontId="45" fillId="41" borderId="181" applyNumberFormat="0" applyProtection="0">
      <alignment horizontal="right" vertical="center"/>
    </xf>
    <xf numFmtId="4" fontId="45" fillId="47" borderId="184" applyNumberFormat="0" applyProtection="0">
      <alignment horizontal="left" vertical="center" indent="1"/>
    </xf>
    <xf numFmtId="4" fontId="45" fillId="46" borderId="196" applyNumberFormat="0" applyProtection="0">
      <alignment horizontal="left" vertical="center" indent="1"/>
    </xf>
    <xf numFmtId="0" fontId="94" fillId="27" borderId="205" applyNumberFormat="0" applyAlignment="0" applyProtection="0"/>
    <xf numFmtId="4" fontId="45" fillId="40" borderId="199" applyNumberFormat="0" applyProtection="0">
      <alignment horizontal="right" vertical="center"/>
    </xf>
    <xf numFmtId="4" fontId="45" fillId="37" borderId="219" applyNumberFormat="0" applyProtection="0">
      <alignment horizontal="right" vertical="center"/>
    </xf>
    <xf numFmtId="0" fontId="82" fillId="33" borderId="188" applyNumberFormat="0" applyProtection="0">
      <alignment horizontal="left" vertical="top" indent="1"/>
    </xf>
    <xf numFmtId="0" fontId="45" fillId="49" borderId="217" applyNumberFormat="0" applyProtection="0">
      <alignment horizontal="left" vertical="center" indent="1"/>
    </xf>
    <xf numFmtId="0" fontId="45" fillId="50" borderId="183" applyNumberFormat="0" applyProtection="0">
      <alignment horizontal="left" vertical="top" indent="1"/>
    </xf>
    <xf numFmtId="0" fontId="45" fillId="47" borderId="181" applyNumberFormat="0" applyProtection="0">
      <alignment horizontal="left" vertical="center" indent="1"/>
    </xf>
    <xf numFmtId="0" fontId="45" fillId="47" borderId="183" applyNumberFormat="0" applyProtection="0">
      <alignment horizontal="left" vertical="top" indent="1"/>
    </xf>
    <xf numFmtId="4" fontId="45" fillId="34" borderId="199" applyNumberFormat="0" applyProtection="0">
      <alignment horizontal="left" vertical="center" indent="1"/>
    </xf>
    <xf numFmtId="0" fontId="80" fillId="45" borderId="185" applyBorder="0"/>
    <xf numFmtId="4" fontId="81" fillId="52" borderId="183" applyNumberFormat="0" applyProtection="0">
      <alignment vertical="center"/>
    </xf>
    <xf numFmtId="4" fontId="45" fillId="35" borderId="199" applyNumberFormat="0" applyProtection="0">
      <alignment horizontal="right" vertical="center"/>
    </xf>
    <xf numFmtId="4" fontId="81" fillId="48" borderId="183" applyNumberFormat="0" applyProtection="0">
      <alignment horizontal="left" vertical="center" indent="1"/>
    </xf>
    <xf numFmtId="0" fontId="81" fillId="52" borderId="183" applyNumberFormat="0" applyProtection="0">
      <alignment horizontal="left" vertical="top" indent="1"/>
    </xf>
    <xf numFmtId="4" fontId="45" fillId="0" borderId="181" applyNumberFormat="0" applyProtection="0">
      <alignment horizontal="right" vertical="center"/>
    </xf>
    <xf numFmtId="4" fontId="99" fillId="5" borderId="181" applyNumberFormat="0" applyProtection="0">
      <alignment horizontal="right" vertical="center"/>
    </xf>
    <xf numFmtId="4" fontId="45" fillId="34" borderId="181" applyNumberFormat="0" applyProtection="0">
      <alignment horizontal="left" vertical="center" indent="1"/>
    </xf>
    <xf numFmtId="0" fontId="81" fillId="46" borderId="183" applyNumberFormat="0" applyProtection="0">
      <alignment horizontal="left" vertical="top" indent="1"/>
    </xf>
    <xf numFmtId="4" fontId="83" fillId="54" borderId="184" applyNumberFormat="0" applyProtection="0">
      <alignment horizontal="left" vertical="center" indent="1"/>
    </xf>
    <xf numFmtId="4" fontId="45" fillId="2" borderId="211" applyNumberFormat="0" applyProtection="0">
      <alignment horizontal="left" vertical="center" indent="1"/>
    </xf>
    <xf numFmtId="4" fontId="84" fillId="51" borderId="181" applyNumberFormat="0" applyProtection="0">
      <alignment horizontal="right" vertical="center"/>
    </xf>
    <xf numFmtId="0" fontId="82" fillId="33" borderId="195" applyNumberFormat="0" applyProtection="0">
      <alignment horizontal="left" vertical="top" indent="1"/>
    </xf>
    <xf numFmtId="0" fontId="90" fillId="0" borderId="186" applyNumberFormat="0" applyFill="0" applyAlignment="0" applyProtection="0"/>
    <xf numFmtId="4" fontId="45" fillId="41" borderId="199" applyNumberFormat="0" applyProtection="0">
      <alignment horizontal="right" vertical="center"/>
    </xf>
    <xf numFmtId="4" fontId="45" fillId="46" borderId="211" applyNumberFormat="0" applyProtection="0">
      <alignment horizontal="right" vertical="center"/>
    </xf>
    <xf numFmtId="4" fontId="45" fillId="46" borderId="202" applyNumberFormat="0" applyProtection="0">
      <alignment horizontal="left" vertical="center" indent="1"/>
    </xf>
    <xf numFmtId="0" fontId="82" fillId="33" borderId="207" applyNumberFormat="0" applyProtection="0">
      <alignment horizontal="left" vertical="top" indent="1"/>
    </xf>
    <xf numFmtId="4" fontId="45" fillId="38" borderId="205" applyNumberFormat="0" applyProtection="0">
      <alignment horizontal="right" vertical="center"/>
    </xf>
    <xf numFmtId="4" fontId="45" fillId="42" borderId="199" applyNumberFormat="0" applyProtection="0">
      <alignment horizontal="right" vertical="center"/>
    </xf>
    <xf numFmtId="0" fontId="96" fillId="29" borderId="187" applyNumberFormat="0" applyAlignment="0" applyProtection="0"/>
    <xf numFmtId="4" fontId="45" fillId="42" borderId="205" applyNumberFormat="0" applyProtection="0">
      <alignment horizontal="right" vertical="center"/>
    </xf>
    <xf numFmtId="4" fontId="45" fillId="40" borderId="222" applyNumberFormat="0" applyProtection="0">
      <alignment horizontal="right" vertical="center"/>
    </xf>
    <xf numFmtId="4" fontId="45" fillId="35" borderId="193" applyNumberFormat="0" applyProtection="0">
      <alignment horizontal="right" vertical="center"/>
    </xf>
    <xf numFmtId="4" fontId="45" fillId="41" borderId="193" applyNumberFormat="0" applyProtection="0">
      <alignment horizontal="right" vertical="center"/>
    </xf>
    <xf numFmtId="4" fontId="45" fillId="36" borderId="193" applyNumberFormat="0" applyProtection="0">
      <alignment horizontal="right" vertical="center"/>
    </xf>
    <xf numFmtId="4" fontId="11" fillId="45" borderId="219" applyNumberFormat="0" applyProtection="0">
      <alignment horizontal="left" vertical="center" indent="1"/>
    </xf>
    <xf numFmtId="4" fontId="45" fillId="39" borderId="211" applyNumberFormat="0" applyProtection="0">
      <alignment horizontal="right" vertical="center"/>
    </xf>
    <xf numFmtId="4" fontId="45" fillId="33" borderId="205" applyNumberFormat="0" applyProtection="0">
      <alignment vertical="center"/>
    </xf>
    <xf numFmtId="4" fontId="11" fillId="45" borderId="208" applyNumberFormat="0" applyProtection="0">
      <alignment horizontal="left" vertical="center" indent="1"/>
    </xf>
    <xf numFmtId="4" fontId="45" fillId="46" borderId="189" applyNumberFormat="0" applyProtection="0">
      <alignment horizontal="left" vertical="center" indent="1"/>
    </xf>
    <xf numFmtId="4" fontId="45" fillId="44" borderId="208" applyNumberFormat="0" applyProtection="0">
      <alignment horizontal="left" vertical="center" indent="1"/>
    </xf>
    <xf numFmtId="4" fontId="45" fillId="47" borderId="189" applyNumberFormat="0" applyProtection="0">
      <alignment horizontal="left" vertical="center" indent="1"/>
    </xf>
    <xf numFmtId="4" fontId="99" fillId="2" borderId="193" applyNumberFormat="0" applyProtection="0">
      <alignment vertical="center"/>
    </xf>
    <xf numFmtId="0" fontId="45" fillId="50" borderId="195" applyNumberFormat="0" applyProtection="0">
      <alignment horizontal="left" vertical="top" indent="1"/>
    </xf>
    <xf numFmtId="0" fontId="82" fillId="33" borderId="201" applyNumberFormat="0" applyProtection="0">
      <alignment horizontal="left" vertical="top" indent="1"/>
    </xf>
    <xf numFmtId="0" fontId="45" fillId="47" borderId="193" applyNumberFormat="0" applyProtection="0">
      <alignment horizontal="left" vertical="center" indent="1"/>
    </xf>
    <xf numFmtId="0" fontId="45" fillId="47" borderId="195" applyNumberFormat="0" applyProtection="0">
      <alignment horizontal="left" vertical="top" indent="1"/>
    </xf>
    <xf numFmtId="0" fontId="45" fillId="50" borderId="193" applyNumberFormat="0" applyProtection="0">
      <alignment horizontal="left" vertical="center" indent="1"/>
    </xf>
    <xf numFmtId="0" fontId="45" fillId="50" borderId="188" applyNumberFormat="0" applyProtection="0">
      <alignment horizontal="left" vertical="top" indent="1"/>
    </xf>
    <xf numFmtId="4" fontId="83" fillId="54" borderId="202" applyNumberFormat="0" applyProtection="0">
      <alignment horizontal="left" vertical="center" indent="1"/>
    </xf>
    <xf numFmtId="0" fontId="45" fillId="47" borderId="188" applyNumberFormat="0" applyProtection="0">
      <alignment horizontal="left" vertical="top" indent="1"/>
    </xf>
    <xf numFmtId="0" fontId="45" fillId="45" borderId="201" applyNumberFormat="0" applyProtection="0">
      <alignment horizontal="left" vertical="top" indent="1"/>
    </xf>
    <xf numFmtId="0" fontId="80" fillId="45" borderId="190" applyBorder="0"/>
    <xf numFmtId="4" fontId="81" fillId="52" borderId="188" applyNumberFormat="0" applyProtection="0">
      <alignment vertical="center"/>
    </xf>
    <xf numFmtId="0" fontId="81" fillId="46" borderId="201" applyNumberFormat="0" applyProtection="0">
      <alignment horizontal="left" vertical="top" indent="1"/>
    </xf>
    <xf numFmtId="4" fontId="81" fillId="48" borderId="188" applyNumberFormat="0" applyProtection="0">
      <alignment horizontal="left" vertical="center" indent="1"/>
    </xf>
    <xf numFmtId="0" fontId="81" fillId="52" borderId="188" applyNumberFormat="0" applyProtection="0">
      <alignment horizontal="left" vertical="top" indent="1"/>
    </xf>
    <xf numFmtId="4" fontId="11" fillId="45" borderId="214" applyNumberFormat="0" applyProtection="0">
      <alignment horizontal="left" vertical="center" indent="1"/>
    </xf>
    <xf numFmtId="4" fontId="45" fillId="33" borderId="199" applyNumberFormat="0" applyProtection="0">
      <alignment vertical="center"/>
    </xf>
    <xf numFmtId="4" fontId="45" fillId="47" borderId="202" applyNumberFormat="0" applyProtection="0">
      <alignment horizontal="left" vertical="center" indent="1"/>
    </xf>
    <xf numFmtId="0" fontId="81" fillId="46" borderId="188" applyNumberFormat="0" applyProtection="0">
      <alignment horizontal="left" vertical="top" indent="1"/>
    </xf>
    <xf numFmtId="4" fontId="83" fillId="54" borderId="189" applyNumberFormat="0" applyProtection="0">
      <alignment horizontal="left" vertical="center" indent="1"/>
    </xf>
    <xf numFmtId="4" fontId="11" fillId="45" borderId="214" applyNumberFormat="0" applyProtection="0">
      <alignment horizontal="left" vertical="center" indent="1"/>
    </xf>
    <xf numFmtId="4" fontId="45" fillId="46" borderId="217" applyNumberFormat="0" applyProtection="0">
      <alignment horizontal="right" vertical="center"/>
    </xf>
    <xf numFmtId="0" fontId="80" fillId="45" borderId="203" applyBorder="0"/>
    <xf numFmtId="0" fontId="90" fillId="0" borderId="191" applyNumberFormat="0" applyFill="0" applyAlignment="0" applyProtection="0"/>
    <xf numFmtId="0" fontId="45" fillId="46" borderId="255" applyNumberFormat="0" applyProtection="0">
      <alignment horizontal="left" vertical="top" indent="1"/>
    </xf>
    <xf numFmtId="4" fontId="45" fillId="37" borderId="208" applyNumberFormat="0" applyProtection="0">
      <alignment horizontal="right" vertical="center"/>
    </xf>
    <xf numFmtId="0" fontId="81" fillId="46" borderId="195" applyNumberFormat="0" applyProtection="0">
      <alignment horizontal="left" vertical="top" indent="1"/>
    </xf>
    <xf numFmtId="0" fontId="45" fillId="50" borderId="211" applyNumberFormat="0" applyProtection="0">
      <alignment horizontal="left" vertical="center" indent="1"/>
    </xf>
    <xf numFmtId="4" fontId="81" fillId="52" borderId="195" applyNumberFormat="0" applyProtection="0">
      <alignment vertical="center"/>
    </xf>
    <xf numFmtId="0" fontId="45" fillId="45" borderId="195" applyNumberFormat="0" applyProtection="0">
      <alignment horizontal="left" vertical="top" indent="1"/>
    </xf>
    <xf numFmtId="0" fontId="45" fillId="46" borderId="195" applyNumberFormat="0" applyProtection="0">
      <alignment horizontal="left" vertical="top" indent="1"/>
    </xf>
    <xf numFmtId="4" fontId="45" fillId="44" borderId="196" applyNumberFormat="0" applyProtection="0">
      <alignment horizontal="left" vertical="center" indent="1"/>
    </xf>
    <xf numFmtId="4" fontId="11" fillId="45" borderId="196" applyNumberFormat="0" applyProtection="0">
      <alignment horizontal="left" vertical="center" indent="1"/>
    </xf>
    <xf numFmtId="4" fontId="45" fillId="39" borderId="193" applyNumberFormat="0" applyProtection="0">
      <alignment horizontal="right" vertical="center"/>
    </xf>
    <xf numFmtId="4" fontId="45" fillId="37" borderId="196" applyNumberFormat="0" applyProtection="0">
      <alignment horizontal="right" vertical="center"/>
    </xf>
    <xf numFmtId="4" fontId="45" fillId="38" borderId="193" applyNumberFormat="0" applyProtection="0">
      <alignment horizontal="right" vertical="center"/>
    </xf>
    <xf numFmtId="4" fontId="11" fillId="45" borderId="196" applyNumberFormat="0" applyProtection="0">
      <alignment horizontal="left" vertical="center" indent="1"/>
    </xf>
    <xf numFmtId="0" fontId="45" fillId="49" borderId="193" applyNumberFormat="0" applyProtection="0">
      <alignment horizontal="left" vertical="center" indent="1"/>
    </xf>
    <xf numFmtId="0" fontId="80" fillId="45" borderId="197" applyBorder="0"/>
    <xf numFmtId="4" fontId="45" fillId="34" borderId="193" applyNumberFormat="0" applyProtection="0">
      <alignment horizontal="left" vertical="center" indent="1"/>
    </xf>
    <xf numFmtId="4" fontId="99" fillId="2" borderId="199" applyNumberFormat="0" applyProtection="0">
      <alignment vertical="center"/>
    </xf>
    <xf numFmtId="4" fontId="99" fillId="5" borderId="193" applyNumberFormat="0" applyProtection="0">
      <alignment horizontal="right" vertical="center"/>
    </xf>
    <xf numFmtId="0" fontId="90" fillId="0" borderId="198" applyNumberFormat="0" applyFill="0" applyAlignment="0" applyProtection="0"/>
    <xf numFmtId="4" fontId="45" fillId="36" borderId="199" applyNumberFormat="0" applyProtection="0">
      <alignment horizontal="right" vertical="center"/>
    </xf>
    <xf numFmtId="0" fontId="45" fillId="26" borderId="193" applyNumberFormat="0" applyFont="0" applyAlignment="0" applyProtection="0"/>
    <xf numFmtId="4" fontId="45" fillId="40" borderId="228" applyNumberFormat="0" applyProtection="0">
      <alignment horizontal="right" vertical="center"/>
    </xf>
    <xf numFmtId="4" fontId="45" fillId="33" borderId="211" applyNumberFormat="0" applyProtection="0">
      <alignment vertical="center"/>
    </xf>
    <xf numFmtId="0" fontId="82" fillId="33" borderId="213" applyNumberFormat="0" applyProtection="0">
      <alignment horizontal="left" vertical="top" indent="1"/>
    </xf>
    <xf numFmtId="0" fontId="94" fillId="27" borderId="193" applyNumberFormat="0" applyAlignment="0" applyProtection="0"/>
    <xf numFmtId="4" fontId="45" fillId="44" borderId="214" applyNumberFormat="0" applyProtection="0">
      <alignment horizontal="left" vertical="center" indent="1"/>
    </xf>
    <xf numFmtId="4" fontId="45" fillId="39" borderId="199" applyNumberFormat="0" applyProtection="0">
      <alignment horizontal="right" vertical="center"/>
    </xf>
    <xf numFmtId="4" fontId="45" fillId="37" borderId="202" applyNumberFormat="0" applyProtection="0">
      <alignment horizontal="right" vertical="center"/>
    </xf>
    <xf numFmtId="0" fontId="45" fillId="50" borderId="199" applyNumberFormat="0" applyProtection="0">
      <alignment horizontal="left" vertical="center" indent="1"/>
    </xf>
    <xf numFmtId="4" fontId="81" fillId="52" borderId="201" applyNumberFormat="0" applyProtection="0">
      <alignment vertical="center"/>
    </xf>
    <xf numFmtId="0" fontId="45" fillId="50" borderId="201" applyNumberFormat="0" applyProtection="0">
      <alignment horizontal="left" vertical="top" indent="1"/>
    </xf>
    <xf numFmtId="4" fontId="45" fillId="38" borderId="199" applyNumberFormat="0" applyProtection="0">
      <alignment horizontal="right" vertical="center"/>
    </xf>
    <xf numFmtId="0" fontId="45" fillId="49" borderId="211" applyNumberFormat="0" applyProtection="0">
      <alignment horizontal="left" vertical="center" indent="1"/>
    </xf>
    <xf numFmtId="4" fontId="45" fillId="39" borderId="217" applyNumberFormat="0" applyProtection="0">
      <alignment horizontal="right" vertical="center"/>
    </xf>
    <xf numFmtId="4" fontId="45" fillId="44" borderId="219" applyNumberFormat="0" applyProtection="0">
      <alignment horizontal="left" vertical="center" indent="1"/>
    </xf>
    <xf numFmtId="4" fontId="45" fillId="40" borderId="205" applyNumberFormat="0" applyProtection="0">
      <alignment horizontal="right" vertical="center"/>
    </xf>
    <xf numFmtId="0" fontId="45" fillId="46" borderId="218" applyNumberFormat="0" applyProtection="0">
      <alignment horizontal="left" vertical="top" indent="1"/>
    </xf>
    <xf numFmtId="4" fontId="45" fillId="39" borderId="205" applyNumberFormat="0" applyProtection="0">
      <alignment horizontal="right" vertical="center"/>
    </xf>
    <xf numFmtId="0" fontId="45" fillId="48" borderId="199" applyNumberFormat="0" applyProtection="0">
      <alignment horizontal="left" vertical="center" indent="1"/>
    </xf>
    <xf numFmtId="0" fontId="45" fillId="48" borderId="205" applyNumberFormat="0" applyProtection="0">
      <alignment horizontal="left" vertical="center" indent="1"/>
    </xf>
    <xf numFmtId="0" fontId="45" fillId="46" borderId="213" applyNumberFormat="0" applyProtection="0">
      <alignment horizontal="left" vertical="top" indent="1"/>
    </xf>
    <xf numFmtId="4" fontId="45" fillId="43" borderId="205" applyNumberFormat="0" applyProtection="0">
      <alignment horizontal="right" vertical="center"/>
    </xf>
    <xf numFmtId="4" fontId="45" fillId="34" borderId="205" applyNumberFormat="0" applyProtection="0">
      <alignment horizontal="left" vertical="center" indent="1"/>
    </xf>
    <xf numFmtId="0" fontId="45" fillId="45" borderId="218" applyNumberFormat="0" applyProtection="0">
      <alignment horizontal="left" vertical="top" indent="1"/>
    </xf>
    <xf numFmtId="0" fontId="45" fillId="49" borderId="205" applyNumberFormat="0" applyProtection="0">
      <alignment horizontal="left" vertical="center" indent="1"/>
    </xf>
    <xf numFmtId="0" fontId="45" fillId="46" borderId="207" applyNumberFormat="0" applyProtection="0">
      <alignment horizontal="left" vertical="top" indent="1"/>
    </xf>
    <xf numFmtId="0" fontId="45" fillId="50" borderId="205" applyNumberFormat="0" applyProtection="0">
      <alignment horizontal="left" vertical="center" indent="1"/>
    </xf>
    <xf numFmtId="0" fontId="45" fillId="45" borderId="207" applyNumberFormat="0" applyProtection="0">
      <alignment horizontal="left" vertical="top" indent="1"/>
    </xf>
    <xf numFmtId="0" fontId="45" fillId="49" borderId="228" applyNumberFormat="0" applyProtection="0">
      <alignment horizontal="left" vertical="center" indent="1"/>
    </xf>
    <xf numFmtId="0" fontId="45" fillId="50" borderId="222" applyNumberFormat="0" applyProtection="0">
      <alignment horizontal="left" vertical="center" indent="1"/>
    </xf>
    <xf numFmtId="4" fontId="45" fillId="37" borderId="256" applyNumberFormat="0" applyProtection="0">
      <alignment horizontal="right" vertical="center"/>
    </xf>
    <xf numFmtId="4" fontId="11" fillId="45" borderId="225" applyNumberFormat="0" applyProtection="0">
      <alignment horizontal="left" vertical="center" indent="1"/>
    </xf>
    <xf numFmtId="0" fontId="45" fillId="50" borderId="234" applyNumberFormat="0" applyProtection="0">
      <alignment horizontal="left" vertical="center" indent="1"/>
    </xf>
    <xf numFmtId="0" fontId="94" fillId="27" borderId="211" applyNumberFormat="0" applyAlignment="0" applyProtection="0"/>
    <xf numFmtId="4" fontId="45" fillId="44" borderId="231" applyNumberFormat="0" applyProtection="0">
      <alignment horizontal="left" vertical="center" indent="1"/>
    </xf>
    <xf numFmtId="0" fontId="45" fillId="46" borderId="224" applyNumberFormat="0" applyProtection="0">
      <alignment horizontal="left" vertical="top" indent="1"/>
    </xf>
    <xf numFmtId="0" fontId="94" fillId="27" borderId="222" applyNumberFormat="0" applyAlignment="0" applyProtection="0"/>
    <xf numFmtId="0" fontId="94" fillId="27" borderId="228" applyNumberFormat="0" applyAlignment="0" applyProtection="0"/>
    <xf numFmtId="4" fontId="45" fillId="46" borderId="228" applyNumberFormat="0" applyProtection="0">
      <alignment horizontal="right" vertical="center"/>
    </xf>
    <xf numFmtId="0" fontId="45" fillId="49" borderId="246" applyNumberFormat="0" applyProtection="0">
      <alignment horizontal="left" vertical="center" indent="1"/>
    </xf>
    <xf numFmtId="4" fontId="45" fillId="38" borderId="211" applyNumberFormat="0" applyProtection="0">
      <alignment horizontal="right" vertical="center"/>
    </xf>
    <xf numFmtId="4" fontId="11" fillId="45" borderId="237" applyNumberFormat="0" applyProtection="0">
      <alignment horizontal="left" vertical="center" indent="1"/>
    </xf>
    <xf numFmtId="0" fontId="45" fillId="45" borderId="213" applyNumberFormat="0" applyProtection="0">
      <alignment horizontal="left" vertical="top" indent="1"/>
    </xf>
    <xf numFmtId="4" fontId="99" fillId="2" borderId="211" applyNumberFormat="0" applyProtection="0">
      <alignment vertical="center"/>
    </xf>
    <xf numFmtId="0" fontId="45" fillId="26" borderId="205" applyNumberFormat="0" applyFont="0" applyAlignment="0" applyProtection="0"/>
    <xf numFmtId="4" fontId="45" fillId="36" borderId="205" applyNumberFormat="0" applyProtection="0">
      <alignment horizontal="right" vertical="center"/>
    </xf>
    <xf numFmtId="0" fontId="96" fillId="29" borderId="206" applyNumberFormat="0" applyAlignment="0" applyProtection="0"/>
    <xf numFmtId="4" fontId="84" fillId="51" borderId="199" applyNumberFormat="0" applyProtection="0">
      <alignment horizontal="right" vertical="center"/>
    </xf>
    <xf numFmtId="0" fontId="90" fillId="0" borderId="204" applyNumberFormat="0" applyFill="0" applyAlignment="0" applyProtection="0"/>
    <xf numFmtId="0" fontId="81" fillId="52" borderId="201" applyNumberFormat="0" applyProtection="0">
      <alignment horizontal="left" vertical="top" indent="1"/>
    </xf>
    <xf numFmtId="4" fontId="99" fillId="5" borderId="199" applyNumberFormat="0" applyProtection="0">
      <alignment horizontal="right" vertical="center"/>
    </xf>
    <xf numFmtId="0" fontId="45" fillId="49" borderId="234" applyNumberFormat="0" applyProtection="0">
      <alignment horizontal="left" vertical="center" indent="1"/>
    </xf>
    <xf numFmtId="0" fontId="45" fillId="47" borderId="199" applyNumberFormat="0" applyProtection="0">
      <alignment horizontal="left" vertical="center" indent="1"/>
    </xf>
    <xf numFmtId="0" fontId="45" fillId="47" borderId="201" applyNumberFormat="0" applyProtection="0">
      <alignment horizontal="left" vertical="top" indent="1"/>
    </xf>
    <xf numFmtId="4" fontId="45" fillId="0" borderId="199" applyNumberFormat="0" applyProtection="0">
      <alignment horizontal="right" vertical="center"/>
    </xf>
    <xf numFmtId="4" fontId="45" fillId="40" borderId="240" applyNumberFormat="0" applyProtection="0">
      <alignment horizontal="right" vertical="center"/>
    </xf>
    <xf numFmtId="0" fontId="45" fillId="50" borderId="217" applyNumberFormat="0" applyProtection="0">
      <alignment horizontal="left" vertical="center" indent="1"/>
    </xf>
    <xf numFmtId="4" fontId="11" fillId="45" borderId="219" applyNumberFormat="0" applyProtection="0">
      <alignment horizontal="left" vertical="center" indent="1"/>
    </xf>
    <xf numFmtId="0" fontId="94" fillId="27" borderId="217" applyNumberFormat="0" applyAlignment="0" applyProtection="0"/>
    <xf numFmtId="4" fontId="45" fillId="39" borderId="228" applyNumberFormat="0" applyProtection="0">
      <alignment horizontal="right" vertical="center"/>
    </xf>
    <xf numFmtId="4" fontId="45" fillId="47" borderId="208" applyNumberFormat="0" applyProtection="0">
      <alignment horizontal="left" vertical="center" indent="1"/>
    </xf>
    <xf numFmtId="0" fontId="94" fillId="27" borderId="199" applyNumberFormat="0" applyAlignment="0" applyProtection="0"/>
    <xf numFmtId="4" fontId="45" fillId="46" borderId="199" applyNumberFormat="0" applyProtection="0">
      <alignment horizontal="right" vertical="center"/>
    </xf>
    <xf numFmtId="4" fontId="45" fillId="37" borderId="214" applyNumberFormat="0" applyProtection="0">
      <alignment horizontal="right" vertical="center"/>
    </xf>
    <xf numFmtId="4" fontId="11" fillId="45" borderId="202" applyNumberFormat="0" applyProtection="0">
      <alignment horizontal="left" vertical="center" indent="1"/>
    </xf>
    <xf numFmtId="4" fontId="11" fillId="45" borderId="202" applyNumberFormat="0" applyProtection="0">
      <alignment horizontal="left" vertical="center" indent="1"/>
    </xf>
    <xf numFmtId="4" fontId="45" fillId="44" borderId="202" applyNumberFormat="0" applyProtection="0">
      <alignment horizontal="left" vertical="center" indent="1"/>
    </xf>
    <xf numFmtId="0" fontId="45" fillId="50" borderId="207" applyNumberFormat="0" applyProtection="0">
      <alignment horizontal="left" vertical="top" indent="1"/>
    </xf>
    <xf numFmtId="0" fontId="45" fillId="47" borderId="205" applyNumberFormat="0" applyProtection="0">
      <alignment horizontal="left" vertical="center" indent="1"/>
    </xf>
    <xf numFmtId="0" fontId="45" fillId="47" borderId="207" applyNumberFormat="0" applyProtection="0">
      <alignment horizontal="left" vertical="top" indent="1"/>
    </xf>
    <xf numFmtId="0" fontId="45" fillId="46" borderId="242" applyNumberFormat="0" applyProtection="0">
      <alignment horizontal="left" vertical="top" indent="1"/>
    </xf>
    <xf numFmtId="0" fontId="80" fillId="45" borderId="209" applyBorder="0"/>
    <xf numFmtId="4" fontId="81" fillId="52" borderId="207" applyNumberFormat="0" applyProtection="0">
      <alignment vertical="center"/>
    </xf>
    <xf numFmtId="4" fontId="11" fillId="45" borderId="268" applyNumberFormat="0" applyProtection="0">
      <alignment horizontal="left" vertical="center" indent="1"/>
    </xf>
    <xf numFmtId="4" fontId="81" fillId="48" borderId="207" applyNumberFormat="0" applyProtection="0">
      <alignment horizontal="left" vertical="center" indent="1"/>
    </xf>
    <xf numFmtId="0" fontId="81" fillId="52" borderId="207" applyNumberFormat="0" applyProtection="0">
      <alignment horizontal="left" vertical="top" indent="1"/>
    </xf>
    <xf numFmtId="4" fontId="45" fillId="0" borderId="205" applyNumberFormat="0" applyProtection="0">
      <alignment horizontal="right" vertical="center"/>
    </xf>
    <xf numFmtId="4" fontId="99" fillId="5" borderId="205" applyNumberFormat="0" applyProtection="0">
      <alignment horizontal="right" vertical="center"/>
    </xf>
    <xf numFmtId="4" fontId="45" fillId="34" borderId="205" applyNumberFormat="0" applyProtection="0">
      <alignment horizontal="left" vertical="center" indent="1"/>
    </xf>
    <xf numFmtId="0" fontId="81" fillId="46" borderId="207" applyNumberFormat="0" applyProtection="0">
      <alignment horizontal="left" vertical="top" indent="1"/>
    </xf>
    <xf numFmtId="4" fontId="83" fillId="54" borderId="208" applyNumberFormat="0" applyProtection="0">
      <alignment horizontal="left" vertical="center" indent="1"/>
    </xf>
    <xf numFmtId="4" fontId="45" fillId="39" borderId="222" applyNumberFormat="0" applyProtection="0">
      <alignment horizontal="right" vertical="center"/>
    </xf>
    <xf numFmtId="4" fontId="84" fillId="51" borderId="205" applyNumberFormat="0" applyProtection="0">
      <alignment horizontal="right" vertical="center"/>
    </xf>
    <xf numFmtId="4" fontId="45" fillId="39" borderId="234" applyNumberFormat="0" applyProtection="0">
      <alignment horizontal="right" vertical="center"/>
    </xf>
    <xf numFmtId="0" fontId="90" fillId="0" borderId="210" applyNumberFormat="0" applyFill="0" applyAlignment="0" applyProtection="0"/>
    <xf numFmtId="0" fontId="45" fillId="49" borderId="222" applyNumberFormat="0" applyProtection="0">
      <alignment horizontal="left" vertical="center" indent="1"/>
    </xf>
    <xf numFmtId="0" fontId="45" fillId="48" borderId="211" applyNumberFormat="0" applyProtection="0">
      <alignment horizontal="left" vertical="center" indent="1"/>
    </xf>
    <xf numFmtId="4" fontId="45" fillId="43" borderId="211" applyNumberFormat="0" applyProtection="0">
      <alignment horizontal="right" vertical="center"/>
    </xf>
    <xf numFmtId="4" fontId="45" fillId="34" borderId="211" applyNumberFormat="0" applyProtection="0">
      <alignment horizontal="left" vertical="center" indent="1"/>
    </xf>
    <xf numFmtId="4" fontId="45" fillId="36" borderId="211" applyNumberFormat="0" applyProtection="0">
      <alignment horizontal="right" vertical="center"/>
    </xf>
    <xf numFmtId="0" fontId="45" fillId="50" borderId="224" applyNumberFormat="0" applyProtection="0">
      <alignment horizontal="left" vertical="top" indent="1"/>
    </xf>
    <xf numFmtId="0" fontId="96" fillId="29" borderId="212" applyNumberFormat="0" applyAlignment="0" applyProtection="0"/>
    <xf numFmtId="4" fontId="11" fillId="45" borderId="225" applyNumberFormat="0" applyProtection="0">
      <alignment horizontal="left" vertical="center" indent="1"/>
    </xf>
    <xf numFmtId="4" fontId="45" fillId="47" borderId="225" applyNumberFormat="0" applyProtection="0">
      <alignment horizontal="left" vertical="center" indent="1"/>
    </xf>
    <xf numFmtId="0" fontId="88" fillId="29" borderId="211" applyNumberFormat="0" applyAlignment="0" applyProtection="0"/>
    <xf numFmtId="4" fontId="45" fillId="38" borderId="228" applyNumberFormat="0" applyProtection="0">
      <alignment horizontal="right" vertical="center"/>
    </xf>
    <xf numFmtId="4" fontId="45" fillId="37" borderId="237" applyNumberFormat="0" applyProtection="0">
      <alignment horizontal="right" vertical="center"/>
    </xf>
    <xf numFmtId="4" fontId="45" fillId="46" borderId="222" applyNumberFormat="0" applyProtection="0">
      <alignment horizontal="right" vertical="center"/>
    </xf>
    <xf numFmtId="0" fontId="45" fillId="26" borderId="211" applyNumberFormat="0" applyFont="0" applyAlignment="0" applyProtection="0"/>
    <xf numFmtId="4" fontId="45" fillId="35" borderId="211" applyNumberFormat="0" applyProtection="0">
      <alignment horizontal="right" vertical="center"/>
    </xf>
    <xf numFmtId="4" fontId="45" fillId="42" borderId="211" applyNumberFormat="0" applyProtection="0">
      <alignment horizontal="right" vertical="center"/>
    </xf>
    <xf numFmtId="4" fontId="45" fillId="46" borderId="214" applyNumberFormat="0" applyProtection="0">
      <alignment horizontal="left" vertical="center" indent="1"/>
    </xf>
    <xf numFmtId="4" fontId="45" fillId="41" borderId="211" applyNumberFormat="0" applyProtection="0">
      <alignment horizontal="right" vertical="center"/>
    </xf>
    <xf numFmtId="4" fontId="45" fillId="47" borderId="214" applyNumberFormat="0" applyProtection="0">
      <alignment horizontal="left" vertical="center" indent="1"/>
    </xf>
    <xf numFmtId="0" fontId="45" fillId="46" borderId="236" applyNumberFormat="0" applyProtection="0">
      <alignment horizontal="left" vertical="top" indent="1"/>
    </xf>
    <xf numFmtId="4" fontId="99" fillId="2" borderId="217" applyNumberFormat="0" applyProtection="0">
      <alignment vertical="center"/>
    </xf>
    <xf numFmtId="0" fontId="45" fillId="45" borderId="230" applyNumberFormat="0" applyProtection="0">
      <alignment horizontal="left" vertical="top" indent="1"/>
    </xf>
    <xf numFmtId="4" fontId="45" fillId="2" borderId="217" applyNumberFormat="0" applyProtection="0">
      <alignment horizontal="left" vertical="center" indent="1"/>
    </xf>
    <xf numFmtId="0" fontId="82" fillId="33" borderId="218" applyNumberFormat="0" applyProtection="0">
      <alignment horizontal="left" vertical="top" indent="1"/>
    </xf>
    <xf numFmtId="4" fontId="45" fillId="33" borderId="217" applyNumberFormat="0" applyProtection="0">
      <alignment vertical="center"/>
    </xf>
    <xf numFmtId="0" fontId="45" fillId="50" borderId="213" applyNumberFormat="0" applyProtection="0">
      <alignment horizontal="left" vertical="top" indent="1"/>
    </xf>
    <xf numFmtId="0" fontId="45" fillId="47" borderId="211" applyNumberFormat="0" applyProtection="0">
      <alignment horizontal="left" vertical="center" indent="1"/>
    </xf>
    <xf numFmtId="0" fontId="45" fillId="47" borderId="213" applyNumberFormat="0" applyProtection="0">
      <alignment horizontal="left" vertical="top" indent="1"/>
    </xf>
    <xf numFmtId="4" fontId="45" fillId="33" borderId="272" applyNumberFormat="0" applyProtection="0">
      <alignment vertical="center"/>
    </xf>
    <xf numFmtId="0" fontId="80" fillId="45" borderId="215" applyBorder="0"/>
    <xf numFmtId="4" fontId="81" fillId="52" borderId="213" applyNumberFormat="0" applyProtection="0">
      <alignment vertical="center"/>
    </xf>
    <xf numFmtId="0" fontId="45" fillId="46" borderId="248" applyNumberFormat="0" applyProtection="0">
      <alignment horizontal="left" vertical="top" indent="1"/>
    </xf>
    <xf numFmtId="4" fontId="81" fillId="48" borderId="213" applyNumberFormat="0" applyProtection="0">
      <alignment horizontal="left" vertical="center" indent="1"/>
    </xf>
    <xf numFmtId="0" fontId="81" fillId="52" borderId="213" applyNumberFormat="0" applyProtection="0">
      <alignment horizontal="left" vertical="top" indent="1"/>
    </xf>
    <xf numFmtId="4" fontId="45" fillId="0" borderId="211" applyNumberFormat="0" applyProtection="0">
      <alignment horizontal="right" vertical="center"/>
    </xf>
    <xf numFmtId="4" fontId="99" fillId="5" borderId="211" applyNumberFormat="0" applyProtection="0">
      <alignment horizontal="right" vertical="center"/>
    </xf>
    <xf numFmtId="4" fontId="45" fillId="34" borderId="211" applyNumberFormat="0" applyProtection="0">
      <alignment horizontal="left" vertical="center" indent="1"/>
    </xf>
    <xf numFmtId="0" fontId="81" fillId="46" borderId="213" applyNumberFormat="0" applyProtection="0">
      <alignment horizontal="left" vertical="top" indent="1"/>
    </xf>
    <xf numFmtId="4" fontId="83" fillId="54" borderId="214" applyNumberFormat="0" applyProtection="0">
      <alignment horizontal="left" vertical="center" indent="1"/>
    </xf>
    <xf numFmtId="4" fontId="45" fillId="33" borderId="228" applyNumberFormat="0" applyProtection="0">
      <alignment vertical="center"/>
    </xf>
    <xf numFmtId="4" fontId="84" fillId="51" borderId="211" applyNumberFormat="0" applyProtection="0">
      <alignment horizontal="right" vertical="center"/>
    </xf>
    <xf numFmtId="4" fontId="45" fillId="37" borderId="243" applyNumberFormat="0" applyProtection="0">
      <alignment horizontal="right" vertical="center"/>
    </xf>
    <xf numFmtId="0" fontId="90" fillId="0" borderId="216" applyNumberFormat="0" applyFill="0" applyAlignment="0" applyProtection="0"/>
    <xf numFmtId="0" fontId="45" fillId="50" borderId="228" applyNumberFormat="0" applyProtection="0">
      <alignment horizontal="left" vertical="center" indent="1"/>
    </xf>
    <xf numFmtId="0" fontId="45" fillId="48" borderId="217" applyNumberFormat="0" applyProtection="0">
      <alignment horizontal="left" vertical="center" indent="1"/>
    </xf>
    <xf numFmtId="4" fontId="45" fillId="43" borderId="217" applyNumberFormat="0" applyProtection="0">
      <alignment horizontal="right" vertical="center"/>
    </xf>
    <xf numFmtId="4" fontId="45" fillId="34" borderId="217" applyNumberFormat="0" applyProtection="0">
      <alignment horizontal="left" vertical="center" indent="1"/>
    </xf>
    <xf numFmtId="4" fontId="45" fillId="36" borderId="217" applyNumberFormat="0" applyProtection="0">
      <alignment horizontal="right" vertical="center"/>
    </xf>
    <xf numFmtId="0" fontId="45" fillId="46" borderId="230" applyNumberFormat="0" applyProtection="0">
      <alignment horizontal="left" vertical="top" indent="1"/>
    </xf>
    <xf numFmtId="0" fontId="94" fillId="27" borderId="234" applyNumberFormat="0" applyAlignment="0" applyProtection="0"/>
    <xf numFmtId="4" fontId="45" fillId="37" borderId="231" applyNumberFormat="0" applyProtection="0">
      <alignment horizontal="right" vertical="center"/>
    </xf>
    <xf numFmtId="4" fontId="11" fillId="45" borderId="231" applyNumberFormat="0" applyProtection="0">
      <alignment horizontal="left" vertical="center" indent="1"/>
    </xf>
    <xf numFmtId="0" fontId="88" fillId="29" borderId="217" applyNumberFormat="0" applyAlignment="0" applyProtection="0"/>
    <xf numFmtId="4" fontId="45" fillId="40" borderId="234" applyNumberFormat="0" applyProtection="0">
      <alignment horizontal="right" vertical="center"/>
    </xf>
    <xf numFmtId="4" fontId="45" fillId="39" borderId="240" applyNumberFormat="0" applyProtection="0">
      <alignment horizontal="right" vertical="center"/>
    </xf>
    <xf numFmtId="4" fontId="11" fillId="45" borderId="231" applyNumberFormat="0" applyProtection="0">
      <alignment horizontal="left" vertical="center" indent="1"/>
    </xf>
    <xf numFmtId="0" fontId="45" fillId="26" borderId="217" applyNumberFormat="0" applyFont="0" applyAlignment="0" applyProtection="0"/>
    <xf numFmtId="4" fontId="45" fillId="35" borderId="217" applyNumberFormat="0" applyProtection="0">
      <alignment horizontal="right" vertical="center"/>
    </xf>
    <xf numFmtId="4" fontId="45" fillId="42" borderId="217" applyNumberFormat="0" applyProtection="0">
      <alignment horizontal="right" vertical="center"/>
    </xf>
    <xf numFmtId="4" fontId="45" fillId="46" borderId="219" applyNumberFormat="0" applyProtection="0">
      <alignment horizontal="left" vertical="center" indent="1"/>
    </xf>
    <xf numFmtId="4" fontId="45" fillId="41" borderId="217" applyNumberFormat="0" applyProtection="0">
      <alignment horizontal="right" vertical="center"/>
    </xf>
    <xf numFmtId="4" fontId="45" fillId="47" borderId="219" applyNumberFormat="0" applyProtection="0">
      <alignment horizontal="left" vertical="center" indent="1"/>
    </xf>
    <xf numFmtId="0" fontId="45" fillId="49" borderId="240" applyNumberFormat="0" applyProtection="0">
      <alignment horizontal="left" vertical="center" indent="1"/>
    </xf>
    <xf numFmtId="4" fontId="45" fillId="2" borderId="222" applyNumberFormat="0" applyProtection="0">
      <alignment horizontal="left" vertical="center" indent="1"/>
    </xf>
    <xf numFmtId="4" fontId="45" fillId="44" borderId="249" applyNumberFormat="0" applyProtection="0">
      <alignment horizontal="left" vertical="center" indent="1"/>
    </xf>
    <xf numFmtId="0" fontId="82" fillId="33" borderId="224" applyNumberFormat="0" applyProtection="0">
      <alignment horizontal="left" vertical="top" indent="1"/>
    </xf>
    <xf numFmtId="4" fontId="45" fillId="34" borderId="222" applyNumberFormat="0" applyProtection="0">
      <alignment horizontal="left" vertical="center" indent="1"/>
    </xf>
    <xf numFmtId="4" fontId="99" fillId="2" borderId="222" applyNumberFormat="0" applyProtection="0">
      <alignment vertical="center"/>
    </xf>
    <xf numFmtId="0" fontId="45" fillId="50" borderId="218" applyNumberFormat="0" applyProtection="0">
      <alignment horizontal="left" vertical="top" indent="1"/>
    </xf>
    <xf numFmtId="0" fontId="45" fillId="47" borderId="217" applyNumberFormat="0" applyProtection="0">
      <alignment horizontal="left" vertical="center" indent="1"/>
    </xf>
    <xf numFmtId="0" fontId="45" fillId="47" borderId="218" applyNumberFormat="0" applyProtection="0">
      <alignment horizontal="left" vertical="top" indent="1"/>
    </xf>
    <xf numFmtId="4" fontId="45" fillId="44" borderId="256" applyNumberFormat="0" applyProtection="0">
      <alignment horizontal="left" vertical="center" indent="1"/>
    </xf>
    <xf numFmtId="0" fontId="80" fillId="45" borderId="220" applyBorder="0"/>
    <xf numFmtId="4" fontId="81" fillId="52" borderId="218" applyNumberFormat="0" applyProtection="0">
      <alignment vertical="center"/>
    </xf>
    <xf numFmtId="4" fontId="45" fillId="35" borderId="259" applyNumberFormat="0" applyProtection="0">
      <alignment horizontal="right" vertical="center"/>
    </xf>
    <xf numFmtId="4" fontId="81" fillId="48" borderId="218" applyNumberFormat="0" applyProtection="0">
      <alignment horizontal="left" vertical="center" indent="1"/>
    </xf>
    <xf numFmtId="0" fontId="81" fillId="52" borderId="218" applyNumberFormat="0" applyProtection="0">
      <alignment horizontal="left" vertical="top" indent="1"/>
    </xf>
    <xf numFmtId="4" fontId="45" fillId="0" borderId="217" applyNumberFormat="0" applyProtection="0">
      <alignment horizontal="right" vertical="center"/>
    </xf>
    <xf numFmtId="4" fontId="99" fillId="5" borderId="217" applyNumberFormat="0" applyProtection="0">
      <alignment horizontal="right" vertical="center"/>
    </xf>
    <xf numFmtId="4" fontId="45" fillId="34" borderId="217" applyNumberFormat="0" applyProtection="0">
      <alignment horizontal="left" vertical="center" indent="1"/>
    </xf>
    <xf numFmtId="0" fontId="81" fillId="46" borderId="218" applyNumberFormat="0" applyProtection="0">
      <alignment horizontal="left" vertical="top" indent="1"/>
    </xf>
    <xf numFmtId="4" fontId="83" fillId="54" borderId="219" applyNumberFormat="0" applyProtection="0">
      <alignment horizontal="left" vertical="center" indent="1"/>
    </xf>
    <xf numFmtId="4" fontId="45" fillId="38" borderId="234" applyNumberFormat="0" applyProtection="0">
      <alignment horizontal="right" vertical="center"/>
    </xf>
    <xf numFmtId="4" fontId="84" fillId="51" borderId="217" applyNumberFormat="0" applyProtection="0">
      <alignment horizontal="right" vertical="center"/>
    </xf>
    <xf numFmtId="4" fontId="11" fillId="45" borderId="281" applyNumberFormat="0" applyProtection="0">
      <alignment horizontal="left" vertical="center" indent="1"/>
    </xf>
    <xf numFmtId="0" fontId="90" fillId="0" borderId="221" applyNumberFormat="0" applyFill="0" applyAlignment="0" applyProtection="0"/>
    <xf numFmtId="0" fontId="45" fillId="45" borderId="236" applyNumberFormat="0" applyProtection="0">
      <alignment horizontal="left" vertical="top" indent="1"/>
    </xf>
    <xf numFmtId="0" fontId="45" fillId="45" borderId="224" applyNumberFormat="0" applyProtection="0">
      <alignment horizontal="left" vertical="top" indent="1"/>
    </xf>
    <xf numFmtId="4" fontId="45" fillId="44" borderId="225" applyNumberFormat="0" applyProtection="0">
      <alignment horizontal="left" vertical="center" indent="1"/>
    </xf>
    <xf numFmtId="4" fontId="45" fillId="35" borderId="222" applyNumberFormat="0" applyProtection="0">
      <alignment horizontal="right" vertical="center"/>
    </xf>
    <xf numFmtId="4" fontId="45" fillId="37" borderId="225" applyNumberFormat="0" applyProtection="0">
      <alignment horizontal="right" vertical="center"/>
    </xf>
    <xf numFmtId="0" fontId="45" fillId="26" borderId="222" applyNumberFormat="0" applyFont="0" applyAlignment="0" applyProtection="0"/>
    <xf numFmtId="4" fontId="45" fillId="33" borderId="222" applyNumberFormat="0" applyProtection="0">
      <alignment vertical="center"/>
    </xf>
    <xf numFmtId="4" fontId="11" fillId="45" borderId="237" applyNumberFormat="0" applyProtection="0">
      <alignment horizontal="left" vertical="center" indent="1"/>
    </xf>
    <xf numFmtId="4" fontId="45" fillId="44" borderId="237" applyNumberFormat="0" applyProtection="0">
      <alignment horizontal="left" vertical="center" indent="1"/>
    </xf>
    <xf numFmtId="4" fontId="45" fillId="37" borderId="249" applyNumberFormat="0" applyProtection="0">
      <alignment horizontal="right" vertical="center"/>
    </xf>
    <xf numFmtId="4" fontId="45" fillId="40" borderId="246" applyNumberFormat="0" applyProtection="0">
      <alignment horizontal="right" vertical="center"/>
    </xf>
    <xf numFmtId="0" fontId="88" fillId="29" borderId="222" applyNumberFormat="0" applyAlignment="0" applyProtection="0"/>
    <xf numFmtId="4" fontId="45" fillId="46" borderId="234" applyNumberFormat="0" applyProtection="0">
      <alignment horizontal="right" vertical="center"/>
    </xf>
    <xf numFmtId="0" fontId="96" fillId="29" borderId="223" applyNumberFormat="0" applyAlignment="0" applyProtection="0"/>
    <xf numFmtId="4" fontId="45" fillId="36" borderId="222" applyNumberFormat="0" applyProtection="0">
      <alignment horizontal="right" vertical="center"/>
    </xf>
    <xf numFmtId="4" fontId="45" fillId="43" borderId="222" applyNumberFormat="0" applyProtection="0">
      <alignment horizontal="right" vertical="center"/>
    </xf>
    <xf numFmtId="0" fontId="45" fillId="48" borderId="222" applyNumberFormat="0" applyProtection="0">
      <alignment horizontal="left" vertical="center" indent="1"/>
    </xf>
    <xf numFmtId="4" fontId="45" fillId="42" borderId="222" applyNumberFormat="0" applyProtection="0">
      <alignment horizontal="right" vertical="center"/>
    </xf>
    <xf numFmtId="4" fontId="45" fillId="46" borderId="225" applyNumberFormat="0" applyProtection="0">
      <alignment horizontal="left" vertical="center" indent="1"/>
    </xf>
    <xf numFmtId="4" fontId="45" fillId="46" borderId="265" applyNumberFormat="0" applyProtection="0">
      <alignment horizontal="right" vertical="center"/>
    </xf>
    <xf numFmtId="4" fontId="45" fillId="44" borderId="243" applyNumberFormat="0" applyProtection="0">
      <alignment horizontal="left" vertical="center" indent="1"/>
    </xf>
    <xf numFmtId="4" fontId="99" fillId="2" borderId="272" applyNumberFormat="0" applyProtection="0">
      <alignment vertical="center"/>
    </xf>
    <xf numFmtId="4" fontId="99" fillId="2" borderId="228" applyNumberFormat="0" applyProtection="0">
      <alignment vertical="center"/>
    </xf>
    <xf numFmtId="4" fontId="45" fillId="2" borderId="228" applyNumberFormat="0" applyProtection="0">
      <alignment horizontal="left" vertical="center" indent="1"/>
    </xf>
    <xf numFmtId="0" fontId="82" fillId="33" borderId="230" applyNumberFormat="0" applyProtection="0">
      <alignment horizontal="left" vertical="top" indent="1"/>
    </xf>
    <xf numFmtId="0" fontId="45" fillId="47" borderId="222" applyNumberFormat="0" applyProtection="0">
      <alignment horizontal="left" vertical="center" indent="1"/>
    </xf>
    <xf numFmtId="0" fontId="45" fillId="47" borderId="224" applyNumberFormat="0" applyProtection="0">
      <alignment horizontal="left" vertical="top" indent="1"/>
    </xf>
    <xf numFmtId="4" fontId="45" fillId="2" borderId="265" applyNumberFormat="0" applyProtection="0">
      <alignment horizontal="left" vertical="center" indent="1"/>
    </xf>
    <xf numFmtId="0" fontId="80" fillId="45" borderId="226" applyBorder="0"/>
    <xf numFmtId="4" fontId="81" fillId="52" borderId="224" applyNumberFormat="0" applyProtection="0">
      <alignment vertical="center"/>
    </xf>
    <xf numFmtId="0" fontId="81" fillId="46" borderId="261" applyNumberFormat="0" applyProtection="0">
      <alignment horizontal="left" vertical="top" indent="1"/>
    </xf>
    <xf numFmtId="4" fontId="81" fillId="48" borderId="224" applyNumberFormat="0" applyProtection="0">
      <alignment horizontal="left" vertical="center" indent="1"/>
    </xf>
    <xf numFmtId="0" fontId="81" fillId="52" borderId="224" applyNumberFormat="0" applyProtection="0">
      <alignment horizontal="left" vertical="top" indent="1"/>
    </xf>
    <xf numFmtId="4" fontId="45" fillId="0" borderId="222" applyNumberFormat="0" applyProtection="0">
      <alignment horizontal="right" vertical="center"/>
    </xf>
    <xf numFmtId="4" fontId="99" fillId="5" borderId="222" applyNumberFormat="0" applyProtection="0">
      <alignment horizontal="right" vertical="center"/>
    </xf>
    <xf numFmtId="4" fontId="45" fillId="34" borderId="222" applyNumberFormat="0" applyProtection="0">
      <alignment horizontal="left" vertical="center" indent="1"/>
    </xf>
    <xf numFmtId="0" fontId="81" fillId="46" borderId="224" applyNumberFormat="0" applyProtection="0">
      <alignment horizontal="left" vertical="top" indent="1"/>
    </xf>
    <xf numFmtId="4" fontId="83" fillId="54" borderId="225" applyNumberFormat="0" applyProtection="0">
      <alignment horizontal="left" vertical="center" indent="1"/>
    </xf>
    <xf numFmtId="4" fontId="45" fillId="38" borderId="240" applyNumberFormat="0" applyProtection="0">
      <alignment horizontal="right" vertical="center"/>
    </xf>
    <xf numFmtId="4" fontId="84" fillId="51" borderId="222" applyNumberFormat="0" applyProtection="0">
      <alignment horizontal="right" vertical="center"/>
    </xf>
    <xf numFmtId="4" fontId="45" fillId="46" borderId="278" applyNumberFormat="0" applyProtection="0">
      <alignment horizontal="right" vertical="center"/>
    </xf>
    <xf numFmtId="0" fontId="90" fillId="0" borderId="227" applyNumberFormat="0" applyFill="0" applyAlignment="0" applyProtection="0"/>
    <xf numFmtId="0" fontId="45" fillId="45" borderId="242" applyNumberFormat="0" applyProtection="0">
      <alignment horizontal="left" vertical="top" indent="1"/>
    </xf>
    <xf numFmtId="0" fontId="45" fillId="48" borderId="228" applyNumberFormat="0" applyProtection="0">
      <alignment horizontal="left" vertical="center" indent="1"/>
    </xf>
    <xf numFmtId="4" fontId="45" fillId="43" borderId="228" applyNumberFormat="0" applyProtection="0">
      <alignment horizontal="right" vertical="center"/>
    </xf>
    <xf numFmtId="4" fontId="45" fillId="34" borderId="228" applyNumberFormat="0" applyProtection="0">
      <alignment horizontal="left" vertical="center" indent="1"/>
    </xf>
    <xf numFmtId="4" fontId="45" fillId="36" borderId="228" applyNumberFormat="0" applyProtection="0">
      <alignment horizontal="right" vertical="center"/>
    </xf>
    <xf numFmtId="0" fontId="45" fillId="50" borderId="240" applyNumberFormat="0" applyProtection="0">
      <alignment horizontal="left" vertical="center" indent="1"/>
    </xf>
    <xf numFmtId="0" fontId="96" fillId="29" borderId="229" applyNumberFormat="0" applyAlignment="0" applyProtection="0"/>
    <xf numFmtId="4" fontId="11" fillId="45" borderId="243" applyNumberFormat="0" applyProtection="0">
      <alignment horizontal="left" vertical="center" indent="1"/>
    </xf>
    <xf numFmtId="4" fontId="45" fillId="46" borderId="240" applyNumberFormat="0" applyProtection="0">
      <alignment horizontal="right" vertical="center"/>
    </xf>
    <xf numFmtId="0" fontId="88" fillId="29" borderId="228" applyNumberFormat="0" applyAlignment="0" applyProtection="0"/>
    <xf numFmtId="4" fontId="45" fillId="39" borderId="246" applyNumberFormat="0" applyProtection="0">
      <alignment horizontal="right" vertical="center"/>
    </xf>
    <xf numFmtId="4" fontId="45" fillId="40" borderId="253" applyNumberFormat="0" applyProtection="0">
      <alignment horizontal="right" vertical="center"/>
    </xf>
    <xf numFmtId="4" fontId="11" fillId="45" borderId="243" applyNumberFormat="0" applyProtection="0">
      <alignment horizontal="left" vertical="center" indent="1"/>
    </xf>
    <xf numFmtId="0" fontId="45" fillId="26" borderId="228" applyNumberFormat="0" applyFont="0" applyAlignment="0" applyProtection="0"/>
    <xf numFmtId="4" fontId="45" fillId="35" borderId="228" applyNumberFormat="0" applyProtection="0">
      <alignment horizontal="right" vertical="center"/>
    </xf>
    <xf numFmtId="4" fontId="45" fillId="42" borderId="228" applyNumberFormat="0" applyProtection="0">
      <alignment horizontal="right" vertical="center"/>
    </xf>
    <xf numFmtId="4" fontId="45" fillId="46" borderId="231" applyNumberFormat="0" applyProtection="0">
      <alignment horizontal="left" vertical="center" indent="1"/>
    </xf>
    <xf numFmtId="4" fontId="45" fillId="41" borderId="228" applyNumberFormat="0" applyProtection="0">
      <alignment horizontal="right" vertical="center"/>
    </xf>
    <xf numFmtId="4" fontId="45" fillId="47" borderId="231" applyNumberFormat="0" applyProtection="0">
      <alignment horizontal="left" vertical="center" indent="1"/>
    </xf>
    <xf numFmtId="0" fontId="94" fillId="27" borderId="240" applyNumberFormat="0" applyAlignment="0" applyProtection="0"/>
    <xf numFmtId="4" fontId="99" fillId="2" borderId="234" applyNumberFormat="0" applyProtection="0">
      <alignment vertical="center"/>
    </xf>
    <xf numFmtId="0" fontId="82" fillId="33" borderId="261" applyNumberFormat="0" applyProtection="0">
      <alignment horizontal="left" vertical="top" indent="1"/>
    </xf>
    <xf numFmtId="4" fontId="45" fillId="2" borderId="234" applyNumberFormat="0" applyProtection="0">
      <alignment horizontal="left" vertical="center" indent="1"/>
    </xf>
    <xf numFmtId="0" fontId="82" fillId="33" borderId="236" applyNumberFormat="0" applyProtection="0">
      <alignment horizontal="left" vertical="top" indent="1"/>
    </xf>
    <xf numFmtId="4" fontId="45" fillId="33" borderId="234" applyNumberFormat="0" applyProtection="0">
      <alignment vertical="center"/>
    </xf>
    <xf numFmtId="0" fontId="45" fillId="50" borderId="230" applyNumberFormat="0" applyProtection="0">
      <alignment horizontal="left" vertical="top" indent="1"/>
    </xf>
    <xf numFmtId="0" fontId="45" fillId="47" borderId="228" applyNumberFormat="0" applyProtection="0">
      <alignment horizontal="left" vertical="center" indent="1"/>
    </xf>
    <xf numFmtId="0" fontId="45" fillId="47" borderId="230" applyNumberFormat="0" applyProtection="0">
      <alignment horizontal="left" vertical="top" indent="1"/>
    </xf>
    <xf numFmtId="4" fontId="45" fillId="35" borderId="265" applyNumberFormat="0" applyProtection="0">
      <alignment horizontal="right" vertical="center"/>
    </xf>
    <xf numFmtId="0" fontId="80" fillId="45" borderId="232" applyBorder="0"/>
    <xf numFmtId="4" fontId="81" fillId="52" borderId="230" applyNumberFormat="0" applyProtection="0">
      <alignment vertical="center"/>
    </xf>
    <xf numFmtId="0" fontId="45" fillId="45" borderId="261" applyNumberFormat="0" applyProtection="0">
      <alignment horizontal="left" vertical="top" indent="1"/>
    </xf>
    <xf numFmtId="4" fontId="81" fillId="48" borderId="230" applyNumberFormat="0" applyProtection="0">
      <alignment horizontal="left" vertical="center" indent="1"/>
    </xf>
    <xf numFmtId="0" fontId="81" fillId="52" borderId="230" applyNumberFormat="0" applyProtection="0">
      <alignment horizontal="left" vertical="top" indent="1"/>
    </xf>
    <xf numFmtId="4" fontId="45" fillId="0" borderId="228" applyNumberFormat="0" applyProtection="0">
      <alignment horizontal="right" vertical="center"/>
    </xf>
    <xf numFmtId="4" fontId="99" fillId="5" borderId="228" applyNumberFormat="0" applyProtection="0">
      <alignment horizontal="right" vertical="center"/>
    </xf>
    <xf numFmtId="4" fontId="45" fillId="34" borderId="228" applyNumberFormat="0" applyProtection="0">
      <alignment horizontal="left" vertical="center" indent="1"/>
    </xf>
    <xf numFmtId="0" fontId="81" fillId="46" borderId="230" applyNumberFormat="0" applyProtection="0">
      <alignment horizontal="left" vertical="top" indent="1"/>
    </xf>
    <xf numFmtId="4" fontId="83" fillId="54" borderId="231" applyNumberFormat="0" applyProtection="0">
      <alignment horizontal="left" vertical="center" indent="1"/>
    </xf>
    <xf numFmtId="4" fontId="45" fillId="38" borderId="246" applyNumberFormat="0" applyProtection="0">
      <alignment horizontal="right" vertical="center"/>
    </xf>
    <xf numFmtId="4" fontId="84" fillId="51" borderId="228" applyNumberFormat="0" applyProtection="0">
      <alignment horizontal="right" vertical="center"/>
    </xf>
    <xf numFmtId="4" fontId="45" fillId="40" borderId="259" applyNumberFormat="0" applyProtection="0">
      <alignment horizontal="right" vertical="center"/>
    </xf>
    <xf numFmtId="0" fontId="90" fillId="0" borderId="233" applyNumberFormat="0" applyFill="0" applyAlignment="0" applyProtection="0"/>
    <xf numFmtId="0" fontId="45" fillId="45" borderId="248" applyNumberFormat="0" applyProtection="0">
      <alignment horizontal="left" vertical="top" indent="1"/>
    </xf>
    <xf numFmtId="0" fontId="45" fillId="48" borderId="234" applyNumberFormat="0" applyProtection="0">
      <alignment horizontal="left" vertical="center" indent="1"/>
    </xf>
    <xf numFmtId="4" fontId="45" fillId="43" borderId="234" applyNumberFormat="0" applyProtection="0">
      <alignment horizontal="right" vertical="center"/>
    </xf>
    <xf numFmtId="4" fontId="45" fillId="34" borderId="234" applyNumberFormat="0" applyProtection="0">
      <alignment horizontal="left" vertical="center" indent="1"/>
    </xf>
    <xf numFmtId="4" fontId="45" fillId="36" borderId="234" applyNumberFormat="0" applyProtection="0">
      <alignment horizontal="right" vertical="center"/>
    </xf>
    <xf numFmtId="0" fontId="45" fillId="50" borderId="246" applyNumberFormat="0" applyProtection="0">
      <alignment horizontal="left" vertical="center" indent="1"/>
    </xf>
    <xf numFmtId="0" fontId="96" fillId="29" borderId="235" applyNumberFormat="0" applyAlignment="0" applyProtection="0"/>
    <xf numFmtId="4" fontId="11" fillId="45" borderId="249" applyNumberFormat="0" applyProtection="0">
      <alignment horizontal="left" vertical="center" indent="1"/>
    </xf>
    <xf numFmtId="4" fontId="45" fillId="46" borderId="246" applyNumberFormat="0" applyProtection="0">
      <alignment horizontal="right" vertical="center"/>
    </xf>
    <xf numFmtId="0" fontId="88" fillId="29" borderId="234" applyNumberFormat="0" applyAlignment="0" applyProtection="0"/>
    <xf numFmtId="4" fontId="45" fillId="39" borderId="253" applyNumberFormat="0" applyProtection="0">
      <alignment horizontal="right" vertical="center"/>
    </xf>
    <xf numFmtId="0" fontId="94" fillId="27" borderId="265" applyNumberFormat="0" applyAlignment="0" applyProtection="0"/>
    <xf numFmtId="4" fontId="11" fillId="45" borderId="249" applyNumberFormat="0" applyProtection="0">
      <alignment horizontal="left" vertical="center" indent="1"/>
    </xf>
    <xf numFmtId="0" fontId="45" fillId="26" borderId="234" applyNumberFormat="0" applyFont="0" applyAlignment="0" applyProtection="0"/>
    <xf numFmtId="4" fontId="45" fillId="35" borderId="234" applyNumberFormat="0" applyProtection="0">
      <alignment horizontal="right" vertical="center"/>
    </xf>
    <xf numFmtId="4" fontId="45" fillId="42" borderId="234" applyNumberFormat="0" applyProtection="0">
      <alignment horizontal="right" vertical="center"/>
    </xf>
    <xf numFmtId="4" fontId="45" fillId="46" borderId="237" applyNumberFormat="0" applyProtection="0">
      <alignment horizontal="left" vertical="center" indent="1"/>
    </xf>
    <xf numFmtId="4" fontId="45" fillId="41" borderId="234" applyNumberFormat="0" applyProtection="0">
      <alignment horizontal="right" vertical="center"/>
    </xf>
    <xf numFmtId="4" fontId="45" fillId="47" borderId="237" applyNumberFormat="0" applyProtection="0">
      <alignment horizontal="left" vertical="center" indent="1"/>
    </xf>
    <xf numFmtId="0" fontId="94" fillId="27" borderId="246" applyNumberFormat="0" applyAlignment="0" applyProtection="0"/>
    <xf numFmtId="4" fontId="99" fillId="2" borderId="240" applyNumberFormat="0" applyProtection="0">
      <alignment vertical="center"/>
    </xf>
    <xf numFmtId="4" fontId="45" fillId="40" borderId="278" applyNumberFormat="0" applyProtection="0">
      <alignment horizontal="right" vertical="center"/>
    </xf>
    <xf numFmtId="4" fontId="45" fillId="2" borderId="240" applyNumberFormat="0" applyProtection="0">
      <alignment horizontal="left" vertical="center" indent="1"/>
    </xf>
    <xf numFmtId="0" fontId="82" fillId="33" borderId="242" applyNumberFormat="0" applyProtection="0">
      <alignment horizontal="left" vertical="top" indent="1"/>
    </xf>
    <xf numFmtId="4" fontId="45" fillId="33" borderId="240" applyNumberFormat="0" applyProtection="0">
      <alignment vertical="center"/>
    </xf>
    <xf numFmtId="0" fontId="45" fillId="50" borderId="236" applyNumberFormat="0" applyProtection="0">
      <alignment horizontal="left" vertical="top" indent="1"/>
    </xf>
    <xf numFmtId="0" fontId="45" fillId="47" borderId="234" applyNumberFormat="0" applyProtection="0">
      <alignment horizontal="left" vertical="center" indent="1"/>
    </xf>
    <xf numFmtId="0" fontId="45" fillId="47" borderId="236" applyNumberFormat="0" applyProtection="0">
      <alignment horizontal="left" vertical="top" indent="1"/>
    </xf>
    <xf numFmtId="4" fontId="45" fillId="36" borderId="259" applyNumberFormat="0" applyProtection="0">
      <alignment horizontal="right" vertical="center"/>
    </xf>
    <xf numFmtId="0" fontId="80" fillId="45" borderId="238" applyBorder="0"/>
    <xf numFmtId="4" fontId="81" fillId="52" borderId="236" applyNumberFormat="0" applyProtection="0">
      <alignment vertical="center"/>
    </xf>
    <xf numFmtId="4" fontId="45" fillId="44" borderId="275" applyNumberFormat="0" applyProtection="0">
      <alignment horizontal="left" vertical="center" indent="1"/>
    </xf>
    <xf numFmtId="4" fontId="81" fillId="48" borderId="236" applyNumberFormat="0" applyProtection="0">
      <alignment horizontal="left" vertical="center" indent="1"/>
    </xf>
    <xf numFmtId="0" fontId="81" fillId="52" borderId="236" applyNumberFormat="0" applyProtection="0">
      <alignment horizontal="left" vertical="top" indent="1"/>
    </xf>
    <xf numFmtId="4" fontId="45" fillId="0" borderId="234" applyNumberFormat="0" applyProtection="0">
      <alignment horizontal="right" vertical="center"/>
    </xf>
    <xf numFmtId="4" fontId="99" fillId="5" borderId="234" applyNumberFormat="0" applyProtection="0">
      <alignment horizontal="right" vertical="center"/>
    </xf>
    <xf numFmtId="4" fontId="45" fillId="34" borderId="234" applyNumberFormat="0" applyProtection="0">
      <alignment horizontal="left" vertical="center" indent="1"/>
    </xf>
    <xf numFmtId="0" fontId="81" fillId="46" borderId="236" applyNumberFormat="0" applyProtection="0">
      <alignment horizontal="left" vertical="top" indent="1"/>
    </xf>
    <xf numFmtId="4" fontId="83" fillId="54" borderId="237" applyNumberFormat="0" applyProtection="0">
      <alignment horizontal="left" vertical="center" indent="1"/>
    </xf>
    <xf numFmtId="4" fontId="45" fillId="38" borderId="253" applyNumberFormat="0" applyProtection="0">
      <alignment horizontal="right" vertical="center"/>
    </xf>
    <xf numFmtId="4" fontId="84" fillId="51" borderId="234" applyNumberFormat="0" applyProtection="0">
      <alignment horizontal="right" vertical="center"/>
    </xf>
    <xf numFmtId="4" fontId="81" fillId="48" borderId="261" applyNumberFormat="0" applyProtection="0">
      <alignment horizontal="left" vertical="center" indent="1"/>
    </xf>
    <xf numFmtId="0" fontId="90" fillId="0" borderId="239" applyNumberFormat="0" applyFill="0" applyAlignment="0" applyProtection="0"/>
    <xf numFmtId="0" fontId="45" fillId="45" borderId="255" applyNumberFormat="0" applyProtection="0">
      <alignment horizontal="left" vertical="top" indent="1"/>
    </xf>
    <xf numFmtId="0" fontId="45" fillId="48" borderId="240" applyNumberFormat="0" applyProtection="0">
      <alignment horizontal="left" vertical="center" indent="1"/>
    </xf>
    <xf numFmtId="4" fontId="45" fillId="43" borderId="240" applyNumberFormat="0" applyProtection="0">
      <alignment horizontal="right" vertical="center"/>
    </xf>
    <xf numFmtId="4" fontId="45" fillId="34" borderId="240" applyNumberFormat="0" applyProtection="0">
      <alignment horizontal="left" vertical="center" indent="1"/>
    </xf>
    <xf numFmtId="4" fontId="45" fillId="36" borderId="240" applyNumberFormat="0" applyProtection="0">
      <alignment horizontal="right" vertical="center"/>
    </xf>
    <xf numFmtId="0" fontId="45" fillId="50" borderId="253" applyNumberFormat="0" applyProtection="0">
      <alignment horizontal="left" vertical="center" indent="1"/>
    </xf>
    <xf numFmtId="0" fontId="96" fillId="29" borderId="241" applyNumberFormat="0" applyAlignment="0" applyProtection="0"/>
    <xf numFmtId="4" fontId="11" fillId="45" borderId="256" applyNumberFormat="0" applyProtection="0">
      <alignment horizontal="left" vertical="center" indent="1"/>
    </xf>
    <xf numFmtId="4" fontId="45" fillId="46" borderId="253" applyNumberFormat="0" applyProtection="0">
      <alignment horizontal="right" vertical="center"/>
    </xf>
    <xf numFmtId="0" fontId="88" fillId="29" borderId="240" applyNumberFormat="0" applyAlignment="0" applyProtection="0"/>
    <xf numFmtId="0" fontId="45" fillId="50" borderId="278" applyNumberFormat="0" applyProtection="0">
      <alignment horizontal="left" vertical="center" indent="1"/>
    </xf>
    <xf numFmtId="0" fontId="88" fillId="29" borderId="272" applyNumberFormat="0" applyAlignment="0" applyProtection="0"/>
    <xf numFmtId="4" fontId="11" fillId="45" borderId="256" applyNumberFormat="0" applyProtection="0">
      <alignment horizontal="left" vertical="center" indent="1"/>
    </xf>
    <xf numFmtId="0" fontId="45" fillId="26" borderId="240" applyNumberFormat="0" applyFont="0" applyAlignment="0" applyProtection="0"/>
    <xf numFmtId="4" fontId="45" fillId="35" borderId="240" applyNumberFormat="0" applyProtection="0">
      <alignment horizontal="right" vertical="center"/>
    </xf>
    <xf numFmtId="4" fontId="45" fillId="42" borderId="240" applyNumberFormat="0" applyProtection="0">
      <alignment horizontal="right" vertical="center"/>
    </xf>
    <xf numFmtId="4" fontId="45" fillId="46" borderId="243" applyNumberFormat="0" applyProtection="0">
      <alignment horizontal="left" vertical="center" indent="1"/>
    </xf>
    <xf numFmtId="4" fontId="45" fillId="41" borderId="240" applyNumberFormat="0" applyProtection="0">
      <alignment horizontal="right" vertical="center"/>
    </xf>
    <xf numFmtId="4" fontId="45" fillId="47" borderId="243" applyNumberFormat="0" applyProtection="0">
      <alignment horizontal="left" vertical="center" indent="1"/>
    </xf>
    <xf numFmtId="0" fontId="94" fillId="27" borderId="253" applyNumberFormat="0" applyAlignment="0" applyProtection="0"/>
    <xf numFmtId="4" fontId="99" fillId="2" borderId="246" applyNumberFormat="0" applyProtection="0">
      <alignment vertical="center"/>
    </xf>
    <xf numFmtId="4" fontId="45" fillId="46" borderId="262" applyNumberFormat="0" applyProtection="0">
      <alignment horizontal="left" vertical="center" indent="1"/>
    </xf>
    <xf numFmtId="4" fontId="45" fillId="2" borderId="246" applyNumberFormat="0" applyProtection="0">
      <alignment horizontal="left" vertical="center" indent="1"/>
    </xf>
    <xf numFmtId="0" fontId="82" fillId="33" borderId="248" applyNumberFormat="0" applyProtection="0">
      <alignment horizontal="left" vertical="top" indent="1"/>
    </xf>
    <xf numFmtId="4" fontId="45" fillId="33" borderId="246" applyNumberFormat="0" applyProtection="0">
      <alignment vertical="center"/>
    </xf>
    <xf numFmtId="0" fontId="45" fillId="50" borderId="242" applyNumberFormat="0" applyProtection="0">
      <alignment horizontal="left" vertical="top" indent="1"/>
    </xf>
    <xf numFmtId="0" fontId="45" fillId="47" borderId="240" applyNumberFormat="0" applyProtection="0">
      <alignment horizontal="left" vertical="center" indent="1"/>
    </xf>
    <xf numFmtId="0" fontId="45" fillId="47" borderId="242" applyNumberFormat="0" applyProtection="0">
      <alignment horizontal="left" vertical="top" indent="1"/>
    </xf>
    <xf numFmtId="4" fontId="45" fillId="34" borderId="259" applyNumberFormat="0" applyProtection="0">
      <alignment horizontal="left" vertical="center" indent="1"/>
    </xf>
    <xf numFmtId="0" fontId="80" fillId="45" borderId="244" applyBorder="0"/>
    <xf numFmtId="4" fontId="81" fillId="52" borderId="242" applyNumberFormat="0" applyProtection="0">
      <alignment vertical="center"/>
    </xf>
    <xf numFmtId="4" fontId="11" fillId="45" borderId="275" applyNumberFormat="0" applyProtection="0">
      <alignment horizontal="left" vertical="center" indent="1"/>
    </xf>
    <xf numFmtId="4" fontId="81" fillId="48" borderId="242" applyNumberFormat="0" applyProtection="0">
      <alignment horizontal="left" vertical="center" indent="1"/>
    </xf>
    <xf numFmtId="0" fontId="81" fillId="52" borderId="242" applyNumberFormat="0" applyProtection="0">
      <alignment horizontal="left" vertical="top" indent="1"/>
    </xf>
    <xf numFmtId="4" fontId="45" fillId="0" borderId="240" applyNumberFormat="0" applyProtection="0">
      <alignment horizontal="right" vertical="center"/>
    </xf>
    <xf numFmtId="4" fontId="99" fillId="5" borderId="240" applyNumberFormat="0" applyProtection="0">
      <alignment horizontal="right" vertical="center"/>
    </xf>
    <xf numFmtId="4" fontId="45" fillId="34" borderId="240" applyNumberFormat="0" applyProtection="0">
      <alignment horizontal="left" vertical="center" indent="1"/>
    </xf>
    <xf numFmtId="0" fontId="81" fillId="46" borderId="242" applyNumberFormat="0" applyProtection="0">
      <alignment horizontal="left" vertical="top" indent="1"/>
    </xf>
    <xf numFmtId="4" fontId="83" fillId="54" borderId="243" applyNumberFormat="0" applyProtection="0">
      <alignment horizontal="left" vertical="center" indent="1"/>
    </xf>
    <xf numFmtId="0" fontId="45" fillId="49" borderId="290" applyNumberFormat="0" applyProtection="0">
      <alignment horizontal="left" vertical="center" indent="1"/>
    </xf>
    <xf numFmtId="4" fontId="84" fillId="51" borderId="240" applyNumberFormat="0" applyProtection="0">
      <alignment horizontal="right" vertical="center"/>
    </xf>
    <xf numFmtId="0" fontId="45" fillId="46" borderId="261" applyNumberFormat="0" applyProtection="0">
      <alignment horizontal="left" vertical="top" indent="1"/>
    </xf>
    <xf numFmtId="0" fontId="90" fillId="0" borderId="245" applyNumberFormat="0" applyFill="0" applyAlignment="0" applyProtection="0"/>
    <xf numFmtId="4" fontId="11" fillId="45" borderId="268" applyNumberFormat="0" applyProtection="0">
      <alignment horizontal="left" vertical="center" indent="1"/>
    </xf>
    <xf numFmtId="0" fontId="45" fillId="48" borderId="246" applyNumberFormat="0" applyProtection="0">
      <alignment horizontal="left" vertical="center" indent="1"/>
    </xf>
    <xf numFmtId="4" fontId="45" fillId="43" borderId="246" applyNumberFormat="0" applyProtection="0">
      <alignment horizontal="right" vertical="center"/>
    </xf>
    <xf numFmtId="4" fontId="45" fillId="34" borderId="246" applyNumberFormat="0" applyProtection="0">
      <alignment horizontal="left" vertical="center" indent="1"/>
    </xf>
    <xf numFmtId="4" fontId="45" fillId="36" borderId="246" applyNumberFormat="0" applyProtection="0">
      <alignment horizontal="right" vertical="center"/>
    </xf>
    <xf numFmtId="4" fontId="45" fillId="44" borderId="268" applyNumberFormat="0" applyProtection="0">
      <alignment horizontal="left" vertical="center" indent="1"/>
    </xf>
    <xf numFmtId="0" fontId="96" fillId="29" borderId="247" applyNumberFormat="0" applyAlignment="0" applyProtection="0"/>
    <xf numFmtId="0" fontId="82" fillId="33" borderId="267" applyNumberFormat="0" applyProtection="0">
      <alignment horizontal="left" vertical="top" indent="1"/>
    </xf>
    <xf numFmtId="4" fontId="45" fillId="38" borderId="265" applyNumberFormat="0" applyProtection="0">
      <alignment horizontal="right" vertical="center"/>
    </xf>
    <xf numFmtId="0" fontId="88" fillId="29" borderId="246" applyNumberFormat="0" applyAlignment="0" applyProtection="0"/>
    <xf numFmtId="0" fontId="88" fillId="29" borderId="265" applyNumberFormat="0" applyAlignment="0" applyProtection="0"/>
    <xf numFmtId="4" fontId="45" fillId="41" borderId="259" applyNumberFormat="0" applyProtection="0">
      <alignment horizontal="right" vertical="center"/>
    </xf>
    <xf numFmtId="4" fontId="45" fillId="33" borderId="265" applyNumberFormat="0" applyProtection="0">
      <alignment vertical="center"/>
    </xf>
    <xf numFmtId="0" fontId="45" fillId="26" borderId="246" applyNumberFormat="0" applyFont="0" applyAlignment="0" applyProtection="0"/>
    <xf numFmtId="4" fontId="45" fillId="35" borderId="246" applyNumberFormat="0" applyProtection="0">
      <alignment horizontal="right" vertical="center"/>
    </xf>
    <xf numFmtId="4" fontId="45" fillId="42" borderId="246" applyNumberFormat="0" applyProtection="0">
      <alignment horizontal="right" vertical="center"/>
    </xf>
    <xf numFmtId="4" fontId="45" fillId="46" borderId="249" applyNumberFormat="0" applyProtection="0">
      <alignment horizontal="left" vertical="center" indent="1"/>
    </xf>
    <xf numFmtId="4" fontId="45" fillId="41" borderId="246" applyNumberFormat="0" applyProtection="0">
      <alignment horizontal="right" vertical="center"/>
    </xf>
    <xf numFmtId="4" fontId="45" fillId="47" borderId="249" applyNumberFormat="0" applyProtection="0">
      <alignment horizontal="left" vertical="center" indent="1"/>
    </xf>
    <xf numFmtId="4" fontId="45" fillId="34" borderId="259" applyNumberFormat="0" applyProtection="0">
      <alignment horizontal="left" vertical="center" indent="1"/>
    </xf>
    <xf numFmtId="4" fontId="99" fillId="2" borderId="253" applyNumberFormat="0" applyProtection="0">
      <alignment vertical="center"/>
    </xf>
    <xf numFmtId="0" fontId="96" fillId="29" borderId="260" applyNumberFormat="0" applyAlignment="0" applyProtection="0"/>
    <xf numFmtId="4" fontId="45" fillId="2" borderId="253" applyNumberFormat="0" applyProtection="0">
      <alignment horizontal="left" vertical="center" indent="1"/>
    </xf>
    <xf numFmtId="0" fontId="82" fillId="33" borderId="255" applyNumberFormat="0" applyProtection="0">
      <alignment horizontal="left" vertical="top" indent="1"/>
    </xf>
    <xf numFmtId="4" fontId="45" fillId="33" borderId="253" applyNumberFormat="0" applyProtection="0">
      <alignment vertical="center"/>
    </xf>
    <xf numFmtId="0" fontId="45" fillId="50" borderId="248" applyNumberFormat="0" applyProtection="0">
      <alignment horizontal="left" vertical="top" indent="1"/>
    </xf>
    <xf numFmtId="0" fontId="45" fillId="47" borderId="246" applyNumberFormat="0" applyProtection="0">
      <alignment horizontal="left" vertical="center" indent="1"/>
    </xf>
    <xf numFmtId="0" fontId="45" fillId="47" borderId="248" applyNumberFormat="0" applyProtection="0">
      <alignment horizontal="left" vertical="top" indent="1"/>
    </xf>
    <xf numFmtId="4" fontId="45" fillId="47" borderId="262" applyNumberFormat="0" applyProtection="0">
      <alignment horizontal="left" vertical="center" indent="1"/>
    </xf>
    <xf numFmtId="0" fontId="80" fillId="45" borderId="250" applyBorder="0"/>
    <xf numFmtId="4" fontId="81" fillId="52" borderId="248" applyNumberFormat="0" applyProtection="0">
      <alignment vertical="center"/>
    </xf>
    <xf numFmtId="4" fontId="45" fillId="43" borderId="272" applyNumberFormat="0" applyProtection="0">
      <alignment horizontal="right" vertical="center"/>
    </xf>
    <xf numFmtId="4" fontId="81" fillId="48" borderId="248" applyNumberFormat="0" applyProtection="0">
      <alignment horizontal="left" vertical="center" indent="1"/>
    </xf>
    <xf numFmtId="0" fontId="81" fillId="52" borderId="248" applyNumberFormat="0" applyProtection="0">
      <alignment horizontal="left" vertical="top" indent="1"/>
    </xf>
    <xf numFmtId="4" fontId="45" fillId="0" borderId="246" applyNumberFormat="0" applyProtection="0">
      <alignment horizontal="right" vertical="center"/>
    </xf>
    <xf numFmtId="4" fontId="99" fillId="5" borderId="246" applyNumberFormat="0" applyProtection="0">
      <alignment horizontal="right" vertical="center"/>
    </xf>
    <xf numFmtId="4" fontId="45" fillId="34" borderId="246" applyNumberFormat="0" applyProtection="0">
      <alignment horizontal="left" vertical="center" indent="1"/>
    </xf>
    <xf numFmtId="0" fontId="81" fillId="46" borderId="248" applyNumberFormat="0" applyProtection="0">
      <alignment horizontal="left" vertical="top" indent="1"/>
    </xf>
    <xf numFmtId="4" fontId="83" fillId="54" borderId="249" applyNumberFormat="0" applyProtection="0">
      <alignment horizontal="left" vertical="center" indent="1"/>
    </xf>
    <xf numFmtId="0" fontId="45" fillId="49" borderId="278" applyNumberFormat="0" applyProtection="0">
      <alignment horizontal="left" vertical="center" indent="1"/>
    </xf>
    <xf numFmtId="4" fontId="84" fillId="51" borderId="246" applyNumberFormat="0" applyProtection="0">
      <alignment horizontal="right" vertical="center"/>
    </xf>
    <xf numFmtId="0" fontId="80" fillId="45" borderId="263" applyBorder="0"/>
    <xf numFmtId="0" fontId="90" fillId="0" borderId="251" applyNumberFormat="0" applyFill="0" applyAlignment="0" applyProtection="0"/>
    <xf numFmtId="4" fontId="45" fillId="34" borderId="307" applyNumberFormat="0" applyProtection="0">
      <alignment horizontal="left" vertical="center" indent="1"/>
    </xf>
    <xf numFmtId="0" fontId="45" fillId="48" borderId="253" applyNumberFormat="0" applyProtection="0">
      <alignment horizontal="left" vertical="center" indent="1"/>
    </xf>
    <xf numFmtId="4" fontId="45" fillId="43" borderId="253" applyNumberFormat="0" applyProtection="0">
      <alignment horizontal="right" vertical="center"/>
    </xf>
    <xf numFmtId="4" fontId="45" fillId="34" borderId="253" applyNumberFormat="0" applyProtection="0">
      <alignment horizontal="left" vertical="center" indent="1"/>
    </xf>
    <xf numFmtId="4" fontId="45" fillId="36" borderId="253" applyNumberFormat="0" applyProtection="0">
      <alignment horizontal="right" vertical="center"/>
    </xf>
    <xf numFmtId="0" fontId="45" fillId="26" borderId="272" applyNumberFormat="0" applyFont="0" applyAlignment="0" applyProtection="0"/>
    <xf numFmtId="0" fontId="96" fillId="29" borderId="254" applyNumberFormat="0" applyAlignment="0" applyProtection="0"/>
    <xf numFmtId="4" fontId="45" fillId="42" borderId="265" applyNumberFormat="0" applyProtection="0">
      <alignment horizontal="right" vertical="center"/>
    </xf>
    <xf numFmtId="4" fontId="45" fillId="41" borderId="265" applyNumberFormat="0" applyProtection="0">
      <alignment horizontal="right" vertical="center"/>
    </xf>
    <xf numFmtId="0" fontId="88" fillId="29" borderId="253" applyNumberFormat="0" applyAlignment="0" applyProtection="0"/>
    <xf numFmtId="4" fontId="45" fillId="42" borderId="259" applyNumberFormat="0" applyProtection="0">
      <alignment horizontal="right" vertical="center"/>
    </xf>
    <xf numFmtId="4" fontId="45" fillId="37" borderId="359" applyNumberFormat="0" applyProtection="0">
      <alignment horizontal="right" vertical="center"/>
    </xf>
    <xf numFmtId="4" fontId="45" fillId="46" borderId="268" applyNumberFormat="0" applyProtection="0">
      <alignment horizontal="left" vertical="center" indent="1"/>
    </xf>
    <xf numFmtId="0" fontId="45" fillId="26" borderId="253" applyNumberFormat="0" applyFont="0" applyAlignment="0" applyProtection="0"/>
    <xf numFmtId="4" fontId="45" fillId="35" borderId="253" applyNumberFormat="0" applyProtection="0">
      <alignment horizontal="right" vertical="center"/>
    </xf>
    <xf numFmtId="4" fontId="45" fillId="42" borderId="253" applyNumberFormat="0" applyProtection="0">
      <alignment horizontal="right" vertical="center"/>
    </xf>
    <xf numFmtId="4" fontId="45" fillId="46" borderId="256" applyNumberFormat="0" applyProtection="0">
      <alignment horizontal="left" vertical="center" indent="1"/>
    </xf>
    <xf numFmtId="4" fontId="45" fillId="41" borderId="253" applyNumberFormat="0" applyProtection="0">
      <alignment horizontal="right" vertical="center"/>
    </xf>
    <xf numFmtId="4" fontId="45" fillId="47" borderId="256" applyNumberFormat="0" applyProtection="0">
      <alignment horizontal="left" vertical="center" indent="1"/>
    </xf>
    <xf numFmtId="4" fontId="83" fillId="54" borderId="262" applyNumberFormat="0" applyProtection="0">
      <alignment horizontal="left" vertical="center" indent="1"/>
    </xf>
    <xf numFmtId="4" fontId="45" fillId="37" borderId="275" applyNumberFormat="0" applyProtection="0">
      <alignment horizontal="right" vertical="center"/>
    </xf>
    <xf numFmtId="4" fontId="45" fillId="33" borderId="259" applyNumberFormat="0" applyProtection="0">
      <alignment vertical="center"/>
    </xf>
    <xf numFmtId="4" fontId="45" fillId="39" borderId="284" applyNumberFormat="0" applyProtection="0">
      <alignment horizontal="right" vertical="center"/>
    </xf>
    <xf numFmtId="0" fontId="88" fillId="29" borderId="259" applyNumberFormat="0" applyAlignment="0" applyProtection="0"/>
    <xf numFmtId="4" fontId="45" fillId="38" borderId="272" applyNumberFormat="0" applyProtection="0">
      <alignment horizontal="right" vertical="center"/>
    </xf>
    <xf numFmtId="0" fontId="45" fillId="50" borderId="255" applyNumberFormat="0" applyProtection="0">
      <alignment horizontal="left" vertical="top" indent="1"/>
    </xf>
    <xf numFmtId="0" fontId="45" fillId="47" borderId="253" applyNumberFormat="0" applyProtection="0">
      <alignment horizontal="left" vertical="center" indent="1"/>
    </xf>
    <xf numFmtId="0" fontId="45" fillId="47" borderId="255" applyNumberFormat="0" applyProtection="0">
      <alignment horizontal="left" vertical="top" indent="1"/>
    </xf>
    <xf numFmtId="0" fontId="45" fillId="49" borderId="272" applyNumberFormat="0" applyProtection="0">
      <alignment horizontal="left" vertical="center" indent="1"/>
    </xf>
    <xf numFmtId="0" fontId="80" fillId="45" borderId="257" applyBorder="0"/>
    <xf numFmtId="4" fontId="81" fillId="52" borderId="255" applyNumberFormat="0" applyProtection="0">
      <alignment vertical="center"/>
    </xf>
    <xf numFmtId="0" fontId="45" fillId="26" borderId="259" applyNumberFormat="0" applyFont="0" applyAlignment="0" applyProtection="0"/>
    <xf numFmtId="4" fontId="81" fillId="48" borderId="255" applyNumberFormat="0" applyProtection="0">
      <alignment horizontal="left" vertical="center" indent="1"/>
    </xf>
    <xf numFmtId="0" fontId="81" fillId="52" borderId="255" applyNumberFormat="0" applyProtection="0">
      <alignment horizontal="left" vertical="top" indent="1"/>
    </xf>
    <xf numFmtId="4" fontId="45" fillId="0" borderId="253" applyNumberFormat="0" applyProtection="0">
      <alignment horizontal="right" vertical="center"/>
    </xf>
    <xf numFmtId="4" fontId="99" fillId="5" borderId="253" applyNumberFormat="0" applyProtection="0">
      <alignment horizontal="right" vertical="center"/>
    </xf>
    <xf numFmtId="4" fontId="45" fillId="34" borderId="253" applyNumberFormat="0" applyProtection="0">
      <alignment horizontal="left" vertical="center" indent="1"/>
    </xf>
    <xf numFmtId="0" fontId="81" fillId="46" borderId="255" applyNumberFormat="0" applyProtection="0">
      <alignment horizontal="left" vertical="top" indent="1"/>
    </xf>
    <xf numFmtId="4" fontId="83" fillId="54" borderId="256" applyNumberFormat="0" applyProtection="0">
      <alignment horizontal="left" vertical="center" indent="1"/>
    </xf>
    <xf numFmtId="4" fontId="45" fillId="43" borderId="259" applyNumberFormat="0" applyProtection="0">
      <alignment horizontal="right" vertical="center"/>
    </xf>
    <xf numFmtId="4" fontId="84" fillId="51" borderId="253" applyNumberFormat="0" applyProtection="0">
      <alignment horizontal="right" vertical="center"/>
    </xf>
    <xf numFmtId="0" fontId="45" fillId="49" borderId="259" applyNumberFormat="0" applyProtection="0">
      <alignment horizontal="left" vertical="center" indent="1"/>
    </xf>
    <xf numFmtId="0" fontId="90" fillId="0" borderId="258" applyNumberFormat="0" applyFill="0" applyAlignment="0" applyProtection="0"/>
    <xf numFmtId="4" fontId="99" fillId="2" borderId="259" applyNumberFormat="0" applyProtection="0">
      <alignment vertical="center"/>
    </xf>
    <xf numFmtId="4" fontId="45" fillId="37" borderId="268" applyNumberFormat="0" applyProtection="0">
      <alignment horizontal="right" vertical="center"/>
    </xf>
    <xf numFmtId="4" fontId="99" fillId="2" borderId="265" applyNumberFormat="0" applyProtection="0">
      <alignment vertical="center"/>
    </xf>
    <xf numFmtId="4" fontId="45" fillId="37" borderId="298" applyNumberFormat="0" applyProtection="0">
      <alignment horizontal="right" vertical="center"/>
    </xf>
    <xf numFmtId="4" fontId="11" fillId="45" borderId="281" applyNumberFormat="0" applyProtection="0">
      <alignment horizontal="left" vertical="center" indent="1"/>
    </xf>
    <xf numFmtId="4" fontId="45" fillId="2" borderId="259" applyNumberFormat="0" applyProtection="0">
      <alignment horizontal="left" vertical="center" indent="1"/>
    </xf>
    <xf numFmtId="4" fontId="45" fillId="42" borderId="272" applyNumberFormat="0" applyProtection="0">
      <alignment horizontal="right" vertical="center"/>
    </xf>
    <xf numFmtId="4" fontId="45" fillId="39" borderId="259" applyNumberFormat="0" applyProtection="0">
      <alignment horizontal="right" vertical="center"/>
    </xf>
    <xf numFmtId="4" fontId="45" fillId="37" borderId="262" applyNumberFormat="0" applyProtection="0">
      <alignment horizontal="right" vertical="center"/>
    </xf>
    <xf numFmtId="0" fontId="45" fillId="50" borderId="259" applyNumberFormat="0" applyProtection="0">
      <alignment horizontal="left" vertical="center" indent="1"/>
    </xf>
    <xf numFmtId="4" fontId="81" fillId="52" borderId="261" applyNumberFormat="0" applyProtection="0">
      <alignment vertical="center"/>
    </xf>
    <xf numFmtId="0" fontId="45" fillId="50" borderId="261" applyNumberFormat="0" applyProtection="0">
      <alignment horizontal="left" vertical="top" indent="1"/>
    </xf>
    <xf numFmtId="4" fontId="45" fillId="38" borderId="259" applyNumberFormat="0" applyProtection="0">
      <alignment horizontal="right" vertical="center"/>
    </xf>
    <xf numFmtId="0" fontId="45" fillId="48" borderId="272" applyNumberFormat="0" applyProtection="0">
      <alignment horizontal="left" vertical="center" indent="1"/>
    </xf>
    <xf numFmtId="4" fontId="45" fillId="37" borderId="281" applyNumberFormat="0" applyProtection="0">
      <alignment horizontal="right" vertical="center"/>
    </xf>
    <xf numFmtId="0" fontId="45" fillId="46" borderId="280" applyNumberFormat="0" applyProtection="0">
      <alignment horizontal="left" vertical="top" indent="1"/>
    </xf>
    <xf numFmtId="4" fontId="45" fillId="40" borderId="265" applyNumberFormat="0" applyProtection="0">
      <alignment horizontal="right" vertical="center"/>
    </xf>
    <xf numFmtId="0" fontId="45" fillId="45" borderId="280" applyNumberFormat="0" applyProtection="0">
      <alignment horizontal="left" vertical="top" indent="1"/>
    </xf>
    <xf numFmtId="4" fontId="45" fillId="39" borderId="265" applyNumberFormat="0" applyProtection="0">
      <alignment horizontal="right" vertical="center"/>
    </xf>
    <xf numFmtId="0" fontId="45" fillId="48" borderId="259" applyNumberFormat="0" applyProtection="0">
      <alignment horizontal="left" vertical="center" indent="1"/>
    </xf>
    <xf numFmtId="0" fontId="45" fillId="48" borderId="265" applyNumberFormat="0" applyProtection="0">
      <alignment horizontal="left" vertical="center" indent="1"/>
    </xf>
    <xf numFmtId="0" fontId="45" fillId="45" borderId="274" applyNumberFormat="0" applyProtection="0">
      <alignment horizontal="left" vertical="top" indent="1"/>
    </xf>
    <xf numFmtId="4" fontId="45" fillId="43" borderId="265" applyNumberFormat="0" applyProtection="0">
      <alignment horizontal="right" vertical="center"/>
    </xf>
    <xf numFmtId="4" fontId="45" fillId="34" borderId="265" applyNumberFormat="0" applyProtection="0">
      <alignment horizontal="left" vertical="center" indent="1"/>
    </xf>
    <xf numFmtId="0" fontId="45" fillId="46" borderId="297" applyNumberFormat="0" applyProtection="0">
      <alignment horizontal="left" vertical="top" indent="1"/>
    </xf>
    <xf numFmtId="0" fontId="45" fillId="49" borderId="265" applyNumberFormat="0" applyProtection="0">
      <alignment horizontal="left" vertical="center" indent="1"/>
    </xf>
    <xf numFmtId="0" fontId="45" fillId="46" borderId="267" applyNumberFormat="0" applyProtection="0">
      <alignment horizontal="left" vertical="top" indent="1"/>
    </xf>
    <xf numFmtId="0" fontId="45" fillId="50" borderId="265" applyNumberFormat="0" applyProtection="0">
      <alignment horizontal="left" vertical="center" indent="1"/>
    </xf>
    <xf numFmtId="0" fontId="45" fillId="45" borderId="267" applyNumberFormat="0" applyProtection="0">
      <alignment horizontal="left" vertical="top" indent="1"/>
    </xf>
    <xf numFmtId="4" fontId="99" fillId="2" borderId="278" applyNumberFormat="0" applyProtection="0">
      <alignment vertical="center"/>
    </xf>
    <xf numFmtId="0" fontId="45" fillId="49" borderId="284" applyNumberFormat="0" applyProtection="0">
      <alignment horizontal="left" vertical="center" indent="1"/>
    </xf>
    <xf numFmtId="4" fontId="11" fillId="45" borderId="341" applyNumberFormat="0" applyProtection="0">
      <alignment horizontal="left" vertical="center" indent="1"/>
    </xf>
    <xf numFmtId="4" fontId="11" fillId="45" borderId="287" applyNumberFormat="0" applyProtection="0">
      <alignment horizontal="left" vertical="center" indent="1"/>
    </xf>
    <xf numFmtId="4" fontId="45" fillId="44" borderId="298" applyNumberFormat="0" applyProtection="0">
      <alignment horizontal="left" vertical="center" indent="1"/>
    </xf>
    <xf numFmtId="4" fontId="45" fillId="44" borderId="287" applyNumberFormat="0" applyProtection="0">
      <alignment horizontal="left" vertical="center" indent="1"/>
    </xf>
    <xf numFmtId="0" fontId="45" fillId="46" borderId="292" applyNumberFormat="0" applyProtection="0">
      <alignment horizontal="left" vertical="top" indent="1"/>
    </xf>
    <xf numFmtId="4" fontId="45" fillId="46" borderId="284" applyNumberFormat="0" applyProtection="0">
      <alignment horizontal="right" vertical="center"/>
    </xf>
    <xf numFmtId="0" fontId="45" fillId="48" borderId="301" applyNumberFormat="0" applyProtection="0">
      <alignment horizontal="left" vertical="center" indent="1"/>
    </xf>
    <xf numFmtId="4" fontId="45" fillId="47" borderId="304" applyNumberFormat="0" applyProtection="0">
      <alignment horizontal="left" vertical="center" indent="1"/>
    </xf>
    <xf numFmtId="4" fontId="45" fillId="2" borderId="278" applyNumberFormat="0" applyProtection="0">
      <alignment horizontal="left" vertical="center" indent="1"/>
    </xf>
    <xf numFmtId="4" fontId="83" fillId="54" borderId="304" applyNumberFormat="0" applyProtection="0">
      <alignment horizontal="left" vertical="center" indent="1"/>
    </xf>
    <xf numFmtId="4" fontId="45" fillId="36" borderId="272" applyNumberFormat="0" applyProtection="0">
      <alignment horizontal="right" vertical="center"/>
    </xf>
    <xf numFmtId="0" fontId="45" fillId="46" borderId="309" applyNumberFormat="0" applyProtection="0">
      <alignment horizontal="left" vertical="top" indent="1"/>
    </xf>
    <xf numFmtId="4" fontId="45" fillId="46" borderId="275" applyNumberFormat="0" applyProtection="0">
      <alignment horizontal="left" vertical="center" indent="1"/>
    </xf>
    <xf numFmtId="0" fontId="96" fillId="29" borderId="273" applyNumberFormat="0" applyAlignment="0" applyProtection="0"/>
    <xf numFmtId="0" fontId="45" fillId="26" borderId="265" applyNumberFormat="0" applyFont="0" applyAlignment="0" applyProtection="0"/>
    <xf numFmtId="4" fontId="45" fillId="36" borderId="265" applyNumberFormat="0" applyProtection="0">
      <alignment horizontal="right" vertical="center"/>
    </xf>
    <xf numFmtId="0" fontId="96" fillId="29" borderId="266" applyNumberFormat="0" applyAlignment="0" applyProtection="0"/>
    <xf numFmtId="4" fontId="84" fillId="51" borderId="259" applyNumberFormat="0" applyProtection="0">
      <alignment horizontal="right" vertical="center"/>
    </xf>
    <xf numFmtId="0" fontId="90" fillId="0" borderId="264" applyNumberFormat="0" applyFill="0" applyAlignment="0" applyProtection="0"/>
    <xf numFmtId="0" fontId="81" fillId="52" borderId="261" applyNumberFormat="0" applyProtection="0">
      <alignment horizontal="left" vertical="top" indent="1"/>
    </xf>
    <xf numFmtId="4" fontId="99" fillId="5" borderId="259" applyNumberFormat="0" applyProtection="0">
      <alignment horizontal="right" vertical="center"/>
    </xf>
    <xf numFmtId="0" fontId="94" fillId="27" borderId="284" applyNumberFormat="0" applyAlignment="0" applyProtection="0"/>
    <xf numFmtId="0" fontId="45" fillId="47" borderId="259" applyNumberFormat="0" applyProtection="0">
      <alignment horizontal="left" vertical="center" indent="1"/>
    </xf>
    <xf numFmtId="0" fontId="45" fillId="47" borderId="261" applyNumberFormat="0" applyProtection="0">
      <alignment horizontal="left" vertical="top" indent="1"/>
    </xf>
    <xf numFmtId="4" fontId="45" fillId="0" borderId="259" applyNumberFormat="0" applyProtection="0">
      <alignment horizontal="right" vertical="center"/>
    </xf>
    <xf numFmtId="0" fontId="94" fillId="27" borderId="278" applyNumberFormat="0" applyAlignment="0" applyProtection="0"/>
    <xf numFmtId="4" fontId="45" fillId="36" borderId="307" applyNumberFormat="0" applyProtection="0">
      <alignment horizontal="right" vertical="center"/>
    </xf>
    <xf numFmtId="4" fontId="45" fillId="44" borderId="281" applyNumberFormat="0" applyProtection="0">
      <alignment horizontal="left" vertical="center" indent="1"/>
    </xf>
    <xf numFmtId="4" fontId="45" fillId="44" borderId="293" applyNumberFormat="0" applyProtection="0">
      <alignment horizontal="left" vertical="center" indent="1"/>
    </xf>
    <xf numFmtId="4" fontId="11" fillId="45" borderId="335" applyNumberFormat="0" applyProtection="0">
      <alignment horizontal="left" vertical="center" indent="1"/>
    </xf>
    <xf numFmtId="4" fontId="45" fillId="47" borderId="268" applyNumberFormat="0" applyProtection="0">
      <alignment horizontal="left" vertical="center" indent="1"/>
    </xf>
    <xf numFmtId="0" fontId="94" fillId="27" borderId="259" applyNumberFormat="0" applyAlignment="0" applyProtection="0"/>
    <xf numFmtId="4" fontId="45" fillId="46" borderId="259" applyNumberFormat="0" applyProtection="0">
      <alignment horizontal="right" vertical="center"/>
    </xf>
    <xf numFmtId="4" fontId="45" fillId="35" borderId="272" applyNumberFormat="0" applyProtection="0">
      <alignment horizontal="right" vertical="center"/>
    </xf>
    <xf numFmtId="4" fontId="11" fillId="45" borderId="262" applyNumberFormat="0" applyProtection="0">
      <alignment horizontal="left" vertical="center" indent="1"/>
    </xf>
    <xf numFmtId="4" fontId="11" fillId="45" borderId="262" applyNumberFormat="0" applyProtection="0">
      <alignment horizontal="left" vertical="center" indent="1"/>
    </xf>
    <xf numFmtId="4" fontId="45" fillId="44" borderId="262" applyNumberFormat="0" applyProtection="0">
      <alignment horizontal="left" vertical="center" indent="1"/>
    </xf>
    <xf numFmtId="0" fontId="45" fillId="50" borderId="267" applyNumberFormat="0" applyProtection="0">
      <alignment horizontal="left" vertical="top" indent="1"/>
    </xf>
    <xf numFmtId="0" fontId="45" fillId="47" borderId="265" applyNumberFormat="0" applyProtection="0">
      <alignment horizontal="left" vertical="center" indent="1"/>
    </xf>
    <xf numFmtId="0" fontId="45" fillId="47" borderId="267" applyNumberFormat="0" applyProtection="0">
      <alignment horizontal="left" vertical="top" indent="1"/>
    </xf>
    <xf numFmtId="4" fontId="45" fillId="38" borderId="284" applyNumberFormat="0" applyProtection="0">
      <alignment horizontal="right" vertical="center"/>
    </xf>
    <xf numFmtId="0" fontId="80" fillId="45" borderId="269" applyBorder="0"/>
    <xf numFmtId="4" fontId="81" fillId="52" borderId="267" applyNumberFormat="0" applyProtection="0">
      <alignment vertical="center"/>
    </xf>
    <xf numFmtId="4" fontId="11" fillId="45" borderId="316" applyNumberFormat="0" applyProtection="0">
      <alignment horizontal="left" vertical="center" indent="1"/>
    </xf>
    <xf numFmtId="4" fontId="81" fillId="48" borderId="267" applyNumberFormat="0" applyProtection="0">
      <alignment horizontal="left" vertical="center" indent="1"/>
    </xf>
    <xf numFmtId="0" fontId="81" fillId="52" borderId="267" applyNumberFormat="0" applyProtection="0">
      <alignment horizontal="left" vertical="top" indent="1"/>
    </xf>
    <xf numFmtId="4" fontId="45" fillId="0" borderId="265" applyNumberFormat="0" applyProtection="0">
      <alignment horizontal="right" vertical="center"/>
    </xf>
    <xf numFmtId="4" fontId="99" fillId="5" borderId="265" applyNumberFormat="0" applyProtection="0">
      <alignment horizontal="right" vertical="center"/>
    </xf>
    <xf numFmtId="4" fontId="45" fillId="34" borderId="265" applyNumberFormat="0" applyProtection="0">
      <alignment horizontal="left" vertical="center" indent="1"/>
    </xf>
    <xf numFmtId="0" fontId="81" fillId="46" borderId="267" applyNumberFormat="0" applyProtection="0">
      <alignment horizontal="left" vertical="top" indent="1"/>
    </xf>
    <xf numFmtId="4" fontId="83" fillId="54" borderId="268" applyNumberFormat="0" applyProtection="0">
      <alignment horizontal="left" vertical="center" indent="1"/>
    </xf>
    <xf numFmtId="0" fontId="45" fillId="45" borderId="286" applyNumberFormat="0" applyProtection="0">
      <alignment horizontal="left" vertical="top" indent="1"/>
    </xf>
    <xf numFmtId="4" fontId="84" fillId="51" borderId="265" applyNumberFormat="0" applyProtection="0">
      <alignment horizontal="right" vertical="center"/>
    </xf>
    <xf numFmtId="0" fontId="90" fillId="0" borderId="270" applyNumberFormat="0" applyFill="0" applyAlignment="0" applyProtection="0"/>
    <xf numFmtId="4" fontId="45" fillId="47" borderId="275" applyNumberFormat="0" applyProtection="0">
      <alignment horizontal="left" vertical="center" indent="1"/>
    </xf>
    <xf numFmtId="4" fontId="45" fillId="41" borderId="272" applyNumberFormat="0" applyProtection="0">
      <alignment horizontal="right" vertical="center"/>
    </xf>
    <xf numFmtId="4" fontId="45" fillId="2" borderId="272" applyNumberFormat="0" applyProtection="0">
      <alignment horizontal="left" vertical="center" indent="1"/>
    </xf>
    <xf numFmtId="4" fontId="45" fillId="34" borderId="272" applyNumberFormat="0" applyProtection="0">
      <alignment horizontal="left" vertical="center" indent="1"/>
    </xf>
    <xf numFmtId="0" fontId="94" fillId="27" borderId="272" applyNumberFormat="0" applyAlignment="0" applyProtection="0"/>
    <xf numFmtId="0" fontId="45" fillId="50" borderId="284" applyNumberFormat="0" applyProtection="0">
      <alignment horizontal="left" vertical="center" indent="1"/>
    </xf>
    <xf numFmtId="4" fontId="45" fillId="40" borderId="284" applyNumberFormat="0" applyProtection="0">
      <alignment horizontal="right" vertical="center"/>
    </xf>
    <xf numFmtId="4" fontId="11" fillId="45" borderId="287" applyNumberFormat="0" applyProtection="0">
      <alignment horizontal="left" vertical="center" indent="1"/>
    </xf>
    <xf numFmtId="4" fontId="45" fillId="39" borderId="290" applyNumberFormat="0" applyProtection="0">
      <alignment horizontal="right" vertical="center"/>
    </xf>
    <xf numFmtId="4" fontId="45" fillId="37" borderId="293" applyNumberFormat="0" applyProtection="0">
      <alignment horizontal="right" vertical="center"/>
    </xf>
    <xf numFmtId="4" fontId="45" fillId="40" borderId="290" applyNumberFormat="0" applyProtection="0">
      <alignment horizontal="right" vertical="center"/>
    </xf>
    <xf numFmtId="4" fontId="45" fillId="37" borderId="287" applyNumberFormat="0" applyProtection="0">
      <alignment horizontal="right" vertical="center"/>
    </xf>
    <xf numFmtId="0" fontId="45" fillId="46" borderId="286" applyNumberFormat="0" applyProtection="0">
      <alignment horizontal="left" vertical="top" indent="1"/>
    </xf>
    <xf numFmtId="0" fontId="82" fillId="33" borderId="274" applyNumberFormat="0" applyProtection="0">
      <alignment horizontal="left" vertical="top" indent="1"/>
    </xf>
    <xf numFmtId="4" fontId="45" fillId="40" borderId="272" applyNumberFormat="0" applyProtection="0">
      <alignment horizontal="right" vertical="center"/>
    </xf>
    <xf numFmtId="4" fontId="45" fillId="46" borderId="272" applyNumberFormat="0" applyProtection="0">
      <alignment horizontal="right" vertical="center"/>
    </xf>
    <xf numFmtId="4" fontId="45" fillId="39" borderId="272" applyNumberFormat="0" applyProtection="0">
      <alignment horizontal="right" vertical="center"/>
    </xf>
    <xf numFmtId="4" fontId="11" fillId="45" borderId="275" applyNumberFormat="0" applyProtection="0">
      <alignment horizontal="left" vertical="center" indent="1"/>
    </xf>
    <xf numFmtId="4" fontId="45" fillId="35" borderId="325" applyNumberFormat="0" applyProtection="0">
      <alignment horizontal="right" vertical="center"/>
    </xf>
    <xf numFmtId="0" fontId="82" fillId="33" borderId="280" applyNumberFormat="0" applyProtection="0">
      <alignment horizontal="left" vertical="top" indent="1"/>
    </xf>
    <xf numFmtId="4" fontId="45" fillId="2" borderId="301" applyNumberFormat="0" applyProtection="0">
      <alignment horizontal="left" vertical="center" indent="1"/>
    </xf>
    <xf numFmtId="4" fontId="45" fillId="33" borderId="278" applyNumberFormat="0" applyProtection="0">
      <alignment vertical="center"/>
    </xf>
    <xf numFmtId="4" fontId="45" fillId="38" borderId="278" applyNumberFormat="0" applyProtection="0">
      <alignment horizontal="right" vertical="center"/>
    </xf>
    <xf numFmtId="4" fontId="45" fillId="39" borderId="278" applyNumberFormat="0" applyProtection="0">
      <alignment horizontal="right" vertical="center"/>
    </xf>
    <xf numFmtId="0" fontId="45" fillId="46" borderId="274" applyNumberFormat="0" applyProtection="0">
      <alignment horizontal="left" vertical="top" indent="1"/>
    </xf>
    <xf numFmtId="0" fontId="45" fillId="50" borderId="272" applyNumberFormat="0" applyProtection="0">
      <alignment horizontal="left" vertical="center" indent="1"/>
    </xf>
    <xf numFmtId="0" fontId="45" fillId="50" borderId="274" applyNumberFormat="0" applyProtection="0">
      <alignment horizontal="left" vertical="top" indent="1"/>
    </xf>
    <xf numFmtId="0" fontId="45" fillId="47" borderId="272" applyNumberFormat="0" applyProtection="0">
      <alignment horizontal="left" vertical="center" indent="1"/>
    </xf>
    <xf numFmtId="0" fontId="45" fillId="47" borderId="274" applyNumberFormat="0" applyProtection="0">
      <alignment horizontal="left" vertical="top" indent="1"/>
    </xf>
    <xf numFmtId="4" fontId="45" fillId="39" borderId="313" applyNumberFormat="0" applyProtection="0">
      <alignment horizontal="right" vertical="center"/>
    </xf>
    <xf numFmtId="0" fontId="80" fillId="45" borderId="276" applyBorder="0"/>
    <xf numFmtId="4" fontId="81" fillId="52" borderId="274" applyNumberFormat="0" applyProtection="0">
      <alignment vertical="center"/>
    </xf>
    <xf numFmtId="0" fontId="82" fillId="33" borderId="309" applyNumberFormat="0" applyProtection="0">
      <alignment horizontal="left" vertical="top" indent="1"/>
    </xf>
    <xf numFmtId="4" fontId="81" fillId="48" borderId="274" applyNumberFormat="0" applyProtection="0">
      <alignment horizontal="left" vertical="center" indent="1"/>
    </xf>
    <xf numFmtId="0" fontId="81" fillId="52" borderId="274" applyNumberFormat="0" applyProtection="0">
      <alignment horizontal="left" vertical="top" indent="1"/>
    </xf>
    <xf numFmtId="4" fontId="45" fillId="0" borderId="272" applyNumberFormat="0" applyProtection="0">
      <alignment horizontal="right" vertical="center"/>
    </xf>
    <xf numFmtId="4" fontId="99" fillId="5" borderId="272" applyNumberFormat="0" applyProtection="0">
      <alignment horizontal="right" vertical="center"/>
    </xf>
    <xf numFmtId="4" fontId="45" fillId="34" borderId="272" applyNumberFormat="0" applyProtection="0">
      <alignment horizontal="left" vertical="center" indent="1"/>
    </xf>
    <xf numFmtId="0" fontId="81" fillId="46" borderId="274" applyNumberFormat="0" applyProtection="0">
      <alignment horizontal="left" vertical="top" indent="1"/>
    </xf>
    <xf numFmtId="4" fontId="83" fillId="54" borderId="275" applyNumberFormat="0" applyProtection="0">
      <alignment horizontal="left" vertical="center" indent="1"/>
    </xf>
    <xf numFmtId="4" fontId="45" fillId="38" borderId="290" applyNumberFormat="0" applyProtection="0">
      <alignment horizontal="right" vertical="center"/>
    </xf>
    <xf numFmtId="4" fontId="84" fillId="51" borderId="272" applyNumberFormat="0" applyProtection="0">
      <alignment horizontal="right" vertical="center"/>
    </xf>
    <xf numFmtId="4" fontId="45" fillId="43" borderId="301" applyNumberFormat="0" applyProtection="0">
      <alignment horizontal="right" vertical="center"/>
    </xf>
    <xf numFmtId="0" fontId="90" fillId="0" borderId="277" applyNumberFormat="0" applyFill="0" applyAlignment="0" applyProtection="0"/>
    <xf numFmtId="0" fontId="45" fillId="45" borderId="292" applyNumberFormat="0" applyProtection="0">
      <alignment horizontal="left" vertical="top" indent="1"/>
    </xf>
    <xf numFmtId="0" fontId="45" fillId="48" borderId="278" applyNumberFormat="0" applyProtection="0">
      <alignment horizontal="left" vertical="center" indent="1"/>
    </xf>
    <xf numFmtId="4" fontId="45" fillId="43" borderId="278" applyNumberFormat="0" applyProtection="0">
      <alignment horizontal="right" vertical="center"/>
    </xf>
    <xf numFmtId="4" fontId="45" fillId="34" borderId="278" applyNumberFormat="0" applyProtection="0">
      <alignment horizontal="left" vertical="center" indent="1"/>
    </xf>
    <xf numFmtId="4" fontId="45" fillId="36" borderId="278" applyNumberFormat="0" applyProtection="0">
      <alignment horizontal="right" vertical="center"/>
    </xf>
    <xf numFmtId="0" fontId="45" fillId="50" borderId="290" applyNumberFormat="0" applyProtection="0">
      <alignment horizontal="left" vertical="center" indent="1"/>
    </xf>
    <xf numFmtId="0" fontId="96" fillId="29" borderId="279" applyNumberFormat="0" applyAlignment="0" applyProtection="0"/>
    <xf numFmtId="4" fontId="11" fillId="45" borderId="293" applyNumberFormat="0" applyProtection="0">
      <alignment horizontal="left" vertical="center" indent="1"/>
    </xf>
    <xf numFmtId="4" fontId="45" fillId="46" borderId="290" applyNumberFormat="0" applyProtection="0">
      <alignment horizontal="right" vertical="center"/>
    </xf>
    <xf numFmtId="0" fontId="88" fillId="29" borderId="278" applyNumberFormat="0" applyAlignment="0" applyProtection="0"/>
    <xf numFmtId="0" fontId="45" fillId="49" borderId="307" applyNumberFormat="0" applyProtection="0">
      <alignment horizontal="left" vertical="center" indent="1"/>
    </xf>
    <xf numFmtId="4" fontId="45" fillId="0" borderId="301" applyNumberFormat="0" applyProtection="0">
      <alignment horizontal="right" vertical="center"/>
    </xf>
    <xf numFmtId="4" fontId="11" fillId="45" borderId="293" applyNumberFormat="0" applyProtection="0">
      <alignment horizontal="left" vertical="center" indent="1"/>
    </xf>
    <xf numFmtId="0" fontId="45" fillId="26" borderId="278" applyNumberFormat="0" applyFont="0" applyAlignment="0" applyProtection="0"/>
    <xf numFmtId="4" fontId="45" fillId="35" borderId="278" applyNumberFormat="0" applyProtection="0">
      <alignment horizontal="right" vertical="center"/>
    </xf>
    <xf numFmtId="4" fontId="45" fillId="42" borderId="278" applyNumberFormat="0" applyProtection="0">
      <alignment horizontal="right" vertical="center"/>
    </xf>
    <xf numFmtId="4" fontId="45" fillId="46" borderId="281" applyNumberFormat="0" applyProtection="0">
      <alignment horizontal="left" vertical="center" indent="1"/>
    </xf>
    <xf numFmtId="4" fontId="45" fillId="41" borderId="278" applyNumberFormat="0" applyProtection="0">
      <alignment horizontal="right" vertical="center"/>
    </xf>
    <xf numFmtId="4" fontId="45" fillId="47" borderId="281" applyNumberFormat="0" applyProtection="0">
      <alignment horizontal="left" vertical="center" indent="1"/>
    </xf>
    <xf numFmtId="0" fontId="94" fillId="27" borderId="290" applyNumberFormat="0" applyAlignment="0" applyProtection="0"/>
    <xf numFmtId="4" fontId="99" fillId="2" borderId="284" applyNumberFormat="0" applyProtection="0">
      <alignment vertical="center"/>
    </xf>
    <xf numFmtId="4" fontId="45" fillId="33" borderId="301" applyNumberFormat="0" applyProtection="0">
      <alignment vertical="center"/>
    </xf>
    <xf numFmtId="4" fontId="45" fillId="2" borderId="284" applyNumberFormat="0" applyProtection="0">
      <alignment horizontal="left" vertical="center" indent="1"/>
    </xf>
    <xf numFmtId="0" fontId="82" fillId="33" borderId="286" applyNumberFormat="0" applyProtection="0">
      <alignment horizontal="left" vertical="top" indent="1"/>
    </xf>
    <xf numFmtId="4" fontId="45" fillId="33" borderId="284" applyNumberFormat="0" applyProtection="0">
      <alignment vertical="center"/>
    </xf>
    <xf numFmtId="0" fontId="45" fillId="50" borderId="280" applyNumberFormat="0" applyProtection="0">
      <alignment horizontal="left" vertical="top" indent="1"/>
    </xf>
    <xf numFmtId="0" fontId="45" fillId="47" borderId="278" applyNumberFormat="0" applyProtection="0">
      <alignment horizontal="left" vertical="center" indent="1"/>
    </xf>
    <xf numFmtId="0" fontId="45" fillId="47" borderId="280" applyNumberFormat="0" applyProtection="0">
      <alignment horizontal="left" vertical="top" indent="1"/>
    </xf>
    <xf numFmtId="4" fontId="45" fillId="46" borderId="301" applyNumberFormat="0" applyProtection="0">
      <alignment horizontal="right" vertical="center"/>
    </xf>
    <xf numFmtId="0" fontId="80" fillId="45" borderId="282" applyBorder="0"/>
    <xf numFmtId="4" fontId="81" fillId="52" borderId="280" applyNumberFormat="0" applyProtection="0">
      <alignment vertical="center"/>
    </xf>
    <xf numFmtId="4" fontId="45" fillId="2" borderId="307" applyNumberFormat="0" applyProtection="0">
      <alignment horizontal="left" vertical="center" indent="1"/>
    </xf>
    <xf numFmtId="4" fontId="81" fillId="48" borderId="280" applyNumberFormat="0" applyProtection="0">
      <alignment horizontal="left" vertical="center" indent="1"/>
    </xf>
    <xf numFmtId="0" fontId="81" fillId="52" borderId="280" applyNumberFormat="0" applyProtection="0">
      <alignment horizontal="left" vertical="top" indent="1"/>
    </xf>
    <xf numFmtId="4" fontId="45" fillId="0" borderId="278" applyNumberFormat="0" applyProtection="0">
      <alignment horizontal="right" vertical="center"/>
    </xf>
    <xf numFmtId="4" fontId="99" fillId="5" borderId="278" applyNumberFormat="0" applyProtection="0">
      <alignment horizontal="right" vertical="center"/>
    </xf>
    <xf numFmtId="4" fontId="45" fillId="34" borderId="278" applyNumberFormat="0" applyProtection="0">
      <alignment horizontal="left" vertical="center" indent="1"/>
    </xf>
    <xf numFmtId="0" fontId="81" fillId="46" borderId="280" applyNumberFormat="0" applyProtection="0">
      <alignment horizontal="left" vertical="top" indent="1"/>
    </xf>
    <xf numFmtId="4" fontId="83" fillId="54" borderId="281" applyNumberFormat="0" applyProtection="0">
      <alignment horizontal="left" vertical="center" indent="1"/>
    </xf>
    <xf numFmtId="4" fontId="45" fillId="44" borderId="310" applyNumberFormat="0" applyProtection="0">
      <alignment horizontal="left" vertical="center" indent="1"/>
    </xf>
    <xf numFmtId="4" fontId="84" fillId="51" borderId="278" applyNumberFormat="0" applyProtection="0">
      <alignment horizontal="right" vertical="center"/>
    </xf>
    <xf numFmtId="4" fontId="45" fillId="34" borderId="301" applyNumberFormat="0" applyProtection="0">
      <alignment horizontal="left" vertical="center" indent="1"/>
    </xf>
    <xf numFmtId="0" fontId="90" fillId="0" borderId="283" applyNumberFormat="0" applyFill="0" applyAlignment="0" applyProtection="0"/>
    <xf numFmtId="0" fontId="45" fillId="45" borderId="297" applyNumberFormat="0" applyProtection="0">
      <alignment horizontal="left" vertical="top" indent="1"/>
    </xf>
    <xf numFmtId="0" fontId="45" fillId="48" borderId="284" applyNumberFormat="0" applyProtection="0">
      <alignment horizontal="left" vertical="center" indent="1"/>
    </xf>
    <xf numFmtId="4" fontId="45" fillId="43" borderId="284" applyNumberFormat="0" applyProtection="0">
      <alignment horizontal="right" vertical="center"/>
    </xf>
    <xf numFmtId="4" fontId="45" fillId="34" borderId="284" applyNumberFormat="0" applyProtection="0">
      <alignment horizontal="left" vertical="center" indent="1"/>
    </xf>
    <xf numFmtId="4" fontId="45" fillId="36" borderId="284" applyNumberFormat="0" applyProtection="0">
      <alignment horizontal="right" vertical="center"/>
    </xf>
    <xf numFmtId="4" fontId="45" fillId="39" borderId="338" applyNumberFormat="0" applyProtection="0">
      <alignment horizontal="right" vertical="center"/>
    </xf>
    <xf numFmtId="0" fontId="96" fillId="29" borderId="285" applyNumberFormat="0" applyAlignment="0" applyProtection="0"/>
    <xf numFmtId="4" fontId="11" fillId="45" borderId="298" applyNumberFormat="0" applyProtection="0">
      <alignment horizontal="left" vertical="center" indent="1"/>
    </xf>
    <xf numFmtId="4" fontId="45" fillId="2" borderId="332" applyNumberFormat="0" applyProtection="0">
      <alignment horizontal="left" vertical="center" indent="1"/>
    </xf>
    <xf numFmtId="0" fontId="88" fillId="29" borderId="284" applyNumberFormat="0" applyAlignment="0" applyProtection="0"/>
    <xf numFmtId="0" fontId="81" fillId="52" borderId="303" applyNumberFormat="0" applyProtection="0">
      <alignment horizontal="left" vertical="top" indent="1"/>
    </xf>
    <xf numFmtId="4" fontId="45" fillId="46" borderId="313" applyNumberFormat="0" applyProtection="0">
      <alignment horizontal="right" vertical="center"/>
    </xf>
    <xf numFmtId="4" fontId="11" fillId="45" borderId="298" applyNumberFormat="0" applyProtection="0">
      <alignment horizontal="left" vertical="center" indent="1"/>
    </xf>
    <xf numFmtId="0" fontId="45" fillId="26" borderId="284" applyNumberFormat="0" applyFont="0" applyAlignment="0" applyProtection="0"/>
    <xf numFmtId="4" fontId="45" fillId="35" borderId="284" applyNumberFormat="0" applyProtection="0">
      <alignment horizontal="right" vertical="center"/>
    </xf>
    <xf numFmtId="4" fontId="45" fillId="42" borderId="284" applyNumberFormat="0" applyProtection="0">
      <alignment horizontal="right" vertical="center"/>
    </xf>
    <xf numFmtId="4" fontId="45" fillId="46" borderId="287" applyNumberFormat="0" applyProtection="0">
      <alignment horizontal="left" vertical="center" indent="1"/>
    </xf>
    <xf numFmtId="4" fontId="45" fillId="41" borderId="284" applyNumberFormat="0" applyProtection="0">
      <alignment horizontal="right" vertical="center"/>
    </xf>
    <xf numFmtId="4" fontId="45" fillId="47" borderId="287" applyNumberFormat="0" applyProtection="0">
      <alignment horizontal="left" vertical="center" indent="1"/>
    </xf>
    <xf numFmtId="0" fontId="88" fillId="29" borderId="301" applyNumberFormat="0" applyAlignment="0" applyProtection="0"/>
    <xf numFmtId="4" fontId="99" fillId="2" borderId="290" applyNumberFormat="0" applyProtection="0">
      <alignment vertical="center"/>
    </xf>
    <xf numFmtId="4" fontId="45" fillId="40" borderId="319" applyNumberFormat="0" applyProtection="0">
      <alignment horizontal="right" vertical="center"/>
    </xf>
    <xf numFmtId="4" fontId="45" fillId="2" borderId="290" applyNumberFormat="0" applyProtection="0">
      <alignment horizontal="left" vertical="center" indent="1"/>
    </xf>
    <xf numFmtId="0" fontId="82" fillId="33" borderId="292" applyNumberFormat="0" applyProtection="0">
      <alignment horizontal="left" vertical="top" indent="1"/>
    </xf>
    <xf numFmtId="4" fontId="45" fillId="33" borderId="290" applyNumberFormat="0" applyProtection="0">
      <alignment vertical="center"/>
    </xf>
    <xf numFmtId="0" fontId="45" fillId="50" borderId="286" applyNumberFormat="0" applyProtection="0">
      <alignment horizontal="left" vertical="top" indent="1"/>
    </xf>
    <xf numFmtId="0" fontId="45" fillId="47" borderId="284" applyNumberFormat="0" applyProtection="0">
      <alignment horizontal="left" vertical="center" indent="1"/>
    </xf>
    <xf numFmtId="0" fontId="45" fillId="47" borderId="286" applyNumberFormat="0" applyProtection="0">
      <alignment horizontal="left" vertical="top" indent="1"/>
    </xf>
    <xf numFmtId="0" fontId="96" fillId="29" borderId="302" applyNumberFormat="0" applyAlignment="0" applyProtection="0"/>
    <xf numFmtId="0" fontId="80" fillId="45" borderId="288" applyBorder="0"/>
    <xf numFmtId="4" fontId="81" fillId="52" borderId="286" applyNumberFormat="0" applyProtection="0">
      <alignment vertical="center"/>
    </xf>
    <xf numFmtId="4" fontId="45" fillId="33" borderId="307" applyNumberFormat="0" applyProtection="0">
      <alignment vertical="center"/>
    </xf>
    <xf numFmtId="4" fontId="81" fillId="48" borderId="286" applyNumberFormat="0" applyProtection="0">
      <alignment horizontal="left" vertical="center" indent="1"/>
    </xf>
    <xf numFmtId="0" fontId="81" fillId="52" borderId="286" applyNumberFormat="0" applyProtection="0">
      <alignment horizontal="left" vertical="top" indent="1"/>
    </xf>
    <xf numFmtId="4" fontId="45" fillId="0" borderId="284" applyNumberFormat="0" applyProtection="0">
      <alignment horizontal="right" vertical="center"/>
    </xf>
    <xf numFmtId="4" fontId="99" fillId="5" borderId="284" applyNumberFormat="0" applyProtection="0">
      <alignment horizontal="right" vertical="center"/>
    </xf>
    <xf numFmtId="4" fontId="45" fillId="34" borderId="284" applyNumberFormat="0" applyProtection="0">
      <alignment horizontal="left" vertical="center" indent="1"/>
    </xf>
    <xf numFmtId="0" fontId="81" fillId="46" borderId="286" applyNumberFormat="0" applyProtection="0">
      <alignment horizontal="left" vertical="top" indent="1"/>
    </xf>
    <xf numFmtId="4" fontId="83" fillId="54" borderId="287" applyNumberFormat="0" applyProtection="0">
      <alignment horizontal="left" vertical="center" indent="1"/>
    </xf>
    <xf numFmtId="4" fontId="81" fillId="48" borderId="303" applyNumberFormat="0" applyProtection="0">
      <alignment horizontal="left" vertical="center" indent="1"/>
    </xf>
    <xf numFmtId="4" fontId="84" fillId="51" borderId="284" applyNumberFormat="0" applyProtection="0">
      <alignment horizontal="right" vertical="center"/>
    </xf>
    <xf numFmtId="4" fontId="45" fillId="40" borderId="301" applyNumberFormat="0" applyProtection="0">
      <alignment horizontal="right" vertical="center"/>
    </xf>
    <xf numFmtId="0" fontId="90" fillId="0" borderId="289" applyNumberFormat="0" applyFill="0" applyAlignment="0" applyProtection="0"/>
    <xf numFmtId="4" fontId="45" fillId="43" borderId="307" applyNumberFormat="0" applyProtection="0">
      <alignment horizontal="right" vertical="center"/>
    </xf>
    <xf numFmtId="0" fontId="45" fillId="48" borderId="290" applyNumberFormat="0" applyProtection="0">
      <alignment horizontal="left" vertical="center" indent="1"/>
    </xf>
    <xf numFmtId="4" fontId="45" fillId="43" borderId="290" applyNumberFormat="0" applyProtection="0">
      <alignment horizontal="right" vertical="center"/>
    </xf>
    <xf numFmtId="4" fontId="45" fillId="34" borderId="290" applyNumberFormat="0" applyProtection="0">
      <alignment horizontal="left" vertical="center" indent="1"/>
    </xf>
    <xf numFmtId="4" fontId="45" fillId="36" borderId="290" applyNumberFormat="0" applyProtection="0">
      <alignment horizontal="right" vertical="center"/>
    </xf>
    <xf numFmtId="4" fontId="45" fillId="44" borderId="328" applyNumberFormat="0" applyProtection="0">
      <alignment horizontal="left" vertical="center" indent="1"/>
    </xf>
    <xf numFmtId="0" fontId="96" fillId="29" borderId="291" applyNumberFormat="0" applyAlignment="0" applyProtection="0"/>
    <xf numFmtId="0" fontId="45" fillId="46" borderId="321" applyNumberFormat="0" applyProtection="0">
      <alignment horizontal="left" vertical="top" indent="1"/>
    </xf>
    <xf numFmtId="0" fontId="88" fillId="29" borderId="290" applyNumberFormat="0" applyAlignment="0" applyProtection="0"/>
    <xf numFmtId="4" fontId="45" fillId="44" borderId="316" applyNumberFormat="0" applyProtection="0">
      <alignment horizontal="left" vertical="center" indent="1"/>
    </xf>
    <xf numFmtId="4" fontId="45" fillId="42" borderId="301" applyNumberFormat="0" applyProtection="0">
      <alignment horizontal="right" vertical="center"/>
    </xf>
    <xf numFmtId="4" fontId="84" fillId="51" borderId="301" applyNumberFormat="0" applyProtection="0">
      <alignment horizontal="right" vertical="center"/>
    </xf>
    <xf numFmtId="0" fontId="45" fillId="26" borderId="290" applyNumberFormat="0" applyFont="0" applyAlignment="0" applyProtection="0"/>
    <xf numFmtId="4" fontId="45" fillId="35" borderId="290" applyNumberFormat="0" applyProtection="0">
      <alignment horizontal="right" vertical="center"/>
    </xf>
    <xf numFmtId="4" fontId="45" fillId="42" borderId="290" applyNumberFormat="0" applyProtection="0">
      <alignment horizontal="right" vertical="center"/>
    </xf>
    <xf numFmtId="4" fontId="45" fillId="46" borderId="293" applyNumberFormat="0" applyProtection="0">
      <alignment horizontal="left" vertical="center" indent="1"/>
    </xf>
    <xf numFmtId="4" fontId="45" fillId="41" borderId="290" applyNumberFormat="0" applyProtection="0">
      <alignment horizontal="right" vertical="center"/>
    </xf>
    <xf numFmtId="4" fontId="45" fillId="47" borderId="293" applyNumberFormat="0" applyProtection="0">
      <alignment horizontal="left" vertical="center" indent="1"/>
    </xf>
    <xf numFmtId="4" fontId="45" fillId="46" borderId="304" applyNumberFormat="0" applyProtection="0">
      <alignment horizontal="left" vertical="center" indent="1"/>
    </xf>
    <xf numFmtId="4" fontId="45" fillId="40" borderId="307" applyNumberFormat="0" applyProtection="0">
      <alignment horizontal="right" vertical="center"/>
    </xf>
    <xf numFmtId="4" fontId="11" fillId="45" borderId="341" applyNumberFormat="0" applyProtection="0">
      <alignment horizontal="left" vertical="center" indent="1"/>
    </xf>
    <xf numFmtId="4" fontId="45" fillId="37" borderId="310" applyNumberFormat="0" applyProtection="0">
      <alignment horizontal="right" vertical="center"/>
    </xf>
    <xf numFmtId="0" fontId="82" fillId="33" borderId="297" applyNumberFormat="0" applyProtection="0">
      <alignment horizontal="left" vertical="top" indent="1"/>
    </xf>
    <xf numFmtId="4" fontId="45" fillId="39" borderId="307" applyNumberFormat="0" applyProtection="0">
      <alignment horizontal="right" vertical="center"/>
    </xf>
    <xf numFmtId="0" fontId="45" fillId="50" borderId="292" applyNumberFormat="0" applyProtection="0">
      <alignment horizontal="left" vertical="top" indent="1"/>
    </xf>
    <xf numFmtId="0" fontId="45" fillId="47" borderId="290" applyNumberFormat="0" applyProtection="0">
      <alignment horizontal="left" vertical="center" indent="1"/>
    </xf>
    <xf numFmtId="0" fontId="45" fillId="47" borderId="292" applyNumberFormat="0" applyProtection="0">
      <alignment horizontal="left" vertical="top" indent="1"/>
    </xf>
    <xf numFmtId="0" fontId="94" fillId="27" borderId="307" applyNumberFormat="0" applyAlignment="0" applyProtection="0"/>
    <xf numFmtId="0" fontId="80" fillId="45" borderId="294" applyBorder="0"/>
    <xf numFmtId="4" fontId="81" fillId="52" borderId="292" applyNumberFormat="0" applyProtection="0">
      <alignment vertical="center"/>
    </xf>
    <xf numFmtId="4" fontId="11" fillId="45" borderId="328" applyNumberFormat="0" applyProtection="0">
      <alignment horizontal="left" vertical="center" indent="1"/>
    </xf>
    <xf numFmtId="4" fontId="81" fillId="48" borderId="292" applyNumberFormat="0" applyProtection="0">
      <alignment horizontal="left" vertical="center" indent="1"/>
    </xf>
    <xf numFmtId="0" fontId="81" fillId="52" borderId="292" applyNumberFormat="0" applyProtection="0">
      <alignment horizontal="left" vertical="top" indent="1"/>
    </xf>
    <xf numFmtId="4" fontId="45" fillId="0" borderId="290" applyNumberFormat="0" applyProtection="0">
      <alignment horizontal="right" vertical="center"/>
    </xf>
    <xf numFmtId="4" fontId="99" fillId="5" borderId="290" applyNumberFormat="0" applyProtection="0">
      <alignment horizontal="right" vertical="center"/>
    </xf>
    <xf numFmtId="4" fontId="45" fillId="34" borderId="290" applyNumberFormat="0" applyProtection="0">
      <alignment horizontal="left" vertical="center" indent="1"/>
    </xf>
    <xf numFmtId="0" fontId="81" fillId="46" borderId="292" applyNumberFormat="0" applyProtection="0">
      <alignment horizontal="left" vertical="top" indent="1"/>
    </xf>
    <xf numFmtId="4" fontId="83" fillId="54" borderId="293" applyNumberFormat="0" applyProtection="0">
      <alignment horizontal="left" vertical="center" indent="1"/>
    </xf>
    <xf numFmtId="0" fontId="45" fillId="49" borderId="313" applyNumberFormat="0" applyProtection="0">
      <alignment horizontal="left" vertical="center" indent="1"/>
    </xf>
    <xf numFmtId="4" fontId="84" fillId="51" borderId="290" applyNumberFormat="0" applyProtection="0">
      <alignment horizontal="right" vertical="center"/>
    </xf>
    <xf numFmtId="0" fontId="82" fillId="33" borderId="303" applyNumberFormat="0" applyProtection="0">
      <alignment horizontal="left" vertical="top" indent="1"/>
    </xf>
    <xf numFmtId="0" fontId="90" fillId="0" borderId="295" applyNumberFormat="0" applyFill="0" applyAlignment="0" applyProtection="0"/>
    <xf numFmtId="0" fontId="94" fillId="27" borderId="325" applyNumberFormat="0" applyAlignment="0" applyProtection="0"/>
    <xf numFmtId="0" fontId="45" fillId="45" borderId="321" applyNumberFormat="0" applyProtection="0">
      <alignment horizontal="left" vertical="top" indent="1"/>
    </xf>
    <xf numFmtId="0" fontId="82" fillId="33" borderId="321" applyNumberFormat="0" applyProtection="0">
      <alignment horizontal="left" vertical="top" indent="1"/>
    </xf>
    <xf numFmtId="4" fontId="11" fillId="45" borderId="310" applyNumberFormat="0" applyProtection="0">
      <alignment horizontal="left" vertical="center" indent="1"/>
    </xf>
    <xf numFmtId="4" fontId="45" fillId="46" borderId="307" applyNumberFormat="0" applyProtection="0">
      <alignment horizontal="right" vertical="center"/>
    </xf>
    <xf numFmtId="0" fontId="45" fillId="46" borderId="340" applyNumberFormat="0" applyProtection="0">
      <alignment horizontal="left" vertical="top" indent="1"/>
    </xf>
    <xf numFmtId="0" fontId="96" fillId="29" borderId="296" applyNumberFormat="0" applyAlignment="0" applyProtection="0"/>
    <xf numFmtId="4" fontId="11" fillId="45" borderId="316" applyNumberFormat="0" applyProtection="0">
      <alignment horizontal="left" vertical="center" indent="1"/>
    </xf>
    <xf numFmtId="4" fontId="45" fillId="40" borderId="313" applyNumberFormat="0" applyProtection="0">
      <alignment horizontal="right" vertical="center"/>
    </xf>
    <xf numFmtId="4" fontId="45" fillId="35" borderId="301" applyNumberFormat="0" applyProtection="0">
      <alignment horizontal="right" vertical="center"/>
    </xf>
    <xf numFmtId="4" fontId="45" fillId="41" borderId="301" applyNumberFormat="0" applyProtection="0">
      <alignment horizontal="right" vertical="center"/>
    </xf>
    <xf numFmtId="4" fontId="45" fillId="36" borderId="301" applyNumberFormat="0" applyProtection="0">
      <alignment horizontal="right" vertical="center"/>
    </xf>
    <xf numFmtId="4" fontId="45" fillId="37" borderId="316" applyNumberFormat="0" applyProtection="0">
      <alignment horizontal="right" vertical="center"/>
    </xf>
    <xf numFmtId="4" fontId="99" fillId="2" borderId="307" applyNumberFormat="0" applyProtection="0">
      <alignment vertical="center"/>
    </xf>
    <xf numFmtId="4" fontId="11" fillId="45" borderId="310" applyNumberFormat="0" applyProtection="0">
      <alignment horizontal="left" vertical="center" indent="1"/>
    </xf>
    <xf numFmtId="0" fontId="45" fillId="45" borderId="309" applyNumberFormat="0" applyProtection="0">
      <alignment horizontal="left" vertical="top" indent="1"/>
    </xf>
    <xf numFmtId="4" fontId="45" fillId="46" borderId="298" applyNumberFormat="0" applyProtection="0">
      <alignment horizontal="left" vertical="center" indent="1"/>
    </xf>
    <xf numFmtId="0" fontId="45" fillId="50" borderId="307" applyNumberFormat="0" applyProtection="0">
      <alignment horizontal="left" vertical="center" indent="1"/>
    </xf>
    <xf numFmtId="4" fontId="45" fillId="47" borderId="298" applyNumberFormat="0" applyProtection="0">
      <alignment horizontal="left" vertical="center" indent="1"/>
    </xf>
    <xf numFmtId="4" fontId="99" fillId="2" borderId="301" applyNumberFormat="0" applyProtection="0">
      <alignment vertical="center"/>
    </xf>
    <xf numFmtId="0" fontId="45" fillId="50" borderId="303" applyNumberFormat="0" applyProtection="0">
      <alignment horizontal="left" vertical="top" indent="1"/>
    </xf>
    <xf numFmtId="4" fontId="45" fillId="46" borderId="325" applyNumberFormat="0" applyProtection="0">
      <alignment horizontal="right" vertical="center"/>
    </xf>
    <xf numFmtId="0" fontId="45" fillId="47" borderId="301" applyNumberFormat="0" applyProtection="0">
      <alignment horizontal="left" vertical="center" indent="1"/>
    </xf>
    <xf numFmtId="0" fontId="45" fillId="47" borderId="303" applyNumberFormat="0" applyProtection="0">
      <alignment horizontal="left" vertical="top" indent="1"/>
    </xf>
    <xf numFmtId="0" fontId="45" fillId="50" borderId="301" applyNumberFormat="0" applyProtection="0">
      <alignment horizontal="left" vertical="center" indent="1"/>
    </xf>
    <xf numFmtId="0" fontId="45" fillId="50" borderId="297" applyNumberFormat="0" applyProtection="0">
      <alignment horizontal="left" vertical="top" indent="1"/>
    </xf>
    <xf numFmtId="0" fontId="94" fillId="27" borderId="313" applyNumberFormat="0" applyAlignment="0" applyProtection="0"/>
    <xf numFmtId="0" fontId="45" fillId="47" borderId="297" applyNumberFormat="0" applyProtection="0">
      <alignment horizontal="left" vertical="top" indent="1"/>
    </xf>
    <xf numFmtId="4" fontId="45" fillId="35" borderId="319" applyNumberFormat="0" applyProtection="0">
      <alignment horizontal="right" vertical="center"/>
    </xf>
    <xf numFmtId="0" fontId="80" fillId="45" borderId="299" applyBorder="0"/>
    <xf numFmtId="4" fontId="81" fillId="52" borderId="297" applyNumberFormat="0" applyProtection="0">
      <alignment vertical="center"/>
    </xf>
    <xf numFmtId="4" fontId="99" fillId="2" borderId="332" applyNumberFormat="0" applyProtection="0">
      <alignment vertical="center"/>
    </xf>
    <xf numFmtId="4" fontId="81" fillId="48" borderId="297" applyNumberFormat="0" applyProtection="0">
      <alignment horizontal="left" vertical="center" indent="1"/>
    </xf>
    <xf numFmtId="0" fontId="81" fillId="52" borderId="297" applyNumberFormat="0" applyProtection="0">
      <alignment horizontal="left" vertical="top" indent="1"/>
    </xf>
    <xf numFmtId="0" fontId="81" fillId="46" borderId="321" applyNumberFormat="0" applyProtection="0">
      <alignment horizontal="left" vertical="top" indent="1"/>
    </xf>
    <xf numFmtId="4" fontId="45" fillId="46" borderId="322" applyNumberFormat="0" applyProtection="0">
      <alignment horizontal="left" vertical="center" indent="1"/>
    </xf>
    <xf numFmtId="4" fontId="45" fillId="36" borderId="319" applyNumberFormat="0" applyProtection="0">
      <alignment horizontal="right" vertical="center"/>
    </xf>
    <xf numFmtId="0" fontId="81" fillId="46" borderId="297" applyNumberFormat="0" applyProtection="0">
      <alignment horizontal="left" vertical="top" indent="1"/>
    </xf>
    <xf numFmtId="4" fontId="83" fillId="54" borderId="298" applyNumberFormat="0" applyProtection="0">
      <alignment horizontal="left" vertical="center" indent="1"/>
    </xf>
    <xf numFmtId="4" fontId="11" fillId="45" borderId="335" applyNumberFormat="0" applyProtection="0">
      <alignment horizontal="left" vertical="center" indent="1"/>
    </xf>
    <xf numFmtId="4" fontId="45" fillId="38" borderId="313" applyNumberFormat="0" applyProtection="0">
      <alignment horizontal="right" vertical="center"/>
    </xf>
    <xf numFmtId="4" fontId="81" fillId="48" borderId="321" applyNumberFormat="0" applyProtection="0">
      <alignment horizontal="left" vertical="center" indent="1"/>
    </xf>
    <xf numFmtId="0" fontId="90" fillId="0" borderId="300" applyNumberFormat="0" applyFill="0" applyAlignment="0" applyProtection="0"/>
    <xf numFmtId="0" fontId="45" fillId="45" borderId="315" applyNumberFormat="0" applyProtection="0">
      <alignment horizontal="left" vertical="top" indent="1"/>
    </xf>
    <xf numFmtId="0" fontId="45" fillId="48" borderId="307" applyNumberFormat="0" applyProtection="0">
      <alignment horizontal="left" vertical="center" indent="1"/>
    </xf>
    <xf numFmtId="0" fontId="81" fillId="46" borderId="303" applyNumberFormat="0" applyProtection="0">
      <alignment horizontal="left" vertical="top" indent="1"/>
    </xf>
    <xf numFmtId="4" fontId="45" fillId="34" borderId="319" applyNumberFormat="0" applyProtection="0">
      <alignment horizontal="left" vertical="center" indent="1"/>
    </xf>
    <xf numFmtId="4" fontId="81" fillId="52" borderId="303" applyNumberFormat="0" applyProtection="0">
      <alignment vertical="center"/>
    </xf>
    <xf numFmtId="0" fontId="45" fillId="45" borderId="303" applyNumberFormat="0" applyProtection="0">
      <alignment horizontal="left" vertical="top" indent="1"/>
    </xf>
    <xf numFmtId="0" fontId="45" fillId="46" borderId="303" applyNumberFormat="0" applyProtection="0">
      <alignment horizontal="left" vertical="top" indent="1"/>
    </xf>
    <xf numFmtId="4" fontId="45" fillId="44" borderId="304" applyNumberFormat="0" applyProtection="0">
      <alignment horizontal="left" vertical="center" indent="1"/>
    </xf>
    <xf numFmtId="4" fontId="11" fillId="45" borderId="304" applyNumberFormat="0" applyProtection="0">
      <alignment horizontal="left" vertical="center" indent="1"/>
    </xf>
    <xf numFmtId="4" fontId="45" fillId="39" borderId="301" applyNumberFormat="0" applyProtection="0">
      <alignment horizontal="right" vertical="center"/>
    </xf>
    <xf numFmtId="4" fontId="45" fillId="37" borderId="304" applyNumberFormat="0" applyProtection="0">
      <alignment horizontal="right" vertical="center"/>
    </xf>
    <xf numFmtId="4" fontId="45" fillId="38" borderId="301" applyNumberFormat="0" applyProtection="0">
      <alignment horizontal="right" vertical="center"/>
    </xf>
    <xf numFmtId="4" fontId="11" fillId="45" borderId="304" applyNumberFormat="0" applyProtection="0">
      <alignment horizontal="left" vertical="center" indent="1"/>
    </xf>
    <xf numFmtId="0" fontId="45" fillId="49" borderId="301" applyNumberFormat="0" applyProtection="0">
      <alignment horizontal="left" vertical="center" indent="1"/>
    </xf>
    <xf numFmtId="0" fontId="80" fillId="45" borderId="305" applyBorder="0"/>
    <xf numFmtId="4" fontId="45" fillId="34" borderId="301" applyNumberFormat="0" applyProtection="0">
      <alignment horizontal="left" vertical="center" indent="1"/>
    </xf>
    <xf numFmtId="4" fontId="11" fillId="45" borderId="328" applyNumberFormat="0" applyProtection="0">
      <alignment horizontal="left" vertical="center" indent="1"/>
    </xf>
    <xf numFmtId="4" fontId="99" fillId="5" borderId="301" applyNumberFormat="0" applyProtection="0">
      <alignment horizontal="right" vertical="center"/>
    </xf>
    <xf numFmtId="0" fontId="90" fillId="0" borderId="306" applyNumberFormat="0" applyFill="0" applyAlignment="0" applyProtection="0"/>
    <xf numFmtId="4" fontId="45" fillId="2" borderId="325" applyNumberFormat="0" applyProtection="0">
      <alignment horizontal="left" vertical="center" indent="1"/>
    </xf>
    <xf numFmtId="0" fontId="45" fillId="26" borderId="301" applyNumberFormat="0" applyFont="0" applyAlignment="0" applyProtection="0"/>
    <xf numFmtId="4" fontId="45" fillId="38" borderId="307" applyNumberFormat="0" applyProtection="0">
      <alignment horizontal="right" vertical="center"/>
    </xf>
    <xf numFmtId="0" fontId="45" fillId="50" borderId="313" applyNumberFormat="0" applyProtection="0">
      <alignment horizontal="left" vertical="center" indent="1"/>
    </xf>
    <xf numFmtId="0" fontId="45" fillId="46" borderId="315" applyNumberFormat="0" applyProtection="0">
      <alignment horizontal="left" vertical="top" indent="1"/>
    </xf>
    <xf numFmtId="0" fontId="94" fillId="27" borderId="301" applyNumberFormat="0" applyAlignment="0" applyProtection="0"/>
    <xf numFmtId="0" fontId="96" fillId="29" borderId="308" applyNumberFormat="0" applyAlignment="0" applyProtection="0"/>
    <xf numFmtId="0" fontId="82" fillId="33" borderId="327" applyNumberFormat="0" applyProtection="0">
      <alignment horizontal="left" vertical="top" indent="1"/>
    </xf>
    <xf numFmtId="4" fontId="45" fillId="38" borderId="325" applyNumberFormat="0" applyProtection="0">
      <alignment horizontal="right" vertical="center"/>
    </xf>
    <xf numFmtId="0" fontId="88" fillId="29" borderId="307" applyNumberFormat="0" applyAlignment="0" applyProtection="0"/>
    <xf numFmtId="0" fontId="88" fillId="29" borderId="325" applyNumberFormat="0" applyAlignment="0" applyProtection="0"/>
    <xf numFmtId="4" fontId="45" fillId="41" borderId="319" applyNumberFormat="0" applyProtection="0">
      <alignment horizontal="right" vertical="center"/>
    </xf>
    <xf numFmtId="4" fontId="45" fillId="33" borderId="325" applyNumberFormat="0" applyProtection="0">
      <alignment vertical="center"/>
    </xf>
    <xf numFmtId="0" fontId="45" fillId="26" borderId="307" applyNumberFormat="0" applyFont="0" applyAlignment="0" applyProtection="0"/>
    <xf numFmtId="4" fontId="45" fillId="35" borderId="307" applyNumberFormat="0" applyProtection="0">
      <alignment horizontal="right" vertical="center"/>
    </xf>
    <xf numFmtId="4" fontId="45" fillId="42" borderId="307" applyNumberFormat="0" applyProtection="0">
      <alignment horizontal="right" vertical="center"/>
    </xf>
    <xf numFmtId="4" fontId="45" fillId="46" borderId="310" applyNumberFormat="0" applyProtection="0">
      <alignment horizontal="left" vertical="center" indent="1"/>
    </xf>
    <xf numFmtId="4" fontId="45" fillId="41" borderId="307" applyNumberFormat="0" applyProtection="0">
      <alignment horizontal="right" vertical="center"/>
    </xf>
    <xf numFmtId="4" fontId="45" fillId="47" borderId="310" applyNumberFormat="0" applyProtection="0">
      <alignment horizontal="left" vertical="center" indent="1"/>
    </xf>
    <xf numFmtId="4" fontId="45" fillId="34" borderId="319" applyNumberFormat="0" applyProtection="0">
      <alignment horizontal="left" vertical="center" indent="1"/>
    </xf>
    <xf numFmtId="4" fontId="99" fillId="2" borderId="313" applyNumberFormat="0" applyProtection="0">
      <alignment vertical="center"/>
    </xf>
    <xf numFmtId="0" fontId="96" fillId="29" borderId="320" applyNumberFormat="0" applyAlignment="0" applyProtection="0"/>
    <xf numFmtId="4" fontId="45" fillId="2" borderId="313" applyNumberFormat="0" applyProtection="0">
      <alignment horizontal="left" vertical="center" indent="1"/>
    </xf>
    <xf numFmtId="0" fontId="82" fillId="33" borderId="315" applyNumberFormat="0" applyProtection="0">
      <alignment horizontal="left" vertical="top" indent="1"/>
    </xf>
    <xf numFmtId="4" fontId="45" fillId="33" borderId="313" applyNumberFormat="0" applyProtection="0">
      <alignment vertical="center"/>
    </xf>
    <xf numFmtId="0" fontId="45" fillId="50" borderId="309" applyNumberFormat="0" applyProtection="0">
      <alignment horizontal="left" vertical="top" indent="1"/>
    </xf>
    <xf numFmtId="0" fontId="45" fillId="47" borderId="307" applyNumberFormat="0" applyProtection="0">
      <alignment horizontal="left" vertical="center" indent="1"/>
    </xf>
    <xf numFmtId="0" fontId="45" fillId="47" borderId="309" applyNumberFormat="0" applyProtection="0">
      <alignment horizontal="left" vertical="top" indent="1"/>
    </xf>
    <xf numFmtId="4" fontId="45" fillId="47" borderId="322" applyNumberFormat="0" applyProtection="0">
      <alignment horizontal="left" vertical="center" indent="1"/>
    </xf>
    <xf numFmtId="0" fontId="80" fillId="45" borderId="311" applyBorder="0"/>
    <xf numFmtId="4" fontId="81" fillId="52" borderId="309" applyNumberFormat="0" applyProtection="0">
      <alignment vertical="center"/>
    </xf>
    <xf numFmtId="4" fontId="45" fillId="44" borderId="335" applyNumberFormat="0" applyProtection="0">
      <alignment horizontal="left" vertical="center" indent="1"/>
    </xf>
    <xf numFmtId="4" fontId="81" fillId="48" borderId="309" applyNumberFormat="0" applyProtection="0">
      <alignment horizontal="left" vertical="center" indent="1"/>
    </xf>
    <xf numFmtId="0" fontId="81" fillId="52" borderId="309" applyNumberFormat="0" applyProtection="0">
      <alignment horizontal="left" vertical="top" indent="1"/>
    </xf>
    <xf numFmtId="4" fontId="45" fillId="0" borderId="307" applyNumberFormat="0" applyProtection="0">
      <alignment horizontal="right" vertical="center"/>
    </xf>
    <xf numFmtId="4" fontId="99" fillId="5" borderId="307" applyNumberFormat="0" applyProtection="0">
      <alignment horizontal="right" vertical="center"/>
    </xf>
    <xf numFmtId="4" fontId="45" fillId="34" borderId="307" applyNumberFormat="0" applyProtection="0">
      <alignment horizontal="left" vertical="center" indent="1"/>
    </xf>
    <xf numFmtId="0" fontId="81" fillId="46" borderId="309" applyNumberFormat="0" applyProtection="0">
      <alignment horizontal="left" vertical="top" indent="1"/>
    </xf>
    <xf numFmtId="4" fontId="83" fillId="54" borderId="310" applyNumberFormat="0" applyProtection="0">
      <alignment horizontal="left" vertical="center" indent="1"/>
    </xf>
    <xf numFmtId="4" fontId="45" fillId="44" borderId="341" applyNumberFormat="0" applyProtection="0">
      <alignment horizontal="left" vertical="center" indent="1"/>
    </xf>
    <xf numFmtId="4" fontId="84" fillId="51" borderId="307" applyNumberFormat="0" applyProtection="0">
      <alignment horizontal="right" vertical="center"/>
    </xf>
    <xf numFmtId="0" fontId="80" fillId="45" borderId="323" applyBorder="0"/>
    <xf numFmtId="0" fontId="90" fillId="0" borderId="312" applyNumberFormat="0" applyFill="0" applyAlignment="0" applyProtection="0"/>
    <xf numFmtId="0" fontId="94" fillId="27" borderId="344" applyNumberFormat="0" applyAlignment="0" applyProtection="0"/>
    <xf numFmtId="0" fontId="45" fillId="48" borderId="313" applyNumberFormat="0" applyProtection="0">
      <alignment horizontal="left" vertical="center" indent="1"/>
    </xf>
    <xf numFmtId="4" fontId="45" fillId="43" borderId="313" applyNumberFormat="0" applyProtection="0">
      <alignment horizontal="right" vertical="center"/>
    </xf>
    <xf numFmtId="4" fontId="45" fillId="34" borderId="313" applyNumberFormat="0" applyProtection="0">
      <alignment horizontal="left" vertical="center" indent="1"/>
    </xf>
    <xf numFmtId="4" fontId="45" fillId="36" borderId="313" applyNumberFormat="0" applyProtection="0">
      <alignment horizontal="right" vertical="center"/>
    </xf>
    <xf numFmtId="0" fontId="96" fillId="29" borderId="333" applyNumberFormat="0" applyAlignment="0" applyProtection="0"/>
    <xf numFmtId="0" fontId="96" fillId="29" borderId="314" applyNumberFormat="0" applyAlignment="0" applyProtection="0"/>
    <xf numFmtId="4" fontId="45" fillId="42" borderId="325" applyNumberFormat="0" applyProtection="0">
      <alignment horizontal="right" vertical="center"/>
    </xf>
    <xf numFmtId="4" fontId="45" fillId="41" borderId="325" applyNumberFormat="0" applyProtection="0">
      <alignment horizontal="right" vertical="center"/>
    </xf>
    <xf numFmtId="0" fontId="88" fillId="29" borderId="313" applyNumberFormat="0" applyAlignment="0" applyProtection="0"/>
    <xf numFmtId="4" fontId="45" fillId="42" borderId="319" applyNumberFormat="0" applyProtection="0">
      <alignment horizontal="right" vertical="center"/>
    </xf>
    <xf numFmtId="4" fontId="45" fillId="44" borderId="359" applyNumberFormat="0" applyProtection="0">
      <alignment horizontal="left" vertical="center" indent="1"/>
    </xf>
    <xf numFmtId="4" fontId="45" fillId="46" borderId="328" applyNumberFormat="0" applyProtection="0">
      <alignment horizontal="left" vertical="center" indent="1"/>
    </xf>
    <xf numFmtId="0" fontId="45" fillId="26" borderId="313" applyNumberFormat="0" applyFont="0" applyAlignment="0" applyProtection="0"/>
    <xf numFmtId="4" fontId="45" fillId="35" borderId="313" applyNumberFormat="0" applyProtection="0">
      <alignment horizontal="right" vertical="center"/>
    </xf>
    <xf numFmtId="4" fontId="45" fillId="42" borderId="313" applyNumberFormat="0" applyProtection="0">
      <alignment horizontal="right" vertical="center"/>
    </xf>
    <xf numFmtId="4" fontId="45" fillId="46" borderId="316" applyNumberFormat="0" applyProtection="0">
      <alignment horizontal="left" vertical="center" indent="1"/>
    </xf>
    <xf numFmtId="4" fontId="45" fillId="41" borderId="313" applyNumberFormat="0" applyProtection="0">
      <alignment horizontal="right" vertical="center"/>
    </xf>
    <xf numFmtId="4" fontId="45" fillId="47" borderId="316" applyNumberFormat="0" applyProtection="0">
      <alignment horizontal="left" vertical="center" indent="1"/>
    </xf>
    <xf numFmtId="4" fontId="83" fillId="54" borderId="322" applyNumberFormat="0" applyProtection="0">
      <alignment horizontal="left" vertical="center" indent="1"/>
    </xf>
    <xf numFmtId="4" fontId="45" fillId="38" borderId="332" applyNumberFormat="0" applyProtection="0">
      <alignment horizontal="right" vertical="center"/>
    </xf>
    <xf numFmtId="4" fontId="45" fillId="33" borderId="319" applyNumberFormat="0" applyProtection="0">
      <alignment vertical="center"/>
    </xf>
    <xf numFmtId="4" fontId="45" fillId="40" borderId="344" applyNumberFormat="0" applyProtection="0">
      <alignment horizontal="right" vertical="center"/>
    </xf>
    <xf numFmtId="0" fontId="88" fillId="29" borderId="319" applyNumberFormat="0" applyAlignment="0" applyProtection="0"/>
    <xf numFmtId="4" fontId="45" fillId="39" borderId="332" applyNumberFormat="0" applyProtection="0">
      <alignment horizontal="right" vertical="center"/>
    </xf>
    <xf numFmtId="0" fontId="45" fillId="50" borderId="315" applyNumberFormat="0" applyProtection="0">
      <alignment horizontal="left" vertical="top" indent="1"/>
    </xf>
    <xf numFmtId="0" fontId="45" fillId="47" borderId="313" applyNumberFormat="0" applyProtection="0">
      <alignment horizontal="left" vertical="center" indent="1"/>
    </xf>
    <xf numFmtId="0" fontId="45" fillId="47" borderId="315" applyNumberFormat="0" applyProtection="0">
      <alignment horizontal="left" vertical="top" indent="1"/>
    </xf>
    <xf numFmtId="0" fontId="45" fillId="46" borderId="334" applyNumberFormat="0" applyProtection="0">
      <alignment horizontal="left" vertical="top" indent="1"/>
    </xf>
    <xf numFmtId="0" fontId="80" fillId="45" borderId="317" applyBorder="0"/>
    <xf numFmtId="4" fontId="81" fillId="52" borderId="315" applyNumberFormat="0" applyProtection="0">
      <alignment vertical="center"/>
    </xf>
    <xf numFmtId="0" fontId="45" fillId="26" borderId="319" applyNumberFormat="0" applyFont="0" applyAlignment="0" applyProtection="0"/>
    <xf numFmtId="4" fontId="81" fillId="48" borderId="315" applyNumberFormat="0" applyProtection="0">
      <alignment horizontal="left" vertical="center" indent="1"/>
    </xf>
    <xf numFmtId="0" fontId="81" fillId="52" borderId="315" applyNumberFormat="0" applyProtection="0">
      <alignment horizontal="left" vertical="top" indent="1"/>
    </xf>
    <xf numFmtId="4" fontId="45" fillId="0" borderId="313" applyNumberFormat="0" applyProtection="0">
      <alignment horizontal="right" vertical="center"/>
    </xf>
    <xf numFmtId="4" fontId="99" fillId="5" borderId="313" applyNumberFormat="0" applyProtection="0">
      <alignment horizontal="right" vertical="center"/>
    </xf>
    <xf numFmtId="4" fontId="45" fillId="34" borderId="313" applyNumberFormat="0" applyProtection="0">
      <alignment horizontal="left" vertical="center" indent="1"/>
    </xf>
    <xf numFmtId="0" fontId="81" fillId="46" borderId="315" applyNumberFormat="0" applyProtection="0">
      <alignment horizontal="left" vertical="top" indent="1"/>
    </xf>
    <xf numFmtId="4" fontId="83" fillId="54" borderId="316" applyNumberFormat="0" applyProtection="0">
      <alignment horizontal="left" vertical="center" indent="1"/>
    </xf>
    <xf numFmtId="4" fontId="45" fillId="43" borderId="319" applyNumberFormat="0" applyProtection="0">
      <alignment horizontal="right" vertical="center"/>
    </xf>
    <xf numFmtId="4" fontId="84" fillId="51" borderId="313" applyNumberFormat="0" applyProtection="0">
      <alignment horizontal="right" vertical="center"/>
    </xf>
    <xf numFmtId="0" fontId="45" fillId="49" borderId="319" applyNumberFormat="0" applyProtection="0">
      <alignment horizontal="left" vertical="center" indent="1"/>
    </xf>
    <xf numFmtId="0" fontId="90" fillId="0" borderId="318" applyNumberFormat="0" applyFill="0" applyAlignment="0" applyProtection="0"/>
    <xf numFmtId="4" fontId="99" fillId="2" borderId="319" applyNumberFormat="0" applyProtection="0">
      <alignment vertical="center"/>
    </xf>
    <xf numFmtId="4" fontId="45" fillId="37" borderId="328" applyNumberFormat="0" applyProtection="0">
      <alignment horizontal="right" vertical="center"/>
    </xf>
    <xf numFmtId="4" fontId="99" fillId="2" borderId="325" applyNumberFormat="0" applyProtection="0">
      <alignment vertical="center"/>
    </xf>
    <xf numFmtId="4" fontId="45" fillId="39" borderId="344" applyNumberFormat="0" applyProtection="0">
      <alignment horizontal="right" vertical="center"/>
    </xf>
    <xf numFmtId="4" fontId="45" fillId="37" borderId="341" applyNumberFormat="0" applyProtection="0">
      <alignment horizontal="right" vertical="center"/>
    </xf>
    <xf numFmtId="4" fontId="45" fillId="2" borderId="319" applyNumberFormat="0" applyProtection="0">
      <alignment horizontal="left" vertical="center" indent="1"/>
    </xf>
    <xf numFmtId="4" fontId="45" fillId="43" borderId="332" applyNumberFormat="0" applyProtection="0">
      <alignment horizontal="right" vertical="center"/>
    </xf>
    <xf numFmtId="4" fontId="45" fillId="39" borderId="319" applyNumberFormat="0" applyProtection="0">
      <alignment horizontal="right" vertical="center"/>
    </xf>
    <xf numFmtId="4" fontId="45" fillId="37" borderId="322" applyNumberFormat="0" applyProtection="0">
      <alignment horizontal="right" vertical="center"/>
    </xf>
    <xf numFmtId="0" fontId="45" fillId="50" borderId="319" applyNumberFormat="0" applyProtection="0">
      <alignment horizontal="left" vertical="center" indent="1"/>
    </xf>
    <xf numFmtId="4" fontId="81" fillId="52" borderId="321" applyNumberFormat="0" applyProtection="0">
      <alignment vertical="center"/>
    </xf>
    <xf numFmtId="0" fontId="45" fillId="50" borderId="321" applyNumberFormat="0" applyProtection="0">
      <alignment horizontal="left" vertical="top" indent="1"/>
    </xf>
    <xf numFmtId="4" fontId="45" fillId="38" borderId="319" applyNumberFormat="0" applyProtection="0">
      <alignment horizontal="right" vertical="center"/>
    </xf>
    <xf numFmtId="0" fontId="45" fillId="45" borderId="334" applyNumberFormat="0" applyProtection="0">
      <alignment horizontal="left" vertical="top" indent="1"/>
    </xf>
    <xf numFmtId="4" fontId="45" fillId="40" borderId="338" applyNumberFormat="0" applyProtection="0">
      <alignment horizontal="right" vertical="center"/>
    </xf>
    <xf numFmtId="0" fontId="45" fillId="49" borderId="338" applyNumberFormat="0" applyProtection="0">
      <alignment horizontal="left" vertical="center" indent="1"/>
    </xf>
    <xf numFmtId="4" fontId="45" fillId="40" borderId="325" applyNumberFormat="0" applyProtection="0">
      <alignment horizontal="right" vertical="center"/>
    </xf>
    <xf numFmtId="0" fontId="45" fillId="50" borderId="338" applyNumberFormat="0" applyProtection="0">
      <alignment horizontal="left" vertical="center" indent="1"/>
    </xf>
    <xf numFmtId="4" fontId="45" fillId="39" borderId="325" applyNumberFormat="0" applyProtection="0">
      <alignment horizontal="right" vertical="center"/>
    </xf>
    <xf numFmtId="0" fontId="45" fillId="48" borderId="319" applyNumberFormat="0" applyProtection="0">
      <alignment horizontal="left" vertical="center" indent="1"/>
    </xf>
    <xf numFmtId="0" fontId="45" fillId="48" borderId="325" applyNumberFormat="0" applyProtection="0">
      <alignment horizontal="left" vertical="center" indent="1"/>
    </xf>
    <xf numFmtId="0" fontId="45" fillId="49" borderId="332" applyNumberFormat="0" applyProtection="0">
      <alignment horizontal="left" vertical="center" indent="1"/>
    </xf>
    <xf numFmtId="4" fontId="45" fillId="43" borderId="325" applyNumberFormat="0" applyProtection="0">
      <alignment horizontal="right" vertical="center"/>
    </xf>
    <xf numFmtId="4" fontId="45" fillId="34" borderId="325" applyNumberFormat="0" applyProtection="0">
      <alignment horizontal="left" vertical="center" indent="1"/>
    </xf>
    <xf numFmtId="0" fontId="45" fillId="49" borderId="325" applyNumberFormat="0" applyProtection="0">
      <alignment horizontal="left" vertical="center" indent="1"/>
    </xf>
    <xf numFmtId="0" fontId="45" fillId="46" borderId="327" applyNumberFormat="0" applyProtection="0">
      <alignment horizontal="left" vertical="top" indent="1"/>
    </xf>
    <xf numFmtId="0" fontId="45" fillId="50" borderId="325" applyNumberFormat="0" applyProtection="0">
      <alignment horizontal="left" vertical="center" indent="1"/>
    </xf>
    <xf numFmtId="0" fontId="45" fillId="45" borderId="327" applyNumberFormat="0" applyProtection="0">
      <alignment horizontal="left" vertical="top" indent="1"/>
    </xf>
    <xf numFmtId="4" fontId="45" fillId="44" borderId="353" applyNumberFormat="0" applyProtection="0">
      <alignment horizontal="left" vertical="center" indent="1"/>
    </xf>
    <xf numFmtId="0" fontId="94" fillId="27" borderId="332" applyNumberFormat="0" applyAlignment="0" applyProtection="0"/>
    <xf numFmtId="0" fontId="45" fillId="49" borderId="356" applyNumberFormat="0" applyProtection="0">
      <alignment horizontal="left" vertical="center" indent="1"/>
    </xf>
    <xf numFmtId="4" fontId="45" fillId="46" borderId="344" applyNumberFormat="0" applyProtection="0">
      <alignment horizontal="right" vertical="center"/>
    </xf>
    <xf numFmtId="0" fontId="45" fillId="49" borderId="344" applyNumberFormat="0" applyProtection="0">
      <alignment horizontal="left" vertical="center" indent="1"/>
    </xf>
    <xf numFmtId="0" fontId="94" fillId="27" borderId="338" applyNumberFormat="0" applyAlignment="0" applyProtection="0"/>
    <xf numFmtId="4" fontId="45" fillId="44" borderId="347" applyNumberFormat="0" applyProtection="0">
      <alignment horizontal="left" vertical="center" indent="1"/>
    </xf>
    <xf numFmtId="0" fontId="45" fillId="46" borderId="358" applyNumberFormat="0" applyProtection="0">
      <alignment horizontal="left" vertical="top" indent="1"/>
    </xf>
    <xf numFmtId="4" fontId="99" fillId="2" borderId="338" applyNumberFormat="0" applyProtection="0">
      <alignment vertical="center"/>
    </xf>
    <xf numFmtId="4" fontId="45" fillId="37" borderId="335" applyNumberFormat="0" applyProtection="0">
      <alignment horizontal="right" vertical="center"/>
    </xf>
    <xf numFmtId="0" fontId="88" fillId="29" borderId="332" applyNumberFormat="0" applyAlignment="0" applyProtection="0"/>
    <xf numFmtId="0" fontId="45" fillId="48" borderId="332" applyNumberFormat="0" applyProtection="0">
      <alignment horizontal="left" vertical="center" indent="1"/>
    </xf>
    <xf numFmtId="4" fontId="45" fillId="33" borderId="332" applyNumberFormat="0" applyProtection="0">
      <alignment vertical="center"/>
    </xf>
    <xf numFmtId="0" fontId="45" fillId="26" borderId="325" applyNumberFormat="0" applyFont="0" applyAlignment="0" applyProtection="0"/>
    <xf numFmtId="4" fontId="45" fillId="36" borderId="325" applyNumberFormat="0" applyProtection="0">
      <alignment horizontal="right" vertical="center"/>
    </xf>
    <xf numFmtId="0" fontId="96" fillId="29" borderId="326" applyNumberFormat="0" applyAlignment="0" applyProtection="0"/>
    <xf numFmtId="4" fontId="84" fillId="51" borderId="319" applyNumberFormat="0" applyProtection="0">
      <alignment horizontal="right" vertical="center"/>
    </xf>
    <xf numFmtId="0" fontId="90" fillId="0" borderId="324" applyNumberFormat="0" applyFill="0" applyAlignment="0" applyProtection="0"/>
    <xf numFmtId="0" fontId="81" fillId="52" borderId="321" applyNumberFormat="0" applyProtection="0">
      <alignment horizontal="left" vertical="top" indent="1"/>
    </xf>
    <xf numFmtId="4" fontId="99" fillId="5" borderId="319" applyNumberFormat="0" applyProtection="0">
      <alignment horizontal="right" vertical="center"/>
    </xf>
    <xf numFmtId="0" fontId="45" fillId="47" borderId="319" applyNumberFormat="0" applyProtection="0">
      <alignment horizontal="left" vertical="center" indent="1"/>
    </xf>
    <xf numFmtId="0" fontId="45" fillId="47" borderId="321" applyNumberFormat="0" applyProtection="0">
      <alignment horizontal="left" vertical="top" indent="1"/>
    </xf>
    <xf numFmtId="4" fontId="45" fillId="0" borderId="319" applyNumberFormat="0" applyProtection="0">
      <alignment horizontal="right" vertical="center"/>
    </xf>
    <xf numFmtId="0" fontId="45" fillId="49" borderId="350" applyNumberFormat="0" applyProtection="0">
      <alignment horizontal="left" vertical="center" indent="1"/>
    </xf>
    <xf numFmtId="0" fontId="45" fillId="45" borderId="340" applyNumberFormat="0" applyProtection="0">
      <alignment horizontal="left" vertical="top" indent="1"/>
    </xf>
    <xf numFmtId="4" fontId="45" fillId="46" borderId="338" applyNumberFormat="0" applyProtection="0">
      <alignment horizontal="right" vertical="center"/>
    </xf>
    <xf numFmtId="0" fontId="45" fillId="46" borderId="352" applyNumberFormat="0" applyProtection="0">
      <alignment horizontal="left" vertical="top" indent="1"/>
    </xf>
    <xf numFmtId="4" fontId="45" fillId="37" borderId="353" applyNumberFormat="0" applyProtection="0">
      <alignment horizontal="right" vertical="center"/>
    </xf>
    <xf numFmtId="4" fontId="45" fillId="47" borderId="328" applyNumberFormat="0" applyProtection="0">
      <alignment horizontal="left" vertical="center" indent="1"/>
    </xf>
    <xf numFmtId="0" fontId="94" fillId="27" borderId="319" applyNumberFormat="0" applyAlignment="0" applyProtection="0"/>
    <xf numFmtId="4" fontId="45" fillId="46" borderId="319" applyNumberFormat="0" applyProtection="0">
      <alignment horizontal="right" vertical="center"/>
    </xf>
    <xf numFmtId="4" fontId="45" fillId="36" borderId="332" applyNumberFormat="0" applyProtection="0">
      <alignment horizontal="right" vertical="center"/>
    </xf>
    <xf numFmtId="4" fontId="11" fillId="45" borderId="322" applyNumberFormat="0" applyProtection="0">
      <alignment horizontal="left" vertical="center" indent="1"/>
    </xf>
    <xf numFmtId="4" fontId="11" fillId="45" borderId="322" applyNumberFormat="0" applyProtection="0">
      <alignment horizontal="left" vertical="center" indent="1"/>
    </xf>
    <xf numFmtId="4" fontId="45" fillId="44" borderId="322" applyNumberFormat="0" applyProtection="0">
      <alignment horizontal="left" vertical="center" indent="1"/>
    </xf>
    <xf numFmtId="0" fontId="45" fillId="50" borderId="327" applyNumberFormat="0" applyProtection="0">
      <alignment horizontal="left" vertical="top" indent="1"/>
    </xf>
    <xf numFmtId="0" fontId="45" fillId="47" borderId="325" applyNumberFormat="0" applyProtection="0">
      <alignment horizontal="left" vertical="center" indent="1"/>
    </xf>
    <xf numFmtId="0" fontId="45" fillId="47" borderId="327" applyNumberFormat="0" applyProtection="0">
      <alignment horizontal="left" vertical="top" indent="1"/>
    </xf>
    <xf numFmtId="0" fontId="80" fillId="45" borderId="329" applyBorder="0"/>
    <xf numFmtId="4" fontId="81" fillId="52" borderId="327" applyNumberFormat="0" applyProtection="0">
      <alignment vertical="center"/>
    </xf>
    <xf numFmtId="4" fontId="45" fillId="38" borderId="344" applyNumberFormat="0" applyProtection="0">
      <alignment horizontal="right" vertical="center"/>
    </xf>
    <xf numFmtId="4" fontId="81" fillId="48" borderId="327" applyNumberFormat="0" applyProtection="0">
      <alignment horizontal="left" vertical="center" indent="1"/>
    </xf>
    <xf numFmtId="0" fontId="81" fillId="52" borderId="327" applyNumberFormat="0" applyProtection="0">
      <alignment horizontal="left" vertical="top" indent="1"/>
    </xf>
    <xf numFmtId="4" fontId="45" fillId="0" borderId="325" applyNumberFormat="0" applyProtection="0">
      <alignment horizontal="right" vertical="center"/>
    </xf>
    <xf numFmtId="4" fontId="99" fillId="5" borderId="325" applyNumberFormat="0" applyProtection="0">
      <alignment horizontal="right" vertical="center"/>
    </xf>
    <xf numFmtId="4" fontId="45" fillId="34" borderId="325" applyNumberFormat="0" applyProtection="0">
      <alignment horizontal="left" vertical="center" indent="1"/>
    </xf>
    <xf numFmtId="0" fontId="81" fillId="46" borderId="327" applyNumberFormat="0" applyProtection="0">
      <alignment horizontal="left" vertical="top" indent="1"/>
    </xf>
    <xf numFmtId="4" fontId="83" fillId="54" borderId="328" applyNumberFormat="0" applyProtection="0">
      <alignment horizontal="left" vertical="center" indent="1"/>
    </xf>
    <xf numFmtId="4" fontId="84" fillId="51" borderId="325" applyNumberFormat="0" applyProtection="0">
      <alignment horizontal="right" vertical="center"/>
    </xf>
    <xf numFmtId="0" fontId="45" fillId="45" borderId="346" applyNumberFormat="0" applyProtection="0">
      <alignment horizontal="left" vertical="top" indent="1"/>
    </xf>
    <xf numFmtId="0" fontId="90" fillId="0" borderId="330" applyNumberFormat="0" applyFill="0" applyAlignment="0" applyProtection="0"/>
    <xf numFmtId="4" fontId="45" fillId="46" borderId="335" applyNumberFormat="0" applyProtection="0">
      <alignment horizontal="left" vertical="center" indent="1"/>
    </xf>
    <xf numFmtId="4" fontId="45" fillId="42" borderId="332" applyNumberFormat="0" applyProtection="0">
      <alignment horizontal="right" vertical="center"/>
    </xf>
    <xf numFmtId="0" fontId="82" fillId="33" borderId="334" applyNumberFormat="0" applyProtection="0">
      <alignment horizontal="left" vertical="top" indent="1"/>
    </xf>
    <xf numFmtId="4" fontId="45" fillId="35" borderId="332" applyNumberFormat="0" applyProtection="0">
      <alignment horizontal="right" vertical="center"/>
    </xf>
    <xf numFmtId="0" fontId="45" fillId="46" borderId="346" applyNumberFormat="0" applyProtection="0">
      <alignment horizontal="left" vertical="top" indent="1"/>
    </xf>
    <xf numFmtId="0" fontId="45" fillId="26" borderId="332" applyNumberFormat="0" applyFont="0" applyAlignment="0" applyProtection="0"/>
    <xf numFmtId="4" fontId="45" fillId="37" borderId="347" applyNumberFormat="0" applyProtection="0">
      <alignment horizontal="right" vertical="center"/>
    </xf>
    <xf numFmtId="4" fontId="11" fillId="45" borderId="347" applyNumberFormat="0" applyProtection="0">
      <alignment horizontal="left" vertical="center" indent="1"/>
    </xf>
    <xf numFmtId="4" fontId="45" fillId="40" borderId="356" applyNumberFormat="0" applyProtection="0">
      <alignment horizontal="right" vertical="center"/>
    </xf>
    <xf numFmtId="4" fontId="45" fillId="40" borderId="350" applyNumberFormat="0" applyProtection="0">
      <alignment horizontal="right" vertical="center"/>
    </xf>
    <xf numFmtId="4" fontId="45" fillId="39" borderId="350" applyNumberFormat="0" applyProtection="0">
      <alignment horizontal="right" vertical="center"/>
    </xf>
    <xf numFmtId="4" fontId="11" fillId="45" borderId="347" applyNumberFormat="0" applyProtection="0">
      <alignment horizontal="left" vertical="center" indent="1"/>
    </xf>
    <xf numFmtId="0" fontId="45" fillId="50" borderId="344" applyNumberFormat="0" applyProtection="0">
      <alignment horizontal="left" vertical="center" indent="1"/>
    </xf>
    <xf numFmtId="4" fontId="45" fillId="34" borderId="332" applyNumberFormat="0" applyProtection="0">
      <alignment horizontal="left" vertical="center" indent="1"/>
    </xf>
    <xf numFmtId="4" fontId="45" fillId="41" borderId="332" applyNumberFormat="0" applyProtection="0">
      <alignment horizontal="right" vertical="center"/>
    </xf>
    <xf numFmtId="4" fontId="45" fillId="47" borderId="335" applyNumberFormat="0" applyProtection="0">
      <alignment horizontal="left" vertical="center" indent="1"/>
    </xf>
    <xf numFmtId="4" fontId="45" fillId="40" borderId="332" applyNumberFormat="0" applyProtection="0">
      <alignment horizontal="right" vertical="center"/>
    </xf>
    <xf numFmtId="4" fontId="45" fillId="46" borderId="332" applyNumberFormat="0" applyProtection="0">
      <alignment horizontal="right" vertical="center"/>
    </xf>
    <xf numFmtId="4" fontId="45" fillId="2" borderId="338" applyNumberFormat="0" applyProtection="0">
      <alignment horizontal="left" vertical="center" indent="1"/>
    </xf>
    <xf numFmtId="0" fontId="82" fillId="33" borderId="340" applyNumberFormat="0" applyProtection="0">
      <alignment horizontal="left" vertical="top" indent="1"/>
    </xf>
    <xf numFmtId="4" fontId="45" fillId="33" borderId="338" applyNumberFormat="0" applyProtection="0">
      <alignment vertical="center"/>
    </xf>
    <xf numFmtId="4" fontId="45" fillId="38" borderId="338" applyNumberFormat="0" applyProtection="0">
      <alignment horizontal="right" vertical="center"/>
    </xf>
    <xf numFmtId="0" fontId="45" fillId="50" borderId="332" applyNumberFormat="0" applyProtection="0">
      <alignment horizontal="left" vertical="center" indent="1"/>
    </xf>
    <xf numFmtId="0" fontId="45" fillId="50" borderId="334" applyNumberFormat="0" applyProtection="0">
      <alignment horizontal="left" vertical="top" indent="1"/>
    </xf>
    <xf numFmtId="0" fontId="45" fillId="47" borderId="332" applyNumberFormat="0" applyProtection="0">
      <alignment horizontal="left" vertical="center" indent="1"/>
    </xf>
    <xf numFmtId="0" fontId="45" fillId="47" borderId="334" applyNumberFormat="0" applyProtection="0">
      <alignment horizontal="left" vertical="top" indent="1"/>
    </xf>
    <xf numFmtId="0" fontId="80" fillId="45" borderId="336" applyBorder="0"/>
    <xf numFmtId="4" fontId="81" fillId="52" borderId="334" applyNumberFormat="0" applyProtection="0">
      <alignment vertical="center"/>
    </xf>
    <xf numFmtId="4" fontId="81" fillId="48" borderId="334" applyNumberFormat="0" applyProtection="0">
      <alignment horizontal="left" vertical="center" indent="1"/>
    </xf>
    <xf numFmtId="0" fontId="81" fillId="52" borderId="334" applyNumberFormat="0" applyProtection="0">
      <alignment horizontal="left" vertical="top" indent="1"/>
    </xf>
    <xf numFmtId="4" fontId="45" fillId="0" borderId="332" applyNumberFormat="0" applyProtection="0">
      <alignment horizontal="right" vertical="center"/>
    </xf>
    <xf numFmtId="4" fontId="99" fillId="5" borderId="332" applyNumberFormat="0" applyProtection="0">
      <alignment horizontal="right" vertical="center"/>
    </xf>
    <xf numFmtId="4" fontId="45" fillId="34" borderId="332" applyNumberFormat="0" applyProtection="0">
      <alignment horizontal="left" vertical="center" indent="1"/>
    </xf>
    <xf numFmtId="0" fontId="81" fillId="46" borderId="334" applyNumberFormat="0" applyProtection="0">
      <alignment horizontal="left" vertical="top" indent="1"/>
    </xf>
    <xf numFmtId="4" fontId="83" fillId="54" borderId="335" applyNumberFormat="0" applyProtection="0">
      <alignment horizontal="left" vertical="center" indent="1"/>
    </xf>
    <xf numFmtId="4" fontId="45" fillId="38" borderId="350" applyNumberFormat="0" applyProtection="0">
      <alignment horizontal="right" vertical="center"/>
    </xf>
    <xf numFmtId="4" fontId="84" fillId="51" borderId="332" applyNumberFormat="0" applyProtection="0">
      <alignment horizontal="right" vertical="center"/>
    </xf>
    <xf numFmtId="0" fontId="90" fillId="0" borderId="337" applyNumberFormat="0" applyFill="0" applyAlignment="0" applyProtection="0"/>
    <xf numFmtId="0" fontId="45" fillId="45" borderId="352" applyNumberFormat="0" applyProtection="0">
      <alignment horizontal="left" vertical="top" indent="1"/>
    </xf>
    <xf numFmtId="0" fontId="45" fillId="48" borderId="338" applyNumberFormat="0" applyProtection="0">
      <alignment horizontal="left" vertical="center" indent="1"/>
    </xf>
    <xf numFmtId="4" fontId="45" fillId="43" borderId="338" applyNumberFormat="0" applyProtection="0">
      <alignment horizontal="right" vertical="center"/>
    </xf>
    <xf numFmtId="4" fontId="45" fillId="34" borderId="338" applyNumberFormat="0" applyProtection="0">
      <alignment horizontal="left" vertical="center" indent="1"/>
    </xf>
    <xf numFmtId="4" fontId="45" fillId="36" borderId="338" applyNumberFormat="0" applyProtection="0">
      <alignment horizontal="right" vertical="center"/>
    </xf>
    <xf numFmtId="0" fontId="45" fillId="50" borderId="350" applyNumberFormat="0" applyProtection="0">
      <alignment horizontal="left" vertical="center" indent="1"/>
    </xf>
    <xf numFmtId="0" fontId="96" fillId="29" borderId="339" applyNumberFormat="0" applyAlignment="0" applyProtection="0"/>
    <xf numFmtId="4" fontId="11" fillId="45" borderId="353" applyNumberFormat="0" applyProtection="0">
      <alignment horizontal="left" vertical="center" indent="1"/>
    </xf>
    <xf numFmtId="4" fontId="45" fillId="46" borderId="350" applyNumberFormat="0" applyProtection="0">
      <alignment horizontal="right" vertical="center"/>
    </xf>
    <xf numFmtId="0" fontId="88" fillId="29" borderId="338" applyNumberFormat="0" applyAlignment="0" applyProtection="0"/>
    <xf numFmtId="4" fontId="45" fillId="39" borderId="356" applyNumberFormat="0" applyProtection="0">
      <alignment horizontal="right" vertical="center"/>
    </xf>
    <xf numFmtId="4" fontId="11" fillId="45" borderId="353" applyNumberFormat="0" applyProtection="0">
      <alignment horizontal="left" vertical="center" indent="1"/>
    </xf>
    <xf numFmtId="0" fontId="45" fillId="26" borderId="338" applyNumberFormat="0" applyFont="0" applyAlignment="0" applyProtection="0"/>
    <xf numFmtId="4" fontId="45" fillId="35" borderId="338" applyNumberFormat="0" applyProtection="0">
      <alignment horizontal="right" vertical="center"/>
    </xf>
    <xf numFmtId="4" fontId="45" fillId="42" borderId="338" applyNumberFormat="0" applyProtection="0">
      <alignment horizontal="right" vertical="center"/>
    </xf>
    <xf numFmtId="4" fontId="45" fillId="46" borderId="341" applyNumberFormat="0" applyProtection="0">
      <alignment horizontal="left" vertical="center" indent="1"/>
    </xf>
    <xf numFmtId="4" fontId="45" fillId="41" borderId="338" applyNumberFormat="0" applyProtection="0">
      <alignment horizontal="right" vertical="center"/>
    </xf>
    <xf numFmtId="4" fontId="45" fillId="47" borderId="341" applyNumberFormat="0" applyProtection="0">
      <alignment horizontal="left" vertical="center" indent="1"/>
    </xf>
    <xf numFmtId="0" fontId="94" fillId="27" borderId="350" applyNumberFormat="0" applyAlignment="0" applyProtection="0"/>
    <xf numFmtId="4" fontId="99" fillId="2" borderId="344" applyNumberFormat="0" applyProtection="0">
      <alignment vertical="center"/>
    </xf>
    <xf numFmtId="4" fontId="45" fillId="2" borderId="344" applyNumberFormat="0" applyProtection="0">
      <alignment horizontal="left" vertical="center" indent="1"/>
    </xf>
    <xf numFmtId="0" fontId="82" fillId="33" borderId="346" applyNumberFormat="0" applyProtection="0">
      <alignment horizontal="left" vertical="top" indent="1"/>
    </xf>
    <xf numFmtId="4" fontId="45" fillId="33" borderId="344" applyNumberFormat="0" applyProtection="0">
      <alignment vertical="center"/>
    </xf>
    <xf numFmtId="0" fontId="45" fillId="50" borderId="340" applyNumberFormat="0" applyProtection="0">
      <alignment horizontal="left" vertical="top" indent="1"/>
    </xf>
    <xf numFmtId="0" fontId="45" fillId="47" borderId="338" applyNumberFormat="0" applyProtection="0">
      <alignment horizontal="left" vertical="center" indent="1"/>
    </xf>
    <xf numFmtId="0" fontId="45" fillId="47" borderId="340" applyNumberFormat="0" applyProtection="0">
      <alignment horizontal="left" vertical="top" indent="1"/>
    </xf>
    <xf numFmtId="0" fontId="80" fillId="45" borderId="342" applyBorder="0"/>
    <xf numFmtId="4" fontId="81" fillId="52" borderId="340" applyNumberFormat="0" applyProtection="0">
      <alignment vertical="center"/>
    </xf>
    <xf numFmtId="4" fontId="81" fillId="48" borderId="340" applyNumberFormat="0" applyProtection="0">
      <alignment horizontal="left" vertical="center" indent="1"/>
    </xf>
    <xf numFmtId="0" fontId="81" fillId="52" borderId="340" applyNumberFormat="0" applyProtection="0">
      <alignment horizontal="left" vertical="top" indent="1"/>
    </xf>
    <xf numFmtId="4" fontId="45" fillId="0" borderId="338" applyNumberFormat="0" applyProtection="0">
      <alignment horizontal="right" vertical="center"/>
    </xf>
    <xf numFmtId="4" fontId="99" fillId="5" borderId="338" applyNumberFormat="0" applyProtection="0">
      <alignment horizontal="right" vertical="center"/>
    </xf>
    <xf numFmtId="4" fontId="45" fillId="34" borderId="338" applyNumberFormat="0" applyProtection="0">
      <alignment horizontal="left" vertical="center" indent="1"/>
    </xf>
    <xf numFmtId="0" fontId="81" fillId="46" borderId="340" applyNumberFormat="0" applyProtection="0">
      <alignment horizontal="left" vertical="top" indent="1"/>
    </xf>
    <xf numFmtId="4" fontId="83" fillId="54" borderId="341" applyNumberFormat="0" applyProtection="0">
      <alignment horizontal="left" vertical="center" indent="1"/>
    </xf>
    <xf numFmtId="4" fontId="45" fillId="38" borderId="356" applyNumberFormat="0" applyProtection="0">
      <alignment horizontal="right" vertical="center"/>
    </xf>
    <xf numFmtId="4" fontId="84" fillId="51" borderId="338" applyNumberFormat="0" applyProtection="0">
      <alignment horizontal="right" vertical="center"/>
    </xf>
    <xf numFmtId="0" fontId="90" fillId="0" borderId="343" applyNumberFormat="0" applyFill="0" applyAlignment="0" applyProtection="0"/>
    <xf numFmtId="0" fontId="45" fillId="45" borderId="358" applyNumberFormat="0" applyProtection="0">
      <alignment horizontal="left" vertical="top" indent="1"/>
    </xf>
    <xf numFmtId="0" fontId="45" fillId="48" borderId="344" applyNumberFormat="0" applyProtection="0">
      <alignment horizontal="left" vertical="center" indent="1"/>
    </xf>
    <xf numFmtId="4" fontId="45" fillId="43" borderId="344" applyNumberFormat="0" applyProtection="0">
      <alignment horizontal="right" vertical="center"/>
    </xf>
    <xf numFmtId="4" fontId="45" fillId="34" borderId="344" applyNumberFormat="0" applyProtection="0">
      <alignment horizontal="left" vertical="center" indent="1"/>
    </xf>
    <xf numFmtId="4" fontId="45" fillId="36" borderId="344" applyNumberFormat="0" applyProtection="0">
      <alignment horizontal="right" vertical="center"/>
    </xf>
    <xf numFmtId="0" fontId="45" fillId="50" borderId="356" applyNumberFormat="0" applyProtection="0">
      <alignment horizontal="left" vertical="center" indent="1"/>
    </xf>
    <xf numFmtId="0" fontId="96" fillId="29" borderId="345" applyNumberFormat="0" applyAlignment="0" applyProtection="0"/>
    <xf numFmtId="4" fontId="11" fillId="45" borderId="359" applyNumberFormat="0" applyProtection="0">
      <alignment horizontal="left" vertical="center" indent="1"/>
    </xf>
    <xf numFmtId="4" fontId="45" fillId="46" borderId="356" applyNumberFormat="0" applyProtection="0">
      <alignment horizontal="right" vertical="center"/>
    </xf>
    <xf numFmtId="0" fontId="88" fillId="29" borderId="344" applyNumberFormat="0" applyAlignment="0" applyProtection="0"/>
    <xf numFmtId="4" fontId="11" fillId="45" borderId="359" applyNumberFormat="0" applyProtection="0">
      <alignment horizontal="left" vertical="center" indent="1"/>
    </xf>
    <xf numFmtId="0" fontId="45" fillId="26" borderId="344" applyNumberFormat="0" applyFont="0" applyAlignment="0" applyProtection="0"/>
    <xf numFmtId="4" fontId="45" fillId="35" borderId="344" applyNumberFormat="0" applyProtection="0">
      <alignment horizontal="right" vertical="center"/>
    </xf>
    <xf numFmtId="4" fontId="45" fillId="42" borderId="344" applyNumberFormat="0" applyProtection="0">
      <alignment horizontal="right" vertical="center"/>
    </xf>
    <xf numFmtId="4" fontId="45" fillId="46" borderId="347" applyNumberFormat="0" applyProtection="0">
      <alignment horizontal="left" vertical="center" indent="1"/>
    </xf>
    <xf numFmtId="4" fontId="45" fillId="41" borderId="344" applyNumberFormat="0" applyProtection="0">
      <alignment horizontal="right" vertical="center"/>
    </xf>
    <xf numFmtId="4" fontId="45" fillId="47" borderId="347" applyNumberFormat="0" applyProtection="0">
      <alignment horizontal="left" vertical="center" indent="1"/>
    </xf>
    <xf numFmtId="0" fontId="94" fillId="27" borderId="356" applyNumberFormat="0" applyAlignment="0" applyProtection="0"/>
    <xf numFmtId="4" fontId="99" fillId="2" borderId="350" applyNumberFormat="0" applyProtection="0">
      <alignment vertical="center"/>
    </xf>
    <xf numFmtId="4" fontId="45" fillId="2" borderId="350" applyNumberFormat="0" applyProtection="0">
      <alignment horizontal="left" vertical="center" indent="1"/>
    </xf>
    <xf numFmtId="0" fontId="82" fillId="33" borderId="352" applyNumberFormat="0" applyProtection="0">
      <alignment horizontal="left" vertical="top" indent="1"/>
    </xf>
    <xf numFmtId="4" fontId="45" fillId="33" borderId="350" applyNumberFormat="0" applyProtection="0">
      <alignment vertical="center"/>
    </xf>
    <xf numFmtId="0" fontId="45" fillId="50" borderId="346" applyNumberFormat="0" applyProtection="0">
      <alignment horizontal="left" vertical="top" indent="1"/>
    </xf>
    <xf numFmtId="0" fontId="45" fillId="47" borderId="344" applyNumberFormat="0" applyProtection="0">
      <alignment horizontal="left" vertical="center" indent="1"/>
    </xf>
    <xf numFmtId="0" fontId="45" fillId="47" borderId="346" applyNumberFormat="0" applyProtection="0">
      <alignment horizontal="left" vertical="top" indent="1"/>
    </xf>
    <xf numFmtId="0" fontId="80" fillId="45" borderId="348" applyBorder="0"/>
    <xf numFmtId="4" fontId="81" fillId="52" borderId="346" applyNumberFormat="0" applyProtection="0">
      <alignment vertical="center"/>
    </xf>
    <xf numFmtId="4" fontId="81" fillId="48" borderId="346" applyNumberFormat="0" applyProtection="0">
      <alignment horizontal="left" vertical="center" indent="1"/>
    </xf>
    <xf numFmtId="0" fontId="81" fillId="52" borderId="346" applyNumberFormat="0" applyProtection="0">
      <alignment horizontal="left" vertical="top" indent="1"/>
    </xf>
    <xf numFmtId="4" fontId="45" fillId="0" borderId="344" applyNumberFormat="0" applyProtection="0">
      <alignment horizontal="right" vertical="center"/>
    </xf>
    <xf numFmtId="4" fontId="99" fillId="5" borderId="344" applyNumberFormat="0" applyProtection="0">
      <alignment horizontal="right" vertical="center"/>
    </xf>
    <xf numFmtId="4" fontId="45" fillId="34" borderId="344" applyNumberFormat="0" applyProtection="0">
      <alignment horizontal="left" vertical="center" indent="1"/>
    </xf>
    <xf numFmtId="0" fontId="81" fillId="46" borderId="346" applyNumberFormat="0" applyProtection="0">
      <alignment horizontal="left" vertical="top" indent="1"/>
    </xf>
    <xf numFmtId="4" fontId="83" fillId="54" borderId="347" applyNumberFormat="0" applyProtection="0">
      <alignment horizontal="left" vertical="center" indent="1"/>
    </xf>
    <xf numFmtId="4" fontId="84" fillId="51" borderId="344" applyNumberFormat="0" applyProtection="0">
      <alignment horizontal="right" vertical="center"/>
    </xf>
    <xf numFmtId="0" fontId="90" fillId="0" borderId="349" applyNumberFormat="0" applyFill="0" applyAlignment="0" applyProtection="0"/>
    <xf numFmtId="0" fontId="45" fillId="48" borderId="350" applyNumberFormat="0" applyProtection="0">
      <alignment horizontal="left" vertical="center" indent="1"/>
    </xf>
    <xf numFmtId="4" fontId="45" fillId="43" borderId="350" applyNumberFormat="0" applyProtection="0">
      <alignment horizontal="right" vertical="center"/>
    </xf>
    <xf numFmtId="4" fontId="45" fillId="34" borderId="350" applyNumberFormat="0" applyProtection="0">
      <alignment horizontal="left" vertical="center" indent="1"/>
    </xf>
    <xf numFmtId="4" fontId="45" fillId="36" borderId="350" applyNumberFormat="0" applyProtection="0">
      <alignment horizontal="right" vertical="center"/>
    </xf>
    <xf numFmtId="0" fontId="96" fillId="29" borderId="351" applyNumberFormat="0" applyAlignment="0" applyProtection="0"/>
    <xf numFmtId="0" fontId="88" fillId="29" borderId="350" applyNumberFormat="0" applyAlignment="0" applyProtection="0"/>
    <xf numFmtId="0" fontId="45" fillId="26" borderId="350" applyNumberFormat="0" applyFont="0" applyAlignment="0" applyProtection="0"/>
    <xf numFmtId="4" fontId="45" fillId="35" borderId="350" applyNumberFormat="0" applyProtection="0">
      <alignment horizontal="right" vertical="center"/>
    </xf>
    <xf numFmtId="4" fontId="45" fillId="42" borderId="350" applyNumberFormat="0" applyProtection="0">
      <alignment horizontal="right" vertical="center"/>
    </xf>
    <xf numFmtId="4" fontId="45" fillId="46" borderId="353" applyNumberFormat="0" applyProtection="0">
      <alignment horizontal="left" vertical="center" indent="1"/>
    </xf>
    <xf numFmtId="4" fontId="45" fillId="41" borderId="350" applyNumberFormat="0" applyProtection="0">
      <alignment horizontal="right" vertical="center"/>
    </xf>
    <xf numFmtId="4" fontId="45" fillId="47" borderId="353" applyNumberFormat="0" applyProtection="0">
      <alignment horizontal="left" vertical="center" indent="1"/>
    </xf>
    <xf numFmtId="4" fontId="99" fillId="2" borderId="356" applyNumberFormat="0" applyProtection="0">
      <alignment vertical="center"/>
    </xf>
    <xf numFmtId="4" fontId="45" fillId="2" borderId="356" applyNumberFormat="0" applyProtection="0">
      <alignment horizontal="left" vertical="center" indent="1"/>
    </xf>
    <xf numFmtId="0" fontId="82" fillId="33" borderId="358" applyNumberFormat="0" applyProtection="0">
      <alignment horizontal="left" vertical="top" indent="1"/>
    </xf>
    <xf numFmtId="4" fontId="45" fillId="33" borderId="356" applyNumberFormat="0" applyProtection="0">
      <alignment vertical="center"/>
    </xf>
    <xf numFmtId="0" fontId="45" fillId="50" borderId="352" applyNumberFormat="0" applyProtection="0">
      <alignment horizontal="left" vertical="top" indent="1"/>
    </xf>
    <xf numFmtId="0" fontId="45" fillId="47" borderId="350" applyNumberFormat="0" applyProtection="0">
      <alignment horizontal="left" vertical="center" indent="1"/>
    </xf>
    <xf numFmtId="0" fontId="45" fillId="47" borderId="352" applyNumberFormat="0" applyProtection="0">
      <alignment horizontal="left" vertical="top" indent="1"/>
    </xf>
    <xf numFmtId="0" fontId="80" fillId="45" borderId="354" applyBorder="0"/>
    <xf numFmtId="4" fontId="81" fillId="52" borderId="352" applyNumberFormat="0" applyProtection="0">
      <alignment vertical="center"/>
    </xf>
    <xf numFmtId="4" fontId="81" fillId="48" borderId="352" applyNumberFormat="0" applyProtection="0">
      <alignment horizontal="left" vertical="center" indent="1"/>
    </xf>
    <xf numFmtId="0" fontId="81" fillId="52" borderId="352" applyNumberFormat="0" applyProtection="0">
      <alignment horizontal="left" vertical="top" indent="1"/>
    </xf>
    <xf numFmtId="4" fontId="45" fillId="0" borderId="350" applyNumberFormat="0" applyProtection="0">
      <alignment horizontal="right" vertical="center"/>
    </xf>
    <xf numFmtId="4" fontId="99" fillId="5" borderId="350" applyNumberFormat="0" applyProtection="0">
      <alignment horizontal="right" vertical="center"/>
    </xf>
    <xf numFmtId="4" fontId="45" fillId="34" borderId="350" applyNumberFormat="0" applyProtection="0">
      <alignment horizontal="left" vertical="center" indent="1"/>
    </xf>
    <xf numFmtId="0" fontId="81" fillId="46" borderId="352" applyNumberFormat="0" applyProtection="0">
      <alignment horizontal="left" vertical="top" indent="1"/>
    </xf>
    <xf numFmtId="4" fontId="83" fillId="54" borderId="353" applyNumberFormat="0" applyProtection="0">
      <alignment horizontal="left" vertical="center" indent="1"/>
    </xf>
    <xf numFmtId="4" fontId="84" fillId="51" borderId="350" applyNumberFormat="0" applyProtection="0">
      <alignment horizontal="right" vertical="center"/>
    </xf>
    <xf numFmtId="0" fontId="90" fillId="0" borderId="355" applyNumberFormat="0" applyFill="0" applyAlignment="0" applyProtection="0"/>
    <xf numFmtId="0" fontId="45" fillId="48" borderId="356" applyNumberFormat="0" applyProtection="0">
      <alignment horizontal="left" vertical="center" indent="1"/>
    </xf>
    <xf numFmtId="4" fontId="45" fillId="43" borderId="356" applyNumberFormat="0" applyProtection="0">
      <alignment horizontal="right" vertical="center"/>
    </xf>
    <xf numFmtId="4" fontId="45" fillId="34" borderId="356" applyNumberFormat="0" applyProtection="0">
      <alignment horizontal="left" vertical="center" indent="1"/>
    </xf>
    <xf numFmtId="4" fontId="45" fillId="36" borderId="356" applyNumberFormat="0" applyProtection="0">
      <alignment horizontal="right" vertical="center"/>
    </xf>
    <xf numFmtId="0" fontId="96" fillId="29" borderId="357" applyNumberFormat="0" applyAlignment="0" applyProtection="0"/>
    <xf numFmtId="0" fontId="88" fillId="29" borderId="356" applyNumberFormat="0" applyAlignment="0" applyProtection="0"/>
    <xf numFmtId="0" fontId="45" fillId="26" borderId="356" applyNumberFormat="0" applyFont="0" applyAlignment="0" applyProtection="0"/>
    <xf numFmtId="4" fontId="45" fillId="35" borderId="356" applyNumberFormat="0" applyProtection="0">
      <alignment horizontal="right" vertical="center"/>
    </xf>
    <xf numFmtId="4" fontId="45" fillId="42" borderId="356" applyNumberFormat="0" applyProtection="0">
      <alignment horizontal="right" vertical="center"/>
    </xf>
    <xf numFmtId="4" fontId="45" fillId="46" borderId="359" applyNumberFormat="0" applyProtection="0">
      <alignment horizontal="left" vertical="center" indent="1"/>
    </xf>
    <xf numFmtId="4" fontId="45" fillId="41" borderId="356" applyNumberFormat="0" applyProtection="0">
      <alignment horizontal="right" vertical="center"/>
    </xf>
    <xf numFmtId="4" fontId="45" fillId="47" borderId="359" applyNumberFormat="0" applyProtection="0">
      <alignment horizontal="left" vertical="center" indent="1"/>
    </xf>
    <xf numFmtId="0" fontId="45" fillId="50" borderId="358" applyNumberFormat="0" applyProtection="0">
      <alignment horizontal="left" vertical="top" indent="1"/>
    </xf>
    <xf numFmtId="0" fontId="45" fillId="47" borderId="356" applyNumberFormat="0" applyProtection="0">
      <alignment horizontal="left" vertical="center" indent="1"/>
    </xf>
    <xf numFmtId="0" fontId="45" fillId="47" borderId="358" applyNumberFormat="0" applyProtection="0">
      <alignment horizontal="left" vertical="top" indent="1"/>
    </xf>
    <xf numFmtId="0" fontId="80" fillId="45" borderId="360" applyBorder="0"/>
    <xf numFmtId="4" fontId="81" fillId="52" borderId="358" applyNumberFormat="0" applyProtection="0">
      <alignment vertical="center"/>
    </xf>
    <xf numFmtId="4" fontId="81" fillId="48" borderId="358" applyNumberFormat="0" applyProtection="0">
      <alignment horizontal="left" vertical="center" indent="1"/>
    </xf>
    <xf numFmtId="0" fontId="81" fillId="52" borderId="358" applyNumberFormat="0" applyProtection="0">
      <alignment horizontal="left" vertical="top" indent="1"/>
    </xf>
    <xf numFmtId="4" fontId="45" fillId="0" borderId="356" applyNumberFormat="0" applyProtection="0">
      <alignment horizontal="right" vertical="center"/>
    </xf>
    <xf numFmtId="4" fontId="99" fillId="5" borderId="356" applyNumberFormat="0" applyProtection="0">
      <alignment horizontal="right" vertical="center"/>
    </xf>
    <xf numFmtId="4" fontId="45" fillId="34" borderId="356" applyNumberFormat="0" applyProtection="0">
      <alignment horizontal="left" vertical="center" indent="1"/>
    </xf>
    <xf numFmtId="0" fontId="81" fillId="46" borderId="358" applyNumberFormat="0" applyProtection="0">
      <alignment horizontal="left" vertical="top" indent="1"/>
    </xf>
    <xf numFmtId="4" fontId="83" fillId="54" borderId="359" applyNumberFormat="0" applyProtection="0">
      <alignment horizontal="left" vertical="center" indent="1"/>
    </xf>
    <xf numFmtId="4" fontId="84" fillId="51" borderId="356" applyNumberFormat="0" applyProtection="0">
      <alignment horizontal="right" vertical="center"/>
    </xf>
    <xf numFmtId="0" fontId="90" fillId="0" borderId="361" applyNumberFormat="0" applyFill="0" applyAlignment="0" applyProtection="0"/>
    <xf numFmtId="0" fontId="7" fillId="0" borderId="0"/>
    <xf numFmtId="43" fontId="7" fillId="0" borderId="0" applyFont="0" applyFill="0" applyBorder="0" applyAlignment="0" applyProtection="0"/>
    <xf numFmtId="0" fontId="105" fillId="0" borderId="0"/>
    <xf numFmtId="0" fontId="6" fillId="0" borderId="0"/>
    <xf numFmtId="43" fontId="6" fillId="0" borderId="0" applyFont="0" applyFill="0" applyBorder="0" applyAlignment="0" applyProtection="0"/>
    <xf numFmtId="0" fontId="88" fillId="29" borderId="365" applyNumberFormat="0" applyAlignment="0" applyProtection="0"/>
    <xf numFmtId="0" fontId="94" fillId="27" borderId="365" applyNumberFormat="0" applyAlignment="0" applyProtection="0"/>
    <xf numFmtId="0" fontId="45" fillId="26" borderId="365" applyNumberFormat="0" applyFont="0" applyAlignment="0" applyProtection="0"/>
    <xf numFmtId="0" fontId="96" fillId="29" borderId="366" applyNumberFormat="0" applyAlignment="0" applyProtection="0"/>
    <xf numFmtId="4" fontId="45" fillId="33" borderId="365" applyNumberFormat="0" applyProtection="0">
      <alignment vertical="center"/>
    </xf>
    <xf numFmtId="4" fontId="99" fillId="2" borderId="365" applyNumberFormat="0" applyProtection="0">
      <alignment vertical="center"/>
    </xf>
    <xf numFmtId="4" fontId="45" fillId="2" borderId="365" applyNumberFormat="0" applyProtection="0">
      <alignment horizontal="left" vertical="center" indent="1"/>
    </xf>
    <xf numFmtId="0" fontId="82" fillId="33" borderId="367" applyNumberFormat="0" applyProtection="0">
      <alignment horizontal="left" vertical="top" indent="1"/>
    </xf>
    <xf numFmtId="4" fontId="45" fillId="34" borderId="365" applyNumberFormat="0" applyProtection="0">
      <alignment horizontal="left" vertical="center" indent="1"/>
    </xf>
    <xf numFmtId="4" fontId="45" fillId="35" borderId="365" applyNumberFormat="0" applyProtection="0">
      <alignment horizontal="right" vertical="center"/>
    </xf>
    <xf numFmtId="4" fontId="45" fillId="36" borderId="365" applyNumberFormat="0" applyProtection="0">
      <alignment horizontal="right" vertical="center"/>
    </xf>
    <xf numFmtId="4" fontId="45" fillId="37" borderId="368" applyNumberFormat="0" applyProtection="0">
      <alignment horizontal="right" vertical="center"/>
    </xf>
    <xf numFmtId="4" fontId="45" fillId="38" borderId="365" applyNumberFormat="0" applyProtection="0">
      <alignment horizontal="right" vertical="center"/>
    </xf>
    <xf numFmtId="4" fontId="45" fillId="39" borderId="365" applyNumberFormat="0" applyProtection="0">
      <alignment horizontal="right" vertical="center"/>
    </xf>
    <xf numFmtId="4" fontId="45" fillId="40" borderId="365" applyNumberFormat="0" applyProtection="0">
      <alignment horizontal="right" vertical="center"/>
    </xf>
    <xf numFmtId="4" fontId="45" fillId="41" borderId="365" applyNumberFormat="0" applyProtection="0">
      <alignment horizontal="right" vertical="center"/>
    </xf>
    <xf numFmtId="4" fontId="45" fillId="42" borderId="365" applyNumberFormat="0" applyProtection="0">
      <alignment horizontal="right" vertical="center"/>
    </xf>
    <xf numFmtId="4" fontId="45" fillId="43" borderId="365" applyNumberFormat="0" applyProtection="0">
      <alignment horizontal="right" vertical="center"/>
    </xf>
    <xf numFmtId="4" fontId="45" fillId="44" borderId="368" applyNumberFormat="0" applyProtection="0">
      <alignment horizontal="left" vertical="center" indent="1"/>
    </xf>
    <xf numFmtId="4" fontId="11" fillId="45" borderId="368" applyNumberFormat="0" applyProtection="0">
      <alignment horizontal="left" vertical="center" indent="1"/>
    </xf>
    <xf numFmtId="4" fontId="11" fillId="45" borderId="368" applyNumberFormat="0" applyProtection="0">
      <alignment horizontal="left" vertical="center" indent="1"/>
    </xf>
    <xf numFmtId="4" fontId="45" fillId="46" borderId="365" applyNumberFormat="0" applyProtection="0">
      <alignment horizontal="right" vertical="center"/>
    </xf>
    <xf numFmtId="4" fontId="45" fillId="47" borderId="368" applyNumberFormat="0" applyProtection="0">
      <alignment horizontal="left" vertical="center" indent="1"/>
    </xf>
    <xf numFmtId="4" fontId="45" fillId="46" borderId="368" applyNumberFormat="0" applyProtection="0">
      <alignment horizontal="left" vertical="center" indent="1"/>
    </xf>
    <xf numFmtId="0" fontId="45" fillId="48" borderId="365" applyNumberFormat="0" applyProtection="0">
      <alignment horizontal="left" vertical="center" indent="1"/>
    </xf>
    <xf numFmtId="0" fontId="45" fillId="45" borderId="367" applyNumberFormat="0" applyProtection="0">
      <alignment horizontal="left" vertical="top" indent="1"/>
    </xf>
    <xf numFmtId="0" fontId="45" fillId="49" borderId="365" applyNumberFormat="0" applyProtection="0">
      <alignment horizontal="left" vertical="center" indent="1"/>
    </xf>
    <xf numFmtId="0" fontId="45" fillId="46" borderId="367" applyNumberFormat="0" applyProtection="0">
      <alignment horizontal="left" vertical="top" indent="1"/>
    </xf>
    <xf numFmtId="0" fontId="45" fillId="50" borderId="365" applyNumberFormat="0" applyProtection="0">
      <alignment horizontal="left" vertical="center" indent="1"/>
    </xf>
    <xf numFmtId="0" fontId="45" fillId="50" borderId="367" applyNumberFormat="0" applyProtection="0">
      <alignment horizontal="left" vertical="top" indent="1"/>
    </xf>
    <xf numFmtId="0" fontId="45" fillId="47" borderId="365" applyNumberFormat="0" applyProtection="0">
      <alignment horizontal="left" vertical="center" indent="1"/>
    </xf>
    <xf numFmtId="0" fontId="45" fillId="47" borderId="367" applyNumberFormat="0" applyProtection="0">
      <alignment horizontal="left" vertical="top" indent="1"/>
    </xf>
    <xf numFmtId="0" fontId="80" fillId="45" borderId="369" applyBorder="0"/>
    <xf numFmtId="4" fontId="81" fillId="52" borderId="367" applyNumberFormat="0" applyProtection="0">
      <alignment vertical="center"/>
    </xf>
    <xf numFmtId="4" fontId="81" fillId="48" borderId="367" applyNumberFormat="0" applyProtection="0">
      <alignment horizontal="left" vertical="center" indent="1"/>
    </xf>
    <xf numFmtId="0" fontId="81" fillId="52" borderId="367" applyNumberFormat="0" applyProtection="0">
      <alignment horizontal="left" vertical="top" indent="1"/>
    </xf>
    <xf numFmtId="4" fontId="45" fillId="0" borderId="365" applyNumberFormat="0" applyProtection="0">
      <alignment horizontal="right" vertical="center"/>
    </xf>
    <xf numFmtId="4" fontId="99" fillId="5" borderId="365" applyNumberFormat="0" applyProtection="0">
      <alignment horizontal="right" vertical="center"/>
    </xf>
    <xf numFmtId="4" fontId="45" fillId="34" borderId="365" applyNumberFormat="0" applyProtection="0">
      <alignment horizontal="left" vertical="center" indent="1"/>
    </xf>
    <xf numFmtId="0" fontId="81" fillId="46" borderId="367" applyNumberFormat="0" applyProtection="0">
      <alignment horizontal="left" vertical="top" indent="1"/>
    </xf>
    <xf numFmtId="4" fontId="83" fillId="54" borderId="368" applyNumberFormat="0" applyProtection="0">
      <alignment horizontal="left" vertical="center" indent="1"/>
    </xf>
    <xf numFmtId="4" fontId="84" fillId="51" borderId="365" applyNumberFormat="0" applyProtection="0">
      <alignment horizontal="right" vertical="center"/>
    </xf>
    <xf numFmtId="0" fontId="90" fillId="0" borderId="370" applyNumberFormat="0" applyFill="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105"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105" fillId="0" borderId="0"/>
    <xf numFmtId="0" fontId="11" fillId="0" borderId="0"/>
    <xf numFmtId="0" fontId="112" fillId="0" borderId="0"/>
    <xf numFmtId="0" fontId="112" fillId="0" borderId="0"/>
    <xf numFmtId="0" fontId="11" fillId="0" borderId="0"/>
    <xf numFmtId="37" fontId="15" fillId="0" borderId="0"/>
    <xf numFmtId="0" fontId="105" fillId="0" borderId="0"/>
    <xf numFmtId="0" fontId="112" fillId="0" borderId="0"/>
    <xf numFmtId="0" fontId="112" fillId="0" borderId="0"/>
    <xf numFmtId="0" fontId="2" fillId="0" borderId="0"/>
    <xf numFmtId="9" fontId="2" fillId="0" borderId="0" applyFont="0" applyFill="0" applyBorder="0" applyAlignment="0" applyProtection="0"/>
    <xf numFmtId="43" fontId="1" fillId="0" borderId="0" applyFont="0" applyFill="0" applyBorder="0" applyAlignment="0" applyProtection="0"/>
  </cellStyleXfs>
  <cellXfs count="1261">
    <xf numFmtId="0" fontId="0" fillId="0" borderId="0" xfId="0"/>
    <xf numFmtId="0" fontId="13" fillId="0" borderId="0" xfId="0" applyFont="1"/>
    <xf numFmtId="0" fontId="0" fillId="0" borderId="0" xfId="0" applyFill="1"/>
    <xf numFmtId="0" fontId="17" fillId="0" borderId="0" xfId="0" applyNumberFormat="1" applyFont="1" applyAlignment="1"/>
    <xf numFmtId="0" fontId="17" fillId="0" borderId="0" xfId="0" applyNumberFormat="1" applyFont="1" applyAlignment="1">
      <alignment horizontal="left"/>
    </xf>
    <xf numFmtId="3" fontId="17" fillId="0" borderId="0" xfId="0" applyNumberFormat="1" applyFont="1" applyAlignment="1"/>
    <xf numFmtId="0" fontId="17" fillId="0" borderId="0" xfId="0" applyNumberFormat="1" applyFont="1" applyAlignment="1">
      <alignment horizontal="center"/>
    </xf>
    <xf numFmtId="3" fontId="17" fillId="0" borderId="0" xfId="0" applyNumberFormat="1" applyFont="1"/>
    <xf numFmtId="169" fontId="17" fillId="0" borderId="0" xfId="0" applyNumberFormat="1" applyFont="1" applyAlignment="1"/>
    <xf numFmtId="0" fontId="17" fillId="0" borderId="0" xfId="0" applyFont="1" applyAlignment="1"/>
    <xf numFmtId="3" fontId="17" fillId="0" borderId="0" xfId="0" applyNumberFormat="1" applyFont="1" applyFill="1" applyAlignment="1"/>
    <xf numFmtId="0" fontId="13" fillId="0" borderId="0" xfId="0" applyNumberFormat="1" applyFont="1" applyAlignment="1">
      <alignment horizontal="center"/>
    </xf>
    <xf numFmtId="3" fontId="13" fillId="0" borderId="0" xfId="0" applyNumberFormat="1" applyFont="1" applyAlignment="1"/>
    <xf numFmtId="0" fontId="13" fillId="0" borderId="0" xfId="0" applyNumberFormat="1" applyFont="1" applyAlignment="1"/>
    <xf numFmtId="168" fontId="17" fillId="0" borderId="0" xfId="0" applyNumberFormat="1" applyFont="1" applyAlignment="1">
      <alignment horizontal="center"/>
    </xf>
    <xf numFmtId="168" fontId="17" fillId="0" borderId="0" xfId="0" applyNumberFormat="1" applyFont="1" applyAlignment="1">
      <alignment horizontal="left"/>
    </xf>
    <xf numFmtId="169" fontId="17" fillId="0" borderId="0" xfId="0" applyNumberFormat="1" applyFont="1" applyAlignment="1">
      <alignment horizontal="center"/>
    </xf>
    <xf numFmtId="10" fontId="17" fillId="0" borderId="0" xfId="0" applyNumberFormat="1" applyFont="1" applyFill="1" applyAlignment="1">
      <alignment horizontal="right"/>
    </xf>
    <xf numFmtId="3" fontId="17" fillId="0" borderId="0" xfId="0" applyNumberFormat="1" applyFont="1" applyFill="1" applyAlignment="1">
      <alignment horizontal="right"/>
    </xf>
    <xf numFmtId="3" fontId="17" fillId="0" borderId="0" xfId="0" applyNumberFormat="1" applyFont="1" applyAlignment="1">
      <alignment horizontal="center"/>
    </xf>
    <xf numFmtId="3" fontId="17" fillId="0" borderId="0" xfId="0" applyNumberFormat="1" applyFont="1" applyBorder="1" applyAlignment="1">
      <alignment horizontal="center"/>
    </xf>
    <xf numFmtId="166" fontId="17" fillId="0" borderId="0" xfId="0" applyNumberFormat="1" applyFont="1" applyAlignment="1"/>
    <xf numFmtId="170" fontId="17" fillId="0" borderId="0" xfId="0" applyNumberFormat="1" applyFont="1" applyAlignment="1"/>
    <xf numFmtId="0" fontId="13" fillId="0" borderId="0" xfId="0" applyNumberFormat="1" applyFont="1" applyAlignment="1">
      <alignment horizontal="right"/>
    </xf>
    <xf numFmtId="0" fontId="13" fillId="0" borderId="0" xfId="0" applyNumberFormat="1" applyFont="1" applyFill="1" applyAlignment="1"/>
    <xf numFmtId="3" fontId="17" fillId="0" borderId="0" xfId="0" applyNumberFormat="1" applyFont="1" applyBorder="1" applyAlignment="1"/>
    <xf numFmtId="0" fontId="17" fillId="0" borderId="0" xfId="0" applyNumberFormat="1" applyFont="1" applyFill="1" applyAlignment="1"/>
    <xf numFmtId="0" fontId="17" fillId="0" borderId="0" xfId="0" applyFont="1" applyFill="1" applyAlignment="1"/>
    <xf numFmtId="3" fontId="17" fillId="0" borderId="0" xfId="0" applyNumberFormat="1" applyFont="1" applyFill="1" applyAlignment="1">
      <alignment horizontal="center"/>
    </xf>
    <xf numFmtId="0" fontId="17" fillId="0" borderId="0" xfId="0" applyNumberFormat="1" applyFont="1" applyFill="1" applyAlignment="1">
      <alignment horizontal="center"/>
    </xf>
    <xf numFmtId="3" fontId="17" fillId="0" borderId="0" xfId="0" quotePrefix="1" applyNumberFormat="1" applyFont="1" applyAlignment="1">
      <alignment horizontal="right"/>
    </xf>
    <xf numFmtId="0" fontId="15" fillId="0" borderId="0" xfId="0" applyFont="1" applyAlignment="1"/>
    <xf numFmtId="0" fontId="20" fillId="0" borderId="0" xfId="0" applyNumberFormat="1" applyFont="1" applyFill="1" applyAlignment="1"/>
    <xf numFmtId="3" fontId="17" fillId="0" borderId="1" xfId="0" applyNumberFormat="1" applyFont="1" applyBorder="1" applyAlignment="1"/>
    <xf numFmtId="0" fontId="17" fillId="0" borderId="0" xfId="0" applyFont="1"/>
    <xf numFmtId="0" fontId="17" fillId="0" borderId="0" xfId="0" applyFont="1" applyFill="1" applyBorder="1" applyAlignment="1"/>
    <xf numFmtId="0" fontId="13" fillId="0" borderId="1" xfId="0" applyFont="1" applyBorder="1"/>
    <xf numFmtId="0" fontId="17" fillId="0" borderId="0" xfId="0" applyFont="1" applyBorder="1" applyAlignment="1"/>
    <xf numFmtId="0" fontId="17" fillId="0" borderId="0" xfId="0" applyFont="1" applyBorder="1"/>
    <xf numFmtId="0" fontId="17" fillId="0" borderId="1" xfId="0" applyNumberFormat="1" applyFont="1" applyBorder="1" applyAlignment="1"/>
    <xf numFmtId="172" fontId="13" fillId="0" borderId="0" xfId="6" applyNumberFormat="1" applyFont="1" applyAlignment="1"/>
    <xf numFmtId="0" fontId="13" fillId="0" borderId="1" xfId="0" applyNumberFormat="1" applyFont="1" applyFill="1" applyBorder="1" applyAlignment="1"/>
    <xf numFmtId="3" fontId="13" fillId="0" borderId="2" xfId="0" applyNumberFormat="1" applyFont="1" applyBorder="1" applyAlignment="1"/>
    <xf numFmtId="3" fontId="17" fillId="0" borderId="0" xfId="0" applyNumberFormat="1" applyFont="1" applyFill="1" applyBorder="1" applyAlignment="1"/>
    <xf numFmtId="0" fontId="13" fillId="0" borderId="0" xfId="0" applyNumberFormat="1" applyFont="1" applyFill="1" applyAlignment="1">
      <alignment horizontal="center"/>
    </xf>
    <xf numFmtId="0" fontId="17" fillId="0" borderId="0" xfId="0" applyNumberFormat="1" applyFont="1" applyFill="1" applyBorder="1" applyAlignment="1"/>
    <xf numFmtId="0" fontId="17" fillId="0" borderId="1" xfId="0" applyNumberFormat="1" applyFont="1" applyFill="1" applyBorder="1" applyAlignment="1"/>
    <xf numFmtId="0" fontId="17" fillId="0" borderId="1" xfId="0" applyFont="1" applyFill="1" applyBorder="1"/>
    <xf numFmtId="0" fontId="13" fillId="0" borderId="0" xfId="0" applyNumberFormat="1" applyFont="1" applyFill="1" applyBorder="1" applyAlignment="1"/>
    <xf numFmtId="0" fontId="15" fillId="0" borderId="0" xfId="0" applyFont="1"/>
    <xf numFmtId="0" fontId="15" fillId="0" borderId="0" xfId="0" applyFont="1" applyFill="1"/>
    <xf numFmtId="3" fontId="17" fillId="0" borderId="1" xfId="0" applyNumberFormat="1" applyFont="1" applyFill="1" applyBorder="1" applyAlignment="1"/>
    <xf numFmtId="0" fontId="17" fillId="0" borderId="0" xfId="0" applyFont="1" applyFill="1" applyBorder="1"/>
    <xf numFmtId="0" fontId="15" fillId="0" borderId="0" xfId="0" applyFont="1" applyAlignment="1">
      <alignment horizontal="left"/>
    </xf>
    <xf numFmtId="0" fontId="21" fillId="0" borderId="0" xfId="0" applyFont="1"/>
    <xf numFmtId="166" fontId="13" fillId="0" borderId="0" xfId="0" applyNumberFormat="1" applyFont="1" applyAlignment="1"/>
    <xf numFmtId="0" fontId="15" fillId="0" borderId="0" xfId="0" applyFont="1" applyBorder="1"/>
    <xf numFmtId="0" fontId="13" fillId="0" borderId="0" xfId="0" applyNumberFormat="1" applyFont="1" applyBorder="1" applyAlignment="1"/>
    <xf numFmtId="3" fontId="13" fillId="0" borderId="0" xfId="0" applyNumberFormat="1" applyFont="1" applyBorder="1" applyAlignment="1"/>
    <xf numFmtId="3" fontId="13" fillId="0" borderId="0" xfId="0" quotePrefix="1" applyNumberFormat="1" applyFont="1" applyBorder="1" applyAlignment="1">
      <alignment horizontal="right"/>
    </xf>
    <xf numFmtId="168" fontId="17" fillId="0" borderId="0" xfId="0" applyNumberFormat="1" applyFont="1" applyBorder="1" applyAlignment="1">
      <alignment horizontal="left"/>
    </xf>
    <xf numFmtId="0" fontId="13" fillId="0" borderId="1" xfId="0" applyNumberFormat="1" applyFont="1" applyBorder="1" applyAlignment="1"/>
    <xf numFmtId="0" fontId="15" fillId="0" borderId="0" xfId="0" applyFont="1" applyAlignment="1">
      <alignment horizontal="center"/>
    </xf>
    <xf numFmtId="0" fontId="17" fillId="0" borderId="0" xfId="0" applyFont="1" applyAlignment="1">
      <alignment horizontal="center"/>
    </xf>
    <xf numFmtId="0" fontId="17" fillId="0" borderId="0" xfId="0" applyFont="1" applyFill="1" applyAlignment="1">
      <alignment horizontal="center"/>
    </xf>
    <xf numFmtId="0" fontId="13" fillId="0" borderId="0" xfId="0" applyNumberFormat="1" applyFont="1" applyAlignment="1">
      <alignment horizontal="left"/>
    </xf>
    <xf numFmtId="0" fontId="20" fillId="0" borderId="0" xfId="0" applyNumberFormat="1" applyFont="1" applyFill="1" applyAlignment="1">
      <alignment horizontal="center"/>
    </xf>
    <xf numFmtId="0" fontId="13" fillId="0" borderId="2" xfId="0" applyFont="1" applyBorder="1" applyAlignment="1"/>
    <xf numFmtId="3" fontId="17" fillId="0" borderId="3" xfId="0" applyNumberFormat="1" applyFont="1" applyBorder="1" applyAlignment="1"/>
    <xf numFmtId="3" fontId="17" fillId="0" borderId="3" xfId="0" applyNumberFormat="1" applyFont="1" applyBorder="1" applyAlignment="1">
      <alignment horizontal="right"/>
    </xf>
    <xf numFmtId="3" fontId="17" fillId="0" borderId="3" xfId="0" applyNumberFormat="1" applyFont="1" applyFill="1" applyBorder="1" applyAlignment="1"/>
    <xf numFmtId="168" fontId="13" fillId="0" borderId="2" xfId="0" applyNumberFormat="1" applyFont="1" applyBorder="1" applyAlignment="1">
      <alignment horizontal="left"/>
    </xf>
    <xf numFmtId="169" fontId="13" fillId="0" borderId="2" xfId="0" applyNumberFormat="1" applyFont="1" applyBorder="1" applyAlignment="1">
      <alignment horizontal="center"/>
    </xf>
    <xf numFmtId="0" fontId="26" fillId="0" borderId="0" xfId="0" applyFont="1" applyFill="1" applyBorder="1" applyAlignment="1">
      <alignment horizontal="center"/>
    </xf>
    <xf numFmtId="0" fontId="27" fillId="0" borderId="0" xfId="0" applyFont="1" applyFill="1" applyBorder="1" applyAlignment="1"/>
    <xf numFmtId="0" fontId="13" fillId="0" borderId="0" xfId="0" applyFont="1" applyBorder="1" applyAlignment="1"/>
    <xf numFmtId="3" fontId="13" fillId="0" borderId="0" xfId="0" applyNumberFormat="1" applyFont="1" applyFill="1" applyBorder="1" applyAlignment="1"/>
    <xf numFmtId="169" fontId="13" fillId="0" borderId="2" xfId="0" applyNumberFormat="1" applyFont="1" applyBorder="1" applyAlignment="1"/>
    <xf numFmtId="168" fontId="13" fillId="0" borderId="0" xfId="0" applyNumberFormat="1" applyFont="1" applyBorder="1" applyAlignment="1">
      <alignment horizontal="left"/>
    </xf>
    <xf numFmtId="173" fontId="17" fillId="0" borderId="0" xfId="6" applyNumberFormat="1" applyFont="1" applyFill="1" applyAlignment="1">
      <alignment horizontal="right"/>
    </xf>
    <xf numFmtId="43" fontId="15" fillId="0" borderId="0" xfId="0" applyNumberFormat="1" applyFont="1"/>
    <xf numFmtId="43" fontId="15" fillId="0" borderId="0" xfId="1" applyFont="1"/>
    <xf numFmtId="0" fontId="13" fillId="0" borderId="1" xfId="0" applyNumberFormat="1" applyFont="1" applyBorder="1" applyAlignment="1">
      <alignment horizontal="left"/>
    </xf>
    <xf numFmtId="0" fontId="13" fillId="0" borderId="1" xfId="0" applyFont="1" applyFill="1" applyBorder="1" applyAlignment="1"/>
    <xf numFmtId="0" fontId="13" fillId="0" borderId="1" xfId="0" applyFont="1" applyBorder="1" applyAlignment="1"/>
    <xf numFmtId="0" fontId="14" fillId="0" borderId="0" xfId="0" applyFont="1"/>
    <xf numFmtId="0" fontId="25" fillId="0" borderId="4" xfId="0" applyNumberFormat="1" applyFont="1" applyBorder="1" applyAlignment="1">
      <alignment horizontal="center"/>
    </xf>
    <xf numFmtId="0" fontId="25" fillId="0" borderId="5" xfId="0" applyNumberFormat="1" applyFont="1" applyBorder="1" applyAlignment="1">
      <alignment horizontal="left"/>
    </xf>
    <xf numFmtId="10" fontId="17" fillId="0" borderId="0" xfId="6" applyNumberFormat="1" applyFont="1" applyAlignment="1"/>
    <xf numFmtId="0" fontId="25" fillId="0" borderId="0" xfId="0" applyNumberFormat="1" applyFont="1" applyBorder="1" applyAlignment="1">
      <alignment horizontal="center"/>
    </xf>
    <xf numFmtId="0" fontId="25" fillId="0" borderId="5" xfId="0" applyNumberFormat="1" applyFont="1" applyBorder="1" applyAlignment="1">
      <alignment horizontal="center"/>
    </xf>
    <xf numFmtId="0" fontId="13" fillId="0" borderId="0" xfId="0" applyNumberFormat="1" applyFont="1" applyBorder="1" applyAlignment="1">
      <alignment horizontal="left"/>
    </xf>
    <xf numFmtId="0" fontId="17" fillId="0" borderId="0" xfId="0" applyNumberFormat="1" applyFont="1" applyFill="1" applyAlignment="1">
      <alignment horizontal="left"/>
    </xf>
    <xf numFmtId="0" fontId="17" fillId="0" borderId="0" xfId="0" applyNumberFormat="1" applyFont="1" applyBorder="1" applyAlignment="1">
      <alignment horizontal="left"/>
    </xf>
    <xf numFmtId="3" fontId="17" fillId="0" borderId="0" xfId="0" applyNumberFormat="1" applyFont="1" applyAlignment="1">
      <alignment horizontal="left"/>
    </xf>
    <xf numFmtId="164" fontId="17" fillId="0" borderId="0" xfId="1" applyNumberFormat="1" applyFont="1" applyFill="1" applyAlignment="1"/>
    <xf numFmtId="164" fontId="13" fillId="0" borderId="2" xfId="1" applyNumberFormat="1" applyFont="1" applyFill="1" applyBorder="1" applyAlignment="1">
      <alignment horizontal="right"/>
    </xf>
    <xf numFmtId="0" fontId="17" fillId="0" borderId="3" xfId="0" applyNumberFormat="1" applyFont="1" applyBorder="1" applyAlignment="1">
      <alignment horizontal="left"/>
    </xf>
    <xf numFmtId="0" fontId="17" fillId="0" borderId="3" xfId="0" applyNumberFormat="1" applyFont="1" applyBorder="1" applyAlignment="1"/>
    <xf numFmtId="166" fontId="17" fillId="0" borderId="3" xfId="0" applyNumberFormat="1" applyFont="1" applyBorder="1" applyAlignment="1"/>
    <xf numFmtId="3" fontId="17" fillId="0" borderId="1" xfId="0" applyNumberFormat="1" applyFont="1" applyBorder="1" applyAlignment="1">
      <alignment horizontal="center"/>
    </xf>
    <xf numFmtId="0" fontId="18" fillId="0" borderId="0" xfId="0" applyFont="1" applyFill="1" applyAlignment="1">
      <alignment horizontal="center"/>
    </xf>
    <xf numFmtId="0" fontId="17" fillId="0" borderId="0" xfId="0" applyFont="1" applyFill="1" applyBorder="1" applyAlignment="1">
      <alignment horizontal="center"/>
    </xf>
    <xf numFmtId="0" fontId="17" fillId="0" borderId="1" xfId="0" applyFont="1" applyFill="1" applyBorder="1" applyAlignment="1">
      <alignment horizontal="center"/>
    </xf>
    <xf numFmtId="3" fontId="17" fillId="0" borderId="1" xfId="0" applyNumberFormat="1" applyFont="1" applyFill="1" applyBorder="1" applyAlignment="1">
      <alignment horizontal="center"/>
    </xf>
    <xf numFmtId="0" fontId="13" fillId="0" borderId="2" xfId="0" applyFont="1" applyBorder="1" applyAlignment="1">
      <alignment horizontal="center"/>
    </xf>
    <xf numFmtId="0" fontId="17" fillId="0" borderId="0" xfId="0" applyFont="1" applyBorder="1" applyAlignment="1">
      <alignment horizontal="center"/>
    </xf>
    <xf numFmtId="0" fontId="13" fillId="0" borderId="0" xfId="0" applyFont="1" applyBorder="1" applyAlignment="1">
      <alignment horizontal="center"/>
    </xf>
    <xf numFmtId="3" fontId="13" fillId="0" borderId="1" xfId="0" applyNumberFormat="1" applyFont="1" applyBorder="1" applyAlignment="1">
      <alignment horizontal="center"/>
    </xf>
    <xf numFmtId="0" fontId="17" fillId="0" borderId="0" xfId="0" applyNumberFormat="1" applyFont="1" applyBorder="1" applyAlignment="1"/>
    <xf numFmtId="0" fontId="18" fillId="0" borderId="1" xfId="0" applyFont="1" applyFill="1" applyBorder="1" applyAlignment="1"/>
    <xf numFmtId="0" fontId="18" fillId="0" borderId="3" xfId="0" applyFont="1" applyFill="1" applyBorder="1" applyAlignment="1"/>
    <xf numFmtId="0" fontId="18" fillId="0" borderId="3" xfId="0" applyFont="1" applyFill="1" applyBorder="1" applyAlignment="1">
      <alignment horizontal="center"/>
    </xf>
    <xf numFmtId="3" fontId="17" fillId="0" borderId="3" xfId="0" applyNumberFormat="1" applyFont="1" applyFill="1" applyBorder="1" applyAlignment="1">
      <alignment horizontal="center"/>
    </xf>
    <xf numFmtId="0" fontId="18" fillId="0" borderId="0" xfId="0" applyFont="1" applyFill="1" applyAlignment="1">
      <alignment horizontal="left"/>
    </xf>
    <xf numFmtId="0" fontId="13" fillId="0" borderId="0" xfId="0" applyFont="1" applyFill="1"/>
    <xf numFmtId="0" fontId="13" fillId="0" borderId="0" xfId="0" applyFont="1" applyFill="1" applyBorder="1"/>
    <xf numFmtId="10" fontId="17" fillId="0" borderId="0" xfId="6" applyNumberFormat="1" applyFont="1" applyFill="1" applyAlignment="1"/>
    <xf numFmtId="10" fontId="19" fillId="0" borderId="0" xfId="0" applyNumberFormat="1" applyFont="1" applyFill="1" applyAlignment="1">
      <alignment horizontal="right"/>
    </xf>
    <xf numFmtId="3" fontId="20" fillId="0" borderId="0" xfId="0" applyNumberFormat="1" applyFont="1" applyBorder="1" applyAlignment="1"/>
    <xf numFmtId="0" fontId="20" fillId="0" borderId="0" xfId="0" applyNumberFormat="1" applyFont="1" applyFill="1" applyBorder="1" applyAlignment="1">
      <alignment horizontal="center"/>
    </xf>
    <xf numFmtId="0" fontId="30" fillId="0" borderId="0" xfId="0" applyFont="1"/>
    <xf numFmtId="0" fontId="0" fillId="0" borderId="0" xfId="0" applyAlignment="1">
      <alignment horizontal="center"/>
    </xf>
    <xf numFmtId="0" fontId="0" fillId="0" borderId="0" xfId="0" applyAlignment="1">
      <alignment horizontal="left" wrapText="1"/>
    </xf>
    <xf numFmtId="0" fontId="0" fillId="0" borderId="0" xfId="0" applyAlignment="1">
      <alignment horizontal="left" vertical="center" wrapText="1"/>
    </xf>
    <xf numFmtId="0" fontId="23" fillId="0" borderId="0" xfId="0" applyFont="1" applyFill="1"/>
    <xf numFmtId="0" fontId="0" fillId="0" borderId="0" xfId="0" applyAlignment="1"/>
    <xf numFmtId="164" fontId="11" fillId="0" borderId="0" xfId="1" applyNumberFormat="1" applyAlignment="1"/>
    <xf numFmtId="0" fontId="30" fillId="0" borderId="0" xfId="0" applyFont="1" applyFill="1" applyAlignment="1">
      <alignment horizontal="center"/>
    </xf>
    <xf numFmtId="0" fontId="32" fillId="0" borderId="0" xfId="0" applyFont="1" applyAlignment="1">
      <alignment horizontal="left"/>
    </xf>
    <xf numFmtId="0" fontId="32" fillId="0" borderId="0" xfId="0" applyFont="1"/>
    <xf numFmtId="0" fontId="30" fillId="0" borderId="0" xfId="0" applyFont="1" applyAlignment="1">
      <alignment horizontal="center"/>
    </xf>
    <xf numFmtId="0" fontId="0" fillId="0" borderId="0" xfId="0" applyAlignment="1">
      <alignment horizontal="right"/>
    </xf>
    <xf numFmtId="0" fontId="30" fillId="0" borderId="0" xfId="0" applyFont="1" applyFill="1" applyAlignment="1">
      <alignment horizontal="right"/>
    </xf>
    <xf numFmtId="0" fontId="23" fillId="2" borderId="0" xfId="0" applyFont="1" applyFill="1"/>
    <xf numFmtId="0" fontId="22" fillId="0" borderId="0" xfId="0" applyFont="1"/>
    <xf numFmtId="0" fontId="30" fillId="0" borderId="0" xfId="0" applyNumberFormat="1" applyFont="1" applyFill="1" applyBorder="1" applyAlignment="1">
      <alignment horizontal="center"/>
    </xf>
    <xf numFmtId="0" fontId="30" fillId="0" borderId="0" xfId="0" applyFont="1" applyBorder="1" applyAlignment="1">
      <alignment horizontal="center"/>
    </xf>
    <xf numFmtId="0" fontId="34" fillId="0" borderId="0" xfId="0" applyFont="1" applyAlignment="1">
      <alignment horizontal="center"/>
    </xf>
    <xf numFmtId="0" fontId="22" fillId="0" borderId="0" xfId="0" applyFont="1" applyFill="1"/>
    <xf numFmtId="164" fontId="13" fillId="0" borderId="0" xfId="1" applyNumberFormat="1" applyFont="1" applyAlignment="1"/>
    <xf numFmtId="0" fontId="29" fillId="0" borderId="0" xfId="0" applyFont="1" applyFill="1" applyBorder="1" applyAlignment="1">
      <alignment horizontal="left"/>
    </xf>
    <xf numFmtId="0" fontId="13" fillId="0" borderId="0" xfId="0" applyFont="1" applyFill="1" applyBorder="1" applyAlignment="1">
      <alignment horizontal="center" wrapText="1"/>
    </xf>
    <xf numFmtId="0" fontId="21" fillId="0" borderId="0" xfId="0" applyFont="1" applyFill="1"/>
    <xf numFmtId="0" fontId="0" fillId="0" borderId="0" xfId="0" applyBorder="1"/>
    <xf numFmtId="3" fontId="13" fillId="0" borderId="1" xfId="0" applyNumberFormat="1" applyFont="1" applyBorder="1" applyAlignment="1"/>
    <xf numFmtId="164" fontId="13" fillId="0" borderId="0" xfId="1" applyNumberFormat="1" applyFont="1" applyFill="1" applyAlignment="1"/>
    <xf numFmtId="3" fontId="25" fillId="0" borderId="5" xfId="0" applyNumberFormat="1" applyFont="1" applyBorder="1" applyAlignment="1"/>
    <xf numFmtId="0" fontId="33" fillId="0" borderId="0" xfId="0" applyFont="1" applyFill="1" applyAlignment="1">
      <alignment horizontal="center"/>
    </xf>
    <xf numFmtId="0" fontId="23" fillId="0" borderId="0" xfId="0" applyNumberFormat="1" applyFont="1" applyFill="1" applyBorder="1" applyAlignment="1">
      <alignment horizontal="left"/>
    </xf>
    <xf numFmtId="0" fontId="17" fillId="0" borderId="0" xfId="0" applyFont="1" applyFill="1" applyBorder="1" applyAlignment="1">
      <alignment horizontal="left"/>
    </xf>
    <xf numFmtId="0" fontId="13" fillId="0" borderId="0" xfId="0" applyNumberFormat="1" applyFont="1" applyFill="1" applyBorder="1" applyAlignment="1">
      <alignment horizontal="left"/>
    </xf>
    <xf numFmtId="0" fontId="0" fillId="0" borderId="0" xfId="0" applyFill="1" applyBorder="1"/>
    <xf numFmtId="0" fontId="36" fillId="0" borderId="0" xfId="0" applyNumberFormat="1" applyFont="1" applyFill="1" applyBorder="1" applyAlignment="1">
      <alignment horizontal="center"/>
    </xf>
    <xf numFmtId="0" fontId="29" fillId="4" borderId="6" xfId="0" applyFont="1" applyFill="1" applyBorder="1" applyAlignment="1">
      <alignment horizontal="left"/>
    </xf>
    <xf numFmtId="0" fontId="25" fillId="0" borderId="0" xfId="0" applyFont="1" applyAlignment="1">
      <alignment horizontal="center"/>
    </xf>
    <xf numFmtId="165" fontId="17" fillId="0" borderId="3" xfId="3" applyFont="1" applyFill="1" applyBorder="1" applyAlignment="1">
      <alignment vertical="center"/>
    </xf>
    <xf numFmtId="0" fontId="17" fillId="0" borderId="3" xfId="0" applyFont="1" applyFill="1" applyBorder="1" applyAlignment="1"/>
    <xf numFmtId="0" fontId="17" fillId="0" borderId="0" xfId="0" applyFont="1" applyFill="1"/>
    <xf numFmtId="0" fontId="14" fillId="0" borderId="0" xfId="0" applyFont="1" applyFill="1"/>
    <xf numFmtId="0" fontId="34" fillId="0" borderId="0" xfId="0" applyFont="1" applyAlignment="1">
      <alignment horizontal="right"/>
    </xf>
    <xf numFmtId="0" fontId="12" fillId="0" borderId="0" xfId="0" applyFont="1" applyAlignment="1"/>
    <xf numFmtId="0" fontId="0" fillId="0" borderId="0" xfId="0" applyAlignment="1">
      <alignment horizontal="left"/>
    </xf>
    <xf numFmtId="0" fontId="38" fillId="0" borderId="0" xfId="0" applyFont="1"/>
    <xf numFmtId="0" fontId="38" fillId="0" borderId="0" xfId="0" applyFont="1" applyAlignment="1"/>
    <xf numFmtId="0" fontId="39" fillId="0" borderId="0" xfId="0" applyFont="1" applyAlignment="1"/>
    <xf numFmtId="0" fontId="23" fillId="0" borderId="0" xfId="0" applyFont="1" applyFill="1" applyAlignment="1"/>
    <xf numFmtId="0" fontId="23" fillId="0" borderId="0" xfId="0" applyFont="1"/>
    <xf numFmtId="0" fontId="23" fillId="0" borderId="0" xfId="0" applyFont="1" applyAlignment="1"/>
    <xf numFmtId="164" fontId="0" fillId="0" borderId="0" xfId="1" applyNumberFormat="1" applyFont="1" applyAlignment="1"/>
    <xf numFmtId="0" fontId="17" fillId="0" borderId="0" xfId="0" applyNumberFormat="1" applyFont="1" applyFill="1" applyBorder="1" applyAlignment="1">
      <alignment horizontal="left"/>
    </xf>
    <xf numFmtId="0" fontId="17" fillId="0" borderId="3" xfId="0" applyNumberFormat="1" applyFont="1" applyFill="1" applyBorder="1" applyAlignment="1">
      <alignment horizontal="left"/>
    </xf>
    <xf numFmtId="0" fontId="30" fillId="0" borderId="0" xfId="0" applyFont="1" applyFill="1"/>
    <xf numFmtId="164" fontId="23" fillId="0" borderId="0" xfId="0" applyNumberFormat="1" applyFont="1"/>
    <xf numFmtId="3" fontId="13" fillId="0" borderId="0" xfId="0" applyNumberFormat="1" applyFont="1" applyFill="1" applyBorder="1" applyAlignment="1">
      <alignment horizontal="right"/>
    </xf>
    <xf numFmtId="0" fontId="14" fillId="0" borderId="0" xfId="0" applyFont="1" applyFill="1" applyBorder="1"/>
    <xf numFmtId="0" fontId="0" fillId="0" borderId="0" xfId="0" applyFill="1" applyAlignment="1">
      <alignment horizontal="right"/>
    </xf>
    <xf numFmtId="0" fontId="23" fillId="0" borderId="0" xfId="0" applyFont="1" applyBorder="1"/>
    <xf numFmtId="0" fontId="12" fillId="0" borderId="0" xfId="0" applyFont="1" applyFill="1" applyAlignment="1">
      <alignment horizontal="center"/>
    </xf>
    <xf numFmtId="0" fontId="22" fillId="0" borderId="0" xfId="0" applyFont="1" applyBorder="1"/>
    <xf numFmtId="0" fontId="40" fillId="0" borderId="0" xfId="0" applyFont="1" applyBorder="1"/>
    <xf numFmtId="0" fontId="37" fillId="0" borderId="0" xfId="0" applyFont="1" applyFill="1" applyBorder="1"/>
    <xf numFmtId="0" fontId="17" fillId="0" borderId="1" xfId="0" applyFont="1" applyFill="1" applyBorder="1" applyAlignment="1"/>
    <xf numFmtId="37" fontId="23" fillId="0" borderId="0" xfId="0" applyNumberFormat="1" applyFont="1" applyFill="1"/>
    <xf numFmtId="0" fontId="23" fillId="0" borderId="0" xfId="0" applyFont="1" applyFill="1" applyAlignment="1">
      <alignment vertical="center" wrapText="1"/>
    </xf>
    <xf numFmtId="0" fontId="23" fillId="0" borderId="0" xfId="0" applyFont="1" applyFill="1" applyAlignment="1">
      <alignment wrapText="1"/>
    </xf>
    <xf numFmtId="0" fontId="31" fillId="0" borderId="0" xfId="0" applyFont="1" applyFill="1" applyAlignment="1">
      <alignment horizontal="center"/>
    </xf>
    <xf numFmtId="0" fontId="11" fillId="0" borderId="0" xfId="5" applyFill="1"/>
    <xf numFmtId="0" fontId="39" fillId="0" borderId="0" xfId="5" applyFont="1" applyFill="1"/>
    <xf numFmtId="0" fontId="41" fillId="0" borderId="0" xfId="5" applyFont="1" applyFill="1"/>
    <xf numFmtId="0" fontId="39" fillId="0" borderId="7" xfId="5" applyFont="1" applyFill="1" applyBorder="1"/>
    <xf numFmtId="0" fontId="11" fillId="0" borderId="0" xfId="5" quotePrefix="1" applyFont="1" applyFill="1"/>
    <xf numFmtId="0" fontId="42" fillId="0" borderId="0" xfId="0" applyFont="1" applyAlignment="1">
      <alignment wrapText="1"/>
    </xf>
    <xf numFmtId="167" fontId="0" fillId="0" borderId="0" xfId="0" applyNumberFormat="1"/>
    <xf numFmtId="167" fontId="38" fillId="0" borderId="0" xfId="0" applyNumberFormat="1" applyFont="1"/>
    <xf numFmtId="0" fontId="38" fillId="0" borderId="0" xfId="0" quotePrefix="1" applyFont="1"/>
    <xf numFmtId="0" fontId="20" fillId="4" borderId="8" xfId="0" applyFont="1" applyFill="1" applyBorder="1" applyAlignment="1"/>
    <xf numFmtId="0" fontId="43" fillId="0" borderId="0" xfId="0" applyFont="1" applyAlignment="1">
      <alignment horizontal="center"/>
    </xf>
    <xf numFmtId="0" fontId="44" fillId="0" borderId="0" xfId="0" applyNumberFormat="1" applyFont="1" applyFill="1" applyBorder="1" applyAlignment="1">
      <alignment horizontal="center"/>
    </xf>
    <xf numFmtId="0" fontId="20" fillId="0" borderId="3" xfId="0" applyFont="1" applyBorder="1" applyAlignment="1"/>
    <xf numFmtId="0" fontId="19" fillId="0" borderId="0" xfId="0" applyNumberFormat="1" applyFont="1" applyFill="1" applyAlignment="1"/>
    <xf numFmtId="0" fontId="20" fillId="0" borderId="0" xfId="0" applyFont="1" applyFill="1" applyBorder="1"/>
    <xf numFmtId="0" fontId="35" fillId="0" borderId="0" xfId="0" applyFont="1" applyAlignment="1">
      <alignment horizontal="center"/>
    </xf>
    <xf numFmtId="0" fontId="12" fillId="0" borderId="0" xfId="0" applyFont="1" applyFill="1" applyAlignment="1">
      <alignment horizontal="left"/>
    </xf>
    <xf numFmtId="0" fontId="12" fillId="0" borderId="0" xfId="0" applyFont="1"/>
    <xf numFmtId="0" fontId="46" fillId="0" borderId="0" xfId="0" applyFont="1"/>
    <xf numFmtId="0" fontId="13" fillId="0" borderId="0" xfId="0" applyFont="1" applyAlignment="1">
      <alignment horizontal="center"/>
    </xf>
    <xf numFmtId="172" fontId="13" fillId="0" borderId="0" xfId="6" applyNumberFormat="1" applyFont="1" applyBorder="1" applyAlignment="1"/>
    <xf numFmtId="164" fontId="13" fillId="0" borderId="0" xfId="1" applyNumberFormat="1" applyFont="1" applyBorder="1" applyAlignment="1"/>
    <xf numFmtId="3" fontId="17" fillId="0" borderId="0" xfId="0" applyNumberFormat="1" applyFont="1" applyBorder="1" applyAlignment="1">
      <alignment horizontal="left"/>
    </xf>
    <xf numFmtId="0" fontId="17" fillId="0" borderId="3" xfId="0" applyFont="1" applyBorder="1" applyAlignment="1"/>
    <xf numFmtId="165" fontId="17" fillId="0" borderId="3" xfId="3" applyFont="1" applyBorder="1" applyAlignment="1">
      <alignment vertical="center"/>
    </xf>
    <xf numFmtId="3" fontId="17" fillId="0" borderId="3" xfId="0" applyNumberFormat="1" applyFont="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3" fontId="13" fillId="0" borderId="0" xfId="0" applyNumberFormat="1" applyFont="1" applyAlignment="1">
      <alignment horizontal="left"/>
    </xf>
    <xf numFmtId="3" fontId="17" fillId="0" borderId="0" xfId="0" applyNumberFormat="1" applyFont="1" applyFill="1" applyAlignment="1">
      <alignment horizontal="left"/>
    </xf>
    <xf numFmtId="3" fontId="17" fillId="0" borderId="3" xfId="0" applyNumberFormat="1" applyFont="1" applyFill="1" applyBorder="1" applyAlignment="1">
      <alignment horizontal="left"/>
    </xf>
    <xf numFmtId="0" fontId="17" fillId="0" borderId="1" xfId="0" applyFont="1" applyFill="1" applyBorder="1" applyAlignment="1">
      <alignment horizontal="left"/>
    </xf>
    <xf numFmtId="166" fontId="17" fillId="0" borderId="0" xfId="0" applyNumberFormat="1" applyFont="1" applyFill="1" applyAlignment="1"/>
    <xf numFmtId="0" fontId="13" fillId="0" borderId="0" xfId="0" applyFont="1" applyBorder="1" applyAlignment="1">
      <alignment horizontal="left"/>
    </xf>
    <xf numFmtId="3" fontId="13" fillId="0" borderId="2" xfId="0" applyNumberFormat="1" applyFont="1" applyBorder="1" applyAlignment="1">
      <alignment horizontal="left"/>
    </xf>
    <xf numFmtId="3" fontId="47" fillId="0" borderId="0" xfId="0" applyNumberFormat="1" applyFont="1"/>
    <xf numFmtId="174" fontId="17" fillId="0" borderId="0" xfId="0" applyNumberFormat="1" applyFont="1" applyFill="1" applyBorder="1" applyAlignment="1"/>
    <xf numFmtId="0" fontId="20" fillId="0" borderId="0" xfId="0" applyFont="1" applyAlignment="1"/>
    <xf numFmtId="0" fontId="20" fillId="0" borderId="0" xfId="0" applyFont="1" applyFill="1" applyAlignment="1"/>
    <xf numFmtId="0" fontId="19" fillId="0" borderId="0" xfId="0" applyNumberFormat="1" applyFont="1" applyFill="1" applyAlignment="1">
      <alignment horizontal="center"/>
    </xf>
    <xf numFmtId="171" fontId="17" fillId="0" borderId="0" xfId="0" applyNumberFormat="1" applyFont="1" applyAlignment="1"/>
    <xf numFmtId="172" fontId="17" fillId="0" borderId="0" xfId="0" applyNumberFormat="1" applyFont="1" applyFill="1" applyAlignment="1">
      <alignment horizontal="right"/>
    </xf>
    <xf numFmtId="0" fontId="22" fillId="0" borderId="0" xfId="0" applyFont="1" applyFill="1" applyBorder="1"/>
    <xf numFmtId="0" fontId="17" fillId="0" borderId="0" xfId="0" applyNumberFormat="1" applyFont="1" applyFill="1" applyBorder="1" applyAlignment="1">
      <alignment horizontal="center"/>
    </xf>
    <xf numFmtId="0" fontId="17" fillId="0" borderId="0" xfId="0" applyNumberFormat="1" applyFont="1" applyBorder="1" applyAlignment="1">
      <alignment horizontal="center"/>
    </xf>
    <xf numFmtId="3" fontId="17" fillId="0" borderId="0" xfId="0" applyNumberFormat="1" applyFont="1" applyFill="1" applyBorder="1" applyAlignment="1">
      <alignment horizontal="center"/>
    </xf>
    <xf numFmtId="0" fontId="13" fillId="0" borderId="0" xfId="0" applyFont="1" applyAlignment="1">
      <alignment horizontal="centerContinuous"/>
    </xf>
    <xf numFmtId="3" fontId="49" fillId="0" borderId="0" xfId="0" applyNumberFormat="1" applyFont="1" applyFill="1" applyAlignment="1"/>
    <xf numFmtId="0" fontId="49" fillId="0" borderId="0" xfId="0" applyFont="1" applyFill="1" applyBorder="1" applyAlignment="1">
      <alignment horizontal="left"/>
    </xf>
    <xf numFmtId="0" fontId="49" fillId="0" borderId="3" xfId="0" applyFont="1" applyFill="1" applyBorder="1" applyAlignment="1">
      <alignment horizontal="left"/>
    </xf>
    <xf numFmtId="3" fontId="49" fillId="0" borderId="3" xfId="0" applyNumberFormat="1" applyFont="1" applyFill="1" applyBorder="1" applyAlignment="1"/>
    <xf numFmtId="0" fontId="17" fillId="0" borderId="3" xfId="0" applyFont="1" applyFill="1" applyBorder="1"/>
    <xf numFmtId="167" fontId="17" fillId="0" borderId="1" xfId="2" applyNumberFormat="1" applyFont="1" applyBorder="1" applyAlignment="1"/>
    <xf numFmtId="167" fontId="17" fillId="0" borderId="0" xfId="2" applyNumberFormat="1" applyFont="1"/>
    <xf numFmtId="167" fontId="13" fillId="0" borderId="1" xfId="2" applyNumberFormat="1" applyFont="1" applyBorder="1" applyAlignment="1"/>
    <xf numFmtId="164" fontId="17" fillId="0" borderId="1" xfId="1" applyNumberFormat="1" applyFont="1" applyFill="1" applyBorder="1" applyAlignment="1"/>
    <xf numFmtId="164" fontId="17" fillId="0" borderId="1" xfId="1" applyNumberFormat="1" applyFont="1" applyBorder="1" applyAlignment="1"/>
    <xf numFmtId="164" fontId="49" fillId="0" borderId="0" xfId="1" applyNumberFormat="1" applyFont="1" applyFill="1" applyAlignment="1"/>
    <xf numFmtId="0" fontId="13" fillId="0" borderId="12" xfId="0" applyNumberFormat="1" applyFont="1" applyFill="1" applyBorder="1" applyAlignment="1"/>
    <xf numFmtId="3" fontId="17" fillId="0" borderId="12" xfId="0" applyNumberFormat="1" applyFont="1" applyBorder="1" applyAlignment="1">
      <alignment horizontal="center"/>
    </xf>
    <xf numFmtId="3" fontId="17" fillId="0" borderId="12" xfId="0" applyNumberFormat="1" applyFont="1" applyBorder="1" applyAlignment="1"/>
    <xf numFmtId="167" fontId="13" fillId="0" borderId="12" xfId="2" applyNumberFormat="1" applyFont="1" applyBorder="1" applyAlignment="1"/>
    <xf numFmtId="167" fontId="17" fillId="0" borderId="0" xfId="2" applyNumberFormat="1" applyFont="1" applyFill="1" applyAlignment="1"/>
    <xf numFmtId="167" fontId="13" fillId="0" borderId="1" xfId="2" applyNumberFormat="1" applyFont="1" applyFill="1" applyBorder="1" applyAlignment="1">
      <alignment horizontal="right"/>
    </xf>
    <xf numFmtId="167" fontId="13" fillId="0" borderId="1" xfId="2" applyNumberFormat="1" applyFont="1" applyBorder="1" applyAlignment="1">
      <alignment horizontal="right"/>
    </xf>
    <xf numFmtId="167" fontId="13" fillId="0" borderId="1" xfId="2" applyNumberFormat="1" applyFont="1" applyFill="1" applyBorder="1" applyAlignment="1"/>
    <xf numFmtId="167" fontId="13" fillId="0" borderId="0" xfId="2" applyNumberFormat="1" applyFont="1" applyFill="1"/>
    <xf numFmtId="167" fontId="17" fillId="0" borderId="0" xfId="2" applyNumberFormat="1" applyFont="1" applyBorder="1" applyAlignment="1"/>
    <xf numFmtId="167" fontId="17" fillId="0" borderId="0" xfId="2" applyNumberFormat="1" applyFont="1" applyAlignment="1"/>
    <xf numFmtId="167" fontId="13" fillId="0" borderId="1" xfId="2" applyNumberFormat="1" applyFont="1" applyBorder="1"/>
    <xf numFmtId="167" fontId="13" fillId="0" borderId="0" xfId="2" applyNumberFormat="1" applyFont="1" applyAlignment="1"/>
    <xf numFmtId="167" fontId="13" fillId="0" borderId="0" xfId="2" applyNumberFormat="1" applyFont="1" applyBorder="1" applyAlignment="1"/>
    <xf numFmtId="0" fontId="50" fillId="0" borderId="0" xfId="0" applyFont="1" applyFill="1"/>
    <xf numFmtId="0" fontId="50" fillId="0" borderId="0" xfId="0" applyFont="1" applyBorder="1" applyAlignment="1">
      <alignment horizontal="center"/>
    </xf>
    <xf numFmtId="0" fontId="13" fillId="0" borderId="0" xfId="0" applyNumberFormat="1" applyFont="1" applyBorder="1" applyAlignment="1">
      <alignment horizontal="center"/>
    </xf>
    <xf numFmtId="0" fontId="23" fillId="0" borderId="0" xfId="0" applyFont="1" applyAlignment="1">
      <alignment horizontal="centerContinuous"/>
    </xf>
    <xf numFmtId="172" fontId="17" fillId="0" borderId="0" xfId="6" applyNumberFormat="1" applyFont="1" applyAlignment="1"/>
    <xf numFmtId="171" fontId="17" fillId="0" borderId="0" xfId="0" applyNumberFormat="1" applyFont="1" applyFill="1" applyAlignment="1"/>
    <xf numFmtId="0" fontId="17" fillId="0" borderId="3" xfId="0" applyFont="1" applyFill="1" applyBorder="1" applyAlignment="1">
      <alignment horizontal="center"/>
    </xf>
    <xf numFmtId="0" fontId="17" fillId="0" borderId="3" xfId="0" applyFont="1" applyBorder="1" applyAlignment="1">
      <alignment horizontal="center"/>
    </xf>
    <xf numFmtId="3" fontId="13" fillId="0" borderId="0" xfId="0" applyNumberFormat="1" applyFont="1" applyBorder="1" applyAlignment="1">
      <alignment horizontal="right"/>
    </xf>
    <xf numFmtId="3" fontId="17" fillId="0" borderId="0" xfId="0" applyNumberFormat="1" applyFont="1" applyAlignment="1">
      <alignment horizontal="right"/>
    </xf>
    <xf numFmtId="172" fontId="17" fillId="0" borderId="3" xfId="0" applyNumberFormat="1" applyFont="1" applyBorder="1" applyAlignment="1">
      <alignment horizontal="right"/>
    </xf>
    <xf numFmtId="0" fontId="19" fillId="0" borderId="0" xfId="0" applyFont="1" applyFill="1" applyAlignment="1"/>
    <xf numFmtId="0" fontId="13" fillId="0" borderId="0" xfId="0" applyFont="1" applyFill="1" applyBorder="1" applyAlignment="1">
      <alignment horizontal="center"/>
    </xf>
    <xf numFmtId="37" fontId="17" fillId="0" borderId="0" xfId="0" applyNumberFormat="1" applyFont="1" applyBorder="1" applyAlignment="1">
      <alignment horizontal="left"/>
    </xf>
    <xf numFmtId="37" fontId="13" fillId="0" borderId="0" xfId="0" applyNumberFormat="1" applyFont="1" applyBorder="1" applyAlignment="1">
      <alignment horizontal="right"/>
    </xf>
    <xf numFmtId="0" fontId="19" fillId="0" borderId="0" xfId="0" applyFont="1" applyBorder="1" applyAlignment="1">
      <alignment horizontal="center"/>
    </xf>
    <xf numFmtId="0" fontId="17" fillId="0" borderId="0" xfId="0" applyFont="1" applyFill="1" applyAlignment="1">
      <alignment horizontal="left"/>
    </xf>
    <xf numFmtId="0" fontId="20" fillId="0" borderId="0" xfId="0" applyFont="1" applyFill="1" applyBorder="1" applyAlignment="1"/>
    <xf numFmtId="0" fontId="19" fillId="0" borderId="0" xfId="0" applyFont="1" applyFill="1" applyBorder="1" applyAlignment="1">
      <alignment horizontal="center"/>
    </xf>
    <xf numFmtId="37" fontId="20" fillId="0" borderId="0" xfId="0" applyNumberFormat="1" applyFont="1" applyFill="1" applyBorder="1" applyAlignment="1">
      <alignment horizontal="left"/>
    </xf>
    <xf numFmtId="175" fontId="13" fillId="0" borderId="0" xfId="0" applyNumberFormat="1" applyFont="1" applyBorder="1" applyAlignment="1">
      <alignment horizontal="right"/>
    </xf>
    <xf numFmtId="0" fontId="17" fillId="0" borderId="0" xfId="0" applyNumberFormat="1" applyFont="1" applyFill="1"/>
    <xf numFmtId="37" fontId="17" fillId="0" borderId="0" xfId="0" applyNumberFormat="1" applyFont="1" applyFill="1" applyBorder="1" applyAlignment="1">
      <alignment horizontal="left"/>
    </xf>
    <xf numFmtId="0" fontId="23" fillId="0" borderId="0" xfId="0" applyFont="1" applyFill="1" applyAlignment="1">
      <alignment horizontal="left"/>
    </xf>
    <xf numFmtId="0" fontId="23" fillId="0" borderId="0" xfId="0" applyFont="1" applyAlignment="1">
      <alignment horizontal="left"/>
    </xf>
    <xf numFmtId="0" fontId="23" fillId="5" borderId="0" xfId="0" applyFont="1" applyFill="1"/>
    <xf numFmtId="0" fontId="23" fillId="0" borderId="0" xfId="0" applyFont="1" applyFill="1" applyBorder="1"/>
    <xf numFmtId="0" fontId="23" fillId="0" borderId="0" xfId="0" applyFont="1" applyAlignment="1">
      <alignment horizontal="right"/>
    </xf>
    <xf numFmtId="0" fontId="23" fillId="2" borderId="0" xfId="0" applyFont="1" applyFill="1" applyAlignment="1">
      <alignment horizontal="left" wrapText="1"/>
    </xf>
    <xf numFmtId="0" fontId="23" fillId="0" borderId="0" xfId="0" applyFont="1" applyAlignment="1">
      <alignment horizontal="left" wrapText="1"/>
    </xf>
    <xf numFmtId="42" fontId="23" fillId="0" borderId="0" xfId="0" applyNumberFormat="1" applyFont="1"/>
    <xf numFmtId="37" fontId="23" fillId="2" borderId="0" xfId="0" applyNumberFormat="1" applyFont="1" applyFill="1" applyAlignment="1">
      <alignment horizontal="right" wrapText="1"/>
    </xf>
    <xf numFmtId="164" fontId="23" fillId="0" borderId="0" xfId="1" applyNumberFormat="1" applyFont="1"/>
    <xf numFmtId="167" fontId="23" fillId="0" borderId="0" xfId="2" applyNumberFormat="1" applyFont="1" applyAlignment="1">
      <alignment horizontal="right" wrapText="1"/>
    </xf>
    <xf numFmtId="0" fontId="23" fillId="0" borderId="0" xfId="0" applyFont="1" applyAlignment="1">
      <alignment horizontal="right" wrapText="1"/>
    </xf>
    <xf numFmtId="0" fontId="23" fillId="0" borderId="0" xfId="0" applyFont="1" applyAlignment="1">
      <alignment horizontal="left" vertical="center" wrapText="1"/>
    </xf>
    <xf numFmtId="0" fontId="23" fillId="2" borderId="0" xfId="0" applyFont="1" applyFill="1" applyAlignment="1">
      <alignment horizontal="right"/>
    </xf>
    <xf numFmtId="0" fontId="23" fillId="2" borderId="0" xfId="0" applyFont="1" applyFill="1" applyAlignment="1">
      <alignment horizontal="left" vertical="center" wrapText="1"/>
    </xf>
    <xf numFmtId="41" fontId="23" fillId="0" borderId="0" xfId="0" applyNumberFormat="1" applyFont="1" applyFill="1" applyBorder="1" applyAlignment="1">
      <alignment horizontal="right"/>
    </xf>
    <xf numFmtId="41" fontId="23" fillId="0" borderId="0" xfId="0" applyNumberFormat="1" applyFont="1" applyFill="1" applyAlignment="1">
      <alignment horizontal="right"/>
    </xf>
    <xf numFmtId="167" fontId="23" fillId="0" borderId="0" xfId="2" applyNumberFormat="1" applyFont="1" applyFill="1" applyAlignment="1">
      <alignment horizontal="right"/>
    </xf>
    <xf numFmtId="164" fontId="23" fillId="0" borderId="0" xfId="1" applyNumberFormat="1" applyFont="1" applyFill="1" applyAlignment="1">
      <alignment horizontal="right"/>
    </xf>
    <xf numFmtId="37" fontId="23" fillId="0" borderId="0" xfId="0" applyNumberFormat="1" applyFont="1" applyFill="1" applyAlignment="1">
      <alignment horizontal="right" wrapText="1"/>
    </xf>
    <xf numFmtId="0" fontId="23" fillId="0" borderId="0" xfId="5" applyFont="1" applyFill="1"/>
    <xf numFmtId="164" fontId="23" fillId="0" borderId="1" xfId="2" applyNumberFormat="1" applyFont="1" applyFill="1" applyBorder="1"/>
    <xf numFmtId="37" fontId="23" fillId="0" borderId="0" xfId="5" applyNumberFormat="1" applyFont="1" applyFill="1"/>
    <xf numFmtId="164" fontId="23" fillId="0" borderId="0" xfId="1" applyNumberFormat="1" applyFont="1" applyFill="1"/>
    <xf numFmtId="37" fontId="23" fillId="0" borderId="9" xfId="5" applyNumberFormat="1" applyFont="1" applyFill="1" applyBorder="1"/>
    <xf numFmtId="0" fontId="23" fillId="0" borderId="11" xfId="5" applyFont="1" applyFill="1" applyBorder="1"/>
    <xf numFmtId="167" fontId="23" fillId="0" borderId="10" xfId="2" applyNumberFormat="1" applyFont="1" applyFill="1" applyBorder="1"/>
    <xf numFmtId="164" fontId="23" fillId="0" borderId="13" xfId="1" applyNumberFormat="1" applyFont="1" applyFill="1" applyBorder="1"/>
    <xf numFmtId="171" fontId="23" fillId="0" borderId="10" xfId="6" applyNumberFormat="1" applyFont="1" applyFill="1" applyBorder="1"/>
    <xf numFmtId="0" fontId="23" fillId="0" borderId="6" xfId="5" applyFont="1" applyFill="1" applyBorder="1"/>
    <xf numFmtId="171" fontId="23" fillId="0" borderId="14" xfId="6" applyNumberFormat="1" applyFont="1" applyFill="1" applyBorder="1"/>
    <xf numFmtId="172" fontId="23" fillId="0" borderId="0" xfId="6" applyNumberFormat="1" applyFont="1" applyFill="1"/>
    <xf numFmtId="0" fontId="23" fillId="0" borderId="0" xfId="0" applyFont="1" applyFill="1" applyAlignment="1">
      <alignment horizontal="center"/>
    </xf>
    <xf numFmtId="0" fontId="23" fillId="0" borderId="0" xfId="0" applyFont="1" applyAlignment="1">
      <alignment horizontal="center"/>
    </xf>
    <xf numFmtId="164" fontId="23" fillId="0" borderId="0" xfId="1" applyNumberFormat="1" applyFont="1" applyAlignment="1">
      <alignment horizontal="center"/>
    </xf>
    <xf numFmtId="164" fontId="51" fillId="0" borderId="0" xfId="1" applyNumberFormat="1" applyFont="1" applyAlignment="1">
      <alignment horizontal="center"/>
    </xf>
    <xf numFmtId="0" fontId="51" fillId="0" borderId="0" xfId="0" applyFont="1" applyFill="1" applyAlignment="1">
      <alignment horizontal="center"/>
    </xf>
    <xf numFmtId="0" fontId="23" fillId="0" borderId="0" xfId="0" applyFont="1" applyAlignment="1">
      <alignment horizontal="left" vertical="center"/>
    </xf>
    <xf numFmtId="0" fontId="23" fillId="0" borderId="0" xfId="0" applyFont="1" applyFill="1" applyAlignment="1">
      <alignment vertical="top"/>
    </xf>
    <xf numFmtId="0" fontId="23" fillId="0" borderId="0" xfId="0" applyFont="1" applyAlignment="1">
      <alignment vertical="top"/>
    </xf>
    <xf numFmtId="0" fontId="17" fillId="0" borderId="0" xfId="0" applyFont="1" applyFill="1" applyAlignment="1">
      <alignment vertical="center" wrapText="1"/>
    </xf>
    <xf numFmtId="0" fontId="23" fillId="0" borderId="0" xfId="0" applyFont="1" applyFill="1" applyAlignment="1">
      <alignment horizontal="center" vertical="top"/>
    </xf>
    <xf numFmtId="164" fontId="23" fillId="0" borderId="0" xfId="1" applyNumberFormat="1" applyFont="1" applyAlignment="1"/>
    <xf numFmtId="164" fontId="52" fillId="0" borderId="0" xfId="1" applyNumberFormat="1" applyFont="1" applyAlignment="1"/>
    <xf numFmtId="0" fontId="23" fillId="0" borderId="0" xfId="0" applyFont="1" applyAlignment="1">
      <alignment wrapText="1"/>
    </xf>
    <xf numFmtId="164" fontId="23" fillId="2" borderId="0" xfId="1" applyNumberFormat="1" applyFont="1" applyFill="1" applyAlignment="1">
      <alignment wrapText="1"/>
    </xf>
    <xf numFmtId="164" fontId="52" fillId="0" borderId="0" xfId="0" applyNumberFormat="1" applyFont="1"/>
    <xf numFmtId="164" fontId="23" fillId="0" borderId="0" xfId="1" applyNumberFormat="1" applyFont="1" applyFill="1" applyBorder="1" applyAlignment="1">
      <alignment wrapText="1"/>
    </xf>
    <xf numFmtId="164" fontId="23" fillId="0" borderId="0" xfId="1" applyNumberFormat="1" applyFont="1" applyAlignment="1">
      <alignment vertical="center" wrapText="1"/>
    </xf>
    <xf numFmtId="167" fontId="23" fillId="2" borderId="0" xfId="0" applyNumberFormat="1" applyFont="1" applyFill="1"/>
    <xf numFmtId="0" fontId="52" fillId="2" borderId="0" xfId="0" applyFont="1" applyFill="1"/>
    <xf numFmtId="164" fontId="23" fillId="0" borderId="0" xfId="1" applyNumberFormat="1" applyFont="1" applyFill="1" applyAlignment="1"/>
    <xf numFmtId="164" fontId="52" fillId="0" borderId="0" xfId="1" applyNumberFormat="1" applyFont="1" applyFill="1" applyAlignment="1">
      <alignment vertical="center" wrapText="1"/>
    </xf>
    <xf numFmtId="164" fontId="23" fillId="0" borderId="0" xfId="1" applyNumberFormat="1" applyFont="1" applyFill="1" applyAlignment="1">
      <alignment vertical="center" wrapText="1"/>
    </xf>
    <xf numFmtId="0" fontId="53" fillId="0" borderId="0" xfId="0" applyFont="1" applyFill="1" applyAlignment="1">
      <alignment vertical="center" wrapText="1"/>
    </xf>
    <xf numFmtId="164" fontId="52" fillId="2" borderId="0" xfId="1" applyNumberFormat="1" applyFont="1" applyFill="1" applyAlignment="1">
      <alignment vertical="center" wrapText="1"/>
    </xf>
    <xf numFmtId="164" fontId="23" fillId="0" borderId="0" xfId="1" applyNumberFormat="1" applyFont="1" applyFill="1" applyBorder="1" applyAlignment="1"/>
    <xf numFmtId="0" fontId="25" fillId="0" borderId="0" xfId="0" applyFont="1" applyAlignment="1">
      <alignment horizontal="centerContinuous"/>
    </xf>
    <xf numFmtId="0" fontId="13" fillId="0" borderId="0" xfId="0" applyFont="1" applyBorder="1"/>
    <xf numFmtId="0" fontId="47" fillId="0" borderId="0" xfId="0" applyFont="1"/>
    <xf numFmtId="0" fontId="13" fillId="0" borderId="0" xfId="0" applyNumberFormat="1" applyFont="1" applyFill="1" applyBorder="1" applyAlignment="1">
      <alignment horizontal="center"/>
    </xf>
    <xf numFmtId="0" fontId="17" fillId="0" borderId="1" xfId="0" applyNumberFormat="1" applyFont="1" applyFill="1" applyBorder="1" applyAlignment="1">
      <alignment horizontal="center"/>
    </xf>
    <xf numFmtId="172" fontId="17" fillId="0" borderId="0" xfId="6" applyNumberFormat="1" applyFont="1" applyBorder="1" applyAlignment="1"/>
    <xf numFmtId="10" fontId="0" fillId="0" borderId="0" xfId="6" applyNumberFormat="1" applyFont="1"/>
    <xf numFmtId="0" fontId="40" fillId="0" borderId="0" xfId="5" applyFont="1" applyFill="1" applyAlignment="1">
      <alignment horizontal="centerContinuous"/>
    </xf>
    <xf numFmtId="0" fontId="13" fillId="0" borderId="0" xfId="5" applyFont="1" applyFill="1" applyAlignment="1">
      <alignment horizontal="centerContinuous" wrapText="1"/>
    </xf>
    <xf numFmtId="0" fontId="41" fillId="0" borderId="0" xfId="5" applyFont="1" applyFill="1" applyAlignment="1">
      <alignment horizontal="centerContinuous"/>
    </xf>
    <xf numFmtId="3" fontId="18" fillId="0" borderId="0" xfId="0" applyNumberFormat="1" applyFont="1" applyFill="1" applyAlignment="1">
      <alignment horizontal="right"/>
    </xf>
    <xf numFmtId="167" fontId="17" fillId="0" borderId="0" xfId="2" applyNumberFormat="1" applyFont="1" applyFill="1" applyAlignment="1">
      <alignment horizontal="right"/>
    </xf>
    <xf numFmtId="3" fontId="18" fillId="0" borderId="0" xfId="0" applyNumberFormat="1" applyFont="1" applyAlignment="1">
      <alignment horizontal="right"/>
    </xf>
    <xf numFmtId="171" fontId="17" fillId="0" borderId="0" xfId="6" applyNumberFormat="1" applyFont="1" applyAlignment="1">
      <alignment horizontal="right"/>
    </xf>
    <xf numFmtId="0" fontId="13" fillId="0" borderId="0" xfId="0" applyNumberFormat="1" applyFont="1" applyFill="1" applyAlignment="1">
      <alignment horizontal="left"/>
    </xf>
    <xf numFmtId="0" fontId="17" fillId="0" borderId="0" xfId="0" applyNumberFormat="1" applyFont="1" applyFill="1" applyAlignment="1">
      <alignment horizontal="right"/>
    </xf>
    <xf numFmtId="0" fontId="13" fillId="0" borderId="0" xfId="0" applyNumberFormat="1" applyFont="1" applyFill="1" applyAlignment="1">
      <alignment horizontal="right"/>
    </xf>
    <xf numFmtId="3" fontId="13" fillId="0" borderId="0" xfId="0" applyNumberFormat="1" applyFont="1" applyFill="1" applyAlignment="1">
      <alignment horizontal="right"/>
    </xf>
    <xf numFmtId="172" fontId="17" fillId="0" borderId="0" xfId="0" applyNumberFormat="1" applyFont="1" applyAlignment="1">
      <alignment horizontal="right"/>
    </xf>
    <xf numFmtId="172" fontId="18" fillId="0" borderId="0" xfId="0" applyNumberFormat="1" applyFont="1" applyAlignment="1">
      <alignment horizontal="right"/>
    </xf>
    <xf numFmtId="3" fontId="55" fillId="0" borderId="0" xfId="0" applyNumberFormat="1" applyFont="1" applyFill="1" applyAlignment="1">
      <alignment horizontal="right"/>
    </xf>
    <xf numFmtId="3" fontId="17" fillId="0" borderId="0" xfId="0" applyNumberFormat="1" applyFont="1" applyBorder="1" applyAlignment="1">
      <alignment horizontal="right"/>
    </xf>
    <xf numFmtId="0" fontId="56" fillId="0" borderId="0" xfId="0" applyFont="1"/>
    <xf numFmtId="0" fontId="36" fillId="0" borderId="0" xfId="0" applyFont="1" applyAlignment="1">
      <alignment horizontal="right"/>
    </xf>
    <xf numFmtId="0" fontId="17" fillId="4" borderId="8" xfId="0" applyFont="1" applyFill="1" applyBorder="1" applyAlignment="1"/>
    <xf numFmtId="0" fontId="17" fillId="4" borderId="8" xfId="0" applyFont="1" applyFill="1" applyBorder="1" applyAlignment="1">
      <alignment horizontal="center"/>
    </xf>
    <xf numFmtId="0" fontId="17" fillId="4" borderId="9" xfId="0" applyFont="1" applyFill="1" applyBorder="1"/>
    <xf numFmtId="0" fontId="13" fillId="4" borderId="15" xfId="0" applyFont="1" applyFill="1" applyBorder="1" applyAlignment="1"/>
    <xf numFmtId="0" fontId="13" fillId="4" borderId="15" xfId="0" applyNumberFormat="1" applyFont="1" applyFill="1" applyBorder="1" applyAlignment="1">
      <alignment horizontal="center"/>
    </xf>
    <xf numFmtId="0" fontId="13" fillId="0" borderId="10" xfId="0" applyFont="1" applyBorder="1"/>
    <xf numFmtId="0" fontId="13" fillId="0" borderId="0" xfId="0" applyFont="1" applyFill="1" applyBorder="1" applyAlignment="1"/>
    <xf numFmtId="0" fontId="17" fillId="3" borderId="0" xfId="0" applyFont="1" applyFill="1" applyBorder="1" applyAlignment="1"/>
    <xf numFmtId="0" fontId="13" fillId="3" borderId="0" xfId="0" applyNumberFormat="1" applyFont="1" applyFill="1" applyBorder="1" applyAlignment="1">
      <alignment horizontal="center"/>
    </xf>
    <xf numFmtId="0" fontId="17" fillId="3" borderId="0" xfId="0" applyFont="1" applyFill="1" applyBorder="1"/>
    <xf numFmtId="0" fontId="17" fillId="0" borderId="0" xfId="0" applyFont="1" applyFill="1" applyBorder="1" applyAlignment="1">
      <alignment horizontal="center" wrapText="1"/>
    </xf>
    <xf numFmtId="0" fontId="20" fillId="0" borderId="0" xfId="0" applyFont="1" applyFill="1" applyAlignment="1">
      <alignment horizontal="center"/>
    </xf>
    <xf numFmtId="0" fontId="20" fillId="0" borderId="0" xfId="0" applyNumberFormat="1" applyFont="1" applyAlignment="1">
      <alignment horizontal="center"/>
    </xf>
    <xf numFmtId="0" fontId="20" fillId="0" borderId="0" xfId="0" applyFont="1" applyFill="1" applyAlignment="1">
      <alignment horizontal="left"/>
    </xf>
    <xf numFmtId="3" fontId="49" fillId="0" borderId="0" xfId="0" applyNumberFormat="1" applyFont="1" applyBorder="1" applyAlignment="1"/>
    <xf numFmtId="164" fontId="17" fillId="0" borderId="0" xfId="1" applyNumberFormat="1" applyFont="1"/>
    <xf numFmtId="0" fontId="17" fillId="0" borderId="1" xfId="0" applyFont="1" applyBorder="1" applyAlignment="1"/>
    <xf numFmtId="0" fontId="17" fillId="0" borderId="1" xfId="0" applyFont="1" applyBorder="1"/>
    <xf numFmtId="0" fontId="17" fillId="0" borderId="1" xfId="0" applyFont="1" applyBorder="1" applyAlignment="1">
      <alignment horizontal="center"/>
    </xf>
    <xf numFmtId="0" fontId="17" fillId="0" borderId="2" xfId="0" applyFont="1" applyBorder="1"/>
    <xf numFmtId="0" fontId="17" fillId="0" borderId="12" xfId="0" applyFont="1" applyFill="1" applyBorder="1"/>
    <xf numFmtId="0" fontId="17" fillId="0" borderId="12" xfId="0" applyFont="1" applyBorder="1"/>
    <xf numFmtId="0" fontId="17" fillId="3" borderId="0" xfId="0" applyFont="1" applyFill="1"/>
    <xf numFmtId="0" fontId="17" fillId="0" borderId="0" xfId="0" applyFont="1" applyFill="1" applyAlignment="1">
      <alignment horizontal="right"/>
    </xf>
    <xf numFmtId="0" fontId="13" fillId="0" borderId="1" xfId="0" applyNumberFormat="1" applyFont="1" applyFill="1" applyBorder="1" applyAlignment="1">
      <alignment horizontal="left"/>
    </xf>
    <xf numFmtId="3" fontId="17" fillId="0" borderId="0" xfId="0" applyNumberFormat="1" applyFont="1" applyFill="1" applyBorder="1" applyAlignment="1">
      <alignment horizontal="right"/>
    </xf>
    <xf numFmtId="0" fontId="13" fillId="0" borderId="3" xfId="0" applyNumberFormat="1" applyFont="1" applyFill="1" applyBorder="1" applyAlignment="1">
      <alignment horizontal="left"/>
    </xf>
    <xf numFmtId="0" fontId="20" fillId="0" borderId="3" xfId="0" applyFont="1" applyFill="1" applyBorder="1"/>
    <xf numFmtId="0" fontId="17" fillId="0" borderId="3" xfId="0" applyFont="1" applyBorder="1"/>
    <xf numFmtId="167" fontId="13" fillId="0" borderId="3" xfId="2" applyNumberFormat="1" applyFont="1" applyFill="1" applyBorder="1" applyAlignment="1">
      <alignment horizontal="right"/>
    </xf>
    <xf numFmtId="4" fontId="18" fillId="0" borderId="0" xfId="0" applyNumberFormat="1" applyFont="1" applyFill="1" applyAlignment="1">
      <alignment horizontal="right"/>
    </xf>
    <xf numFmtId="0" fontId="46" fillId="0" borderId="0" xfId="0" applyNumberFormat="1" applyFont="1" applyFill="1" applyAlignment="1">
      <alignment horizontal="left"/>
    </xf>
    <xf numFmtId="0" fontId="17" fillId="0" borderId="1" xfId="0" applyNumberFormat="1" applyFont="1" applyBorder="1" applyAlignment="1">
      <alignment horizontal="center"/>
    </xf>
    <xf numFmtId="3" fontId="18" fillId="0" borderId="1" xfId="0" applyNumberFormat="1" applyFont="1" applyBorder="1" applyAlignment="1">
      <alignment horizontal="right"/>
    </xf>
    <xf numFmtId="0" fontId="17" fillId="0" borderId="3" xfId="0" applyFont="1" applyFill="1" applyBorder="1" applyAlignment="1">
      <alignment horizontal="left"/>
    </xf>
    <xf numFmtId="0" fontId="17" fillId="0" borderId="3" xfId="0" applyNumberFormat="1" applyFont="1" applyFill="1" applyBorder="1" applyAlignment="1">
      <alignment horizontal="center"/>
    </xf>
    <xf numFmtId="3" fontId="18" fillId="0" borderId="3" xfId="0" applyNumberFormat="1" applyFont="1" applyBorder="1" applyAlignment="1">
      <alignment horizontal="right"/>
    </xf>
    <xf numFmtId="3" fontId="17" fillId="0" borderId="1" xfId="0" applyNumberFormat="1" applyFont="1" applyBorder="1" applyAlignment="1">
      <alignment horizontal="right"/>
    </xf>
    <xf numFmtId="0" fontId="13" fillId="0" borderId="1" xfId="0" applyFont="1" applyFill="1" applyBorder="1"/>
    <xf numFmtId="0" fontId="13" fillId="0" borderId="1" xfId="0" applyNumberFormat="1" applyFont="1" applyBorder="1" applyAlignment="1">
      <alignment horizontal="center"/>
    </xf>
    <xf numFmtId="3" fontId="57" fillId="0" borderId="1" xfId="0" applyNumberFormat="1" applyFont="1" applyBorder="1" applyAlignment="1">
      <alignment horizontal="right"/>
    </xf>
    <xf numFmtId="0" fontId="13" fillId="0" borderId="1" xfId="0" applyFont="1" applyBorder="1" applyAlignment="1">
      <alignment horizontal="left"/>
    </xf>
    <xf numFmtId="0" fontId="13" fillId="0" borderId="1" xfId="0" applyFont="1" applyBorder="1" applyAlignment="1">
      <alignment horizontal="center"/>
    </xf>
    <xf numFmtId="0" fontId="17" fillId="0" borderId="1" xfId="0" applyNumberFormat="1" applyFont="1" applyFill="1" applyBorder="1" applyAlignment="1">
      <alignment horizontal="left"/>
    </xf>
    <xf numFmtId="0" fontId="17" fillId="0" borderId="0" xfId="0" applyFont="1" applyAlignment="1">
      <alignment horizontal="right"/>
    </xf>
    <xf numFmtId="0" fontId="17" fillId="0" borderId="0" xfId="0" applyNumberFormat="1" applyFont="1" applyAlignment="1">
      <alignment horizontal="right"/>
    </xf>
    <xf numFmtId="0" fontId="49" fillId="0" borderId="0" xfId="0" applyNumberFormat="1" applyFont="1" applyAlignment="1">
      <alignment horizontal="left"/>
    </xf>
    <xf numFmtId="0" fontId="20" fillId="0" borderId="0" xfId="0" applyFont="1"/>
    <xf numFmtId="0" fontId="17" fillId="0" borderId="3" xfId="0" applyNumberFormat="1" applyFont="1" applyBorder="1" applyAlignment="1">
      <alignment horizontal="center"/>
    </xf>
    <xf numFmtId="0" fontId="17" fillId="0" borderId="0" xfId="0" applyNumberFormat="1" applyFont="1" applyBorder="1"/>
    <xf numFmtId="10" fontId="17" fillId="0" borderId="0" xfId="0" applyNumberFormat="1" applyFont="1" applyFill="1"/>
    <xf numFmtId="3" fontId="18" fillId="0" borderId="0" xfId="0" applyNumberFormat="1" applyFont="1" applyBorder="1" applyAlignment="1">
      <alignment horizontal="right"/>
    </xf>
    <xf numFmtId="3" fontId="20" fillId="0" borderId="0" xfId="0" applyNumberFormat="1" applyFont="1" applyBorder="1" applyAlignment="1">
      <alignment horizontal="right"/>
    </xf>
    <xf numFmtId="3" fontId="19" fillId="0" borderId="0" xfId="0" applyNumberFormat="1" applyFont="1" applyBorder="1" applyAlignment="1">
      <alignment horizontal="right"/>
    </xf>
    <xf numFmtId="0" fontId="36" fillId="0" borderId="5" xfId="0" applyNumberFormat="1" applyFont="1" applyBorder="1" applyAlignment="1">
      <alignment horizontal="center"/>
    </xf>
    <xf numFmtId="0" fontId="25" fillId="0" borderId="5" xfId="0" applyNumberFormat="1" applyFont="1" applyFill="1" applyBorder="1" applyAlignment="1"/>
    <xf numFmtId="0" fontId="25" fillId="0" borderId="5" xfId="0" applyFont="1" applyFill="1" applyBorder="1" applyAlignment="1"/>
    <xf numFmtId="3" fontId="25" fillId="0" borderId="5" xfId="0" applyNumberFormat="1" applyFont="1" applyBorder="1" applyAlignment="1">
      <alignment horizontal="center"/>
    </xf>
    <xf numFmtId="0" fontId="36" fillId="0" borderId="5" xfId="0" applyFont="1" applyBorder="1" applyAlignment="1"/>
    <xf numFmtId="167" fontId="17" fillId="0" borderId="0" xfId="0" applyNumberFormat="1" applyFont="1" applyBorder="1" applyAlignment="1">
      <alignment horizontal="center"/>
    </xf>
    <xf numFmtId="177" fontId="13" fillId="0" borderId="0" xfId="0" applyNumberFormat="1" applyFont="1" applyBorder="1" applyAlignment="1">
      <alignment horizontal="right"/>
    </xf>
    <xf numFmtId="0" fontId="27" fillId="0" borderId="0" xfId="0" applyNumberFormat="1" applyFont="1" applyFill="1" applyBorder="1" applyAlignment="1">
      <alignment horizontal="left"/>
    </xf>
    <xf numFmtId="37" fontId="23" fillId="0" borderId="0" xfId="0" applyNumberFormat="1" applyFont="1" applyAlignment="1">
      <alignment horizontal="right" wrapText="1"/>
    </xf>
    <xf numFmtId="10" fontId="17" fillId="0" borderId="0" xfId="6" applyNumberFormat="1" applyFont="1" applyFill="1"/>
    <xf numFmtId="0" fontId="58" fillId="0" borderId="0" xfId="0" applyFont="1" applyAlignment="1">
      <alignment horizontal="center"/>
    </xf>
    <xf numFmtId="0" fontId="17" fillId="0" borderId="0" xfId="0" applyFont="1" applyAlignment="1">
      <alignment wrapText="1"/>
    </xf>
    <xf numFmtId="0" fontId="47" fillId="0" borderId="0" xfId="0" applyFont="1" applyAlignment="1">
      <alignment horizontal="center"/>
    </xf>
    <xf numFmtId="0" fontId="47" fillId="0" borderId="0" xfId="0" applyNumberFormat="1" applyFont="1" applyFill="1" applyAlignment="1">
      <alignment horizontal="center"/>
    </xf>
    <xf numFmtId="0" fontId="47" fillId="0" borderId="0" xfId="0" applyNumberFormat="1" applyFont="1" applyAlignment="1">
      <alignment horizontal="center"/>
    </xf>
    <xf numFmtId="0" fontId="17" fillId="0" borderId="1" xfId="0" applyFont="1" applyBorder="1" applyAlignment="1">
      <alignment horizontal="left"/>
    </xf>
    <xf numFmtId="0" fontId="17" fillId="0" borderId="3" xfId="0" applyFont="1" applyBorder="1" applyAlignment="1">
      <alignment horizontal="left"/>
    </xf>
    <xf numFmtId="0" fontId="40" fillId="0" borderId="0" xfId="0" applyNumberFormat="1" applyFont="1" applyAlignment="1">
      <alignment horizontal="center"/>
    </xf>
    <xf numFmtId="3" fontId="13" fillId="0" borderId="1" xfId="0" applyNumberFormat="1" applyFont="1" applyBorder="1" applyAlignment="1">
      <alignment horizontal="right"/>
    </xf>
    <xf numFmtId="0" fontId="59" fillId="0" borderId="0" xfId="0" applyFont="1"/>
    <xf numFmtId="0" fontId="60" fillId="0" borderId="0" xfId="0" applyFont="1" applyBorder="1" applyAlignment="1">
      <alignment horizontal="left"/>
    </xf>
    <xf numFmtId="0" fontId="60" fillId="0" borderId="0" xfId="0" applyFont="1" applyAlignment="1">
      <alignment horizontal="left"/>
    </xf>
    <xf numFmtId="176" fontId="23" fillId="0" borderId="0" xfId="1" applyNumberFormat="1" applyFont="1"/>
    <xf numFmtId="0" fontId="51" fillId="0" borderId="0" xfId="0" applyFont="1"/>
    <xf numFmtId="168" fontId="17" fillId="0" borderId="0" xfId="6" applyNumberFormat="1" applyFont="1"/>
    <xf numFmtId="0" fontId="17" fillId="0" borderId="4" xfId="0" applyNumberFormat="1" applyFont="1" applyBorder="1" applyAlignment="1">
      <alignment horizontal="center"/>
    </xf>
    <xf numFmtId="0" fontId="13" fillId="0" borderId="5" xfId="0" applyNumberFormat="1" applyFont="1" applyFill="1" applyBorder="1" applyAlignment="1"/>
    <xf numFmtId="0" fontId="17" fillId="0" borderId="5" xfId="0" applyFont="1" applyFill="1" applyBorder="1" applyAlignment="1"/>
    <xf numFmtId="0" fontId="17" fillId="0" borderId="5" xfId="0" applyFont="1" applyFill="1" applyBorder="1" applyAlignment="1">
      <alignment horizontal="center"/>
    </xf>
    <xf numFmtId="3" fontId="17" fillId="0" borderId="5" xfId="0" applyNumberFormat="1" applyFont="1" applyBorder="1" applyAlignment="1"/>
    <xf numFmtId="0" fontId="17" fillId="0" borderId="5" xfId="0" applyFont="1" applyBorder="1" applyAlignment="1"/>
    <xf numFmtId="0" fontId="13" fillId="0" borderId="5" xfId="0" applyFont="1" applyBorder="1"/>
    <xf numFmtId="0" fontId="17" fillId="0" borderId="5" xfId="0" applyFont="1" applyBorder="1"/>
    <xf numFmtId="0" fontId="17" fillId="0" borderId="4" xfId="0" applyNumberFormat="1" applyFont="1" applyFill="1" applyBorder="1" applyAlignment="1">
      <alignment horizontal="center"/>
    </xf>
    <xf numFmtId="0" fontId="13" fillId="0" borderId="5" xfId="0" applyFont="1" applyBorder="1" applyAlignment="1">
      <alignment horizontal="center"/>
    </xf>
    <xf numFmtId="3" fontId="13" fillId="0" borderId="5" xfId="0" applyNumberFormat="1" applyFont="1" applyBorder="1" applyAlignment="1"/>
    <xf numFmtId="0" fontId="13" fillId="0" borderId="5" xfId="0" applyFont="1" applyFill="1" applyBorder="1"/>
    <xf numFmtId="0" fontId="17" fillId="0" borderId="4" xfId="0" applyFont="1" applyBorder="1" applyAlignment="1">
      <alignment horizontal="center"/>
    </xf>
    <xf numFmtId="3" fontId="17" fillId="0" borderId="5" xfId="0" applyNumberFormat="1" applyFont="1" applyFill="1" applyBorder="1" applyAlignment="1"/>
    <xf numFmtId="0" fontId="17" fillId="0" borderId="5" xfId="0" applyNumberFormat="1" applyFont="1" applyBorder="1" applyAlignment="1">
      <alignment horizontal="center"/>
    </xf>
    <xf numFmtId="3" fontId="17" fillId="0" borderId="5" xfId="0" applyNumberFormat="1" applyFont="1" applyBorder="1" applyAlignment="1">
      <alignment horizontal="center"/>
    </xf>
    <xf numFmtId="0" fontId="13" fillId="0" borderId="5" xfId="0" applyNumberFormat="1" applyFont="1" applyBorder="1" applyAlignment="1">
      <alignment horizontal="left"/>
    </xf>
    <xf numFmtId="0" fontId="13" fillId="0" borderId="5" xfId="0" applyFont="1" applyBorder="1" applyAlignment="1"/>
    <xf numFmtId="0" fontId="13" fillId="0" borderId="5" xfId="0" applyNumberFormat="1" applyFont="1" applyBorder="1" applyAlignment="1">
      <alignment horizontal="center"/>
    </xf>
    <xf numFmtId="0" fontId="13" fillId="0" borderId="5" xfId="0" applyFont="1" applyBorder="1" applyAlignment="1">
      <alignment horizontal="right"/>
    </xf>
    <xf numFmtId="168" fontId="13" fillId="0" borderId="5" xfId="0" applyNumberFormat="1" applyFont="1" applyBorder="1" applyAlignment="1">
      <alignment horizontal="left"/>
    </xf>
    <xf numFmtId="3" fontId="13" fillId="0" borderId="5" xfId="0" applyNumberFormat="1" applyFont="1" applyBorder="1" applyAlignment="1">
      <alignment horizontal="center"/>
    </xf>
    <xf numFmtId="169" fontId="13" fillId="0" borderId="5" xfId="0" applyNumberFormat="1" applyFont="1" applyBorder="1" applyAlignment="1">
      <alignment horizontal="center"/>
    </xf>
    <xf numFmtId="172" fontId="13" fillId="0" borderId="16" xfId="6" applyNumberFormat="1" applyFont="1" applyBorder="1" applyAlignment="1"/>
    <xf numFmtId="167" fontId="13" fillId="0" borderId="16" xfId="2" applyNumberFormat="1" applyFont="1" applyBorder="1"/>
    <xf numFmtId="167" fontId="13" fillId="0" borderId="16" xfId="2" applyNumberFormat="1" applyFont="1" applyFill="1" applyBorder="1"/>
    <xf numFmtId="167" fontId="13" fillId="0" borderId="16" xfId="2" applyNumberFormat="1" applyFont="1" applyBorder="1" applyAlignment="1"/>
    <xf numFmtId="167" fontId="13" fillId="0" borderId="16" xfId="2" applyNumberFormat="1" applyFont="1" applyBorder="1" applyAlignment="1">
      <alignment horizontal="right"/>
    </xf>
    <xf numFmtId="3" fontId="13" fillId="0" borderId="16" xfId="0" applyNumberFormat="1" applyFont="1" applyBorder="1" applyAlignment="1"/>
    <xf numFmtId="167" fontId="25" fillId="0" borderId="16" xfId="2" applyNumberFormat="1" applyFont="1" applyBorder="1"/>
    <xf numFmtId="39" fontId="25" fillId="0" borderId="16" xfId="0" applyNumberFormat="1" applyFont="1" applyBorder="1" applyAlignment="1">
      <alignment horizontal="center"/>
    </xf>
    <xf numFmtId="167" fontId="17" fillId="0" borderId="0" xfId="2" applyNumberFormat="1" applyFont="1" applyFill="1"/>
    <xf numFmtId="164" fontId="17" fillId="0" borderId="0" xfId="1" applyNumberFormat="1" applyFont="1" applyFill="1"/>
    <xf numFmtId="3" fontId="17" fillId="0" borderId="3" xfId="0" applyNumberFormat="1" applyFont="1" applyFill="1" applyBorder="1" applyAlignment="1">
      <alignment horizontal="right"/>
    </xf>
    <xf numFmtId="167" fontId="13" fillId="0" borderId="0" xfId="2" applyNumberFormat="1" applyFont="1" applyFill="1" applyAlignment="1">
      <alignment horizontal="right"/>
    </xf>
    <xf numFmtId="164" fontId="13" fillId="0" borderId="3" xfId="1" applyNumberFormat="1" applyFont="1" applyFill="1" applyBorder="1" applyAlignment="1">
      <alignment horizontal="right"/>
    </xf>
    <xf numFmtId="0" fontId="23" fillId="0" borderId="0" xfId="0" applyFont="1" applyFill="1" applyAlignment="1">
      <alignment horizontal="left" wrapText="1"/>
    </xf>
    <xf numFmtId="42" fontId="23" fillId="0" borderId="0" xfId="0" applyNumberFormat="1" applyFont="1" applyFill="1" applyAlignment="1">
      <alignment horizontal="left" wrapText="1"/>
    </xf>
    <xf numFmtId="172" fontId="23" fillId="0" borderId="0" xfId="6" applyNumberFormat="1" applyFont="1" applyFill="1" applyAlignment="1">
      <alignment horizontal="center" wrapText="1"/>
    </xf>
    <xf numFmtId="172" fontId="23" fillId="0" borderId="0" xfId="0" applyNumberFormat="1" applyFont="1" applyFill="1" applyAlignment="1">
      <alignment horizontal="center" wrapText="1"/>
    </xf>
    <xf numFmtId="0" fontId="23" fillId="0" borderId="0" xfId="0" applyFont="1" applyFill="1" applyAlignment="1">
      <alignment horizontal="right" wrapText="1"/>
    </xf>
    <xf numFmtId="167" fontId="23" fillId="0" borderId="0" xfId="2" applyNumberFormat="1" applyFont="1" applyFill="1" applyAlignment="1">
      <alignment horizontal="right" wrapText="1"/>
    </xf>
    <xf numFmtId="0" fontId="23" fillId="0" borderId="0" xfId="0" applyFont="1" applyFill="1" applyAlignment="1">
      <alignment horizontal="right"/>
    </xf>
    <xf numFmtId="37" fontId="30" fillId="0" borderId="0" xfId="0" applyNumberFormat="1" applyFont="1" applyFill="1"/>
    <xf numFmtId="164" fontId="23" fillId="0" borderId="0" xfId="0" applyNumberFormat="1" applyFont="1" applyFill="1"/>
    <xf numFmtId="0" fontId="63" fillId="0" borderId="0" xfId="0" applyFont="1" applyAlignment="1">
      <alignment horizontal="center"/>
    </xf>
    <xf numFmtId="0" fontId="64" fillId="0" borderId="0" xfId="0" applyFont="1" applyAlignment="1">
      <alignment horizontal="center"/>
    </xf>
    <xf numFmtId="0" fontId="13" fillId="4" borderId="0" xfId="0" applyFont="1" applyFill="1" applyBorder="1" applyAlignment="1"/>
    <xf numFmtId="0" fontId="29" fillId="4" borderId="11" xfId="0" applyFont="1" applyFill="1" applyBorder="1" applyAlignment="1">
      <alignment horizontal="left"/>
    </xf>
    <xf numFmtId="0" fontId="13" fillId="4" borderId="10" xfId="0" applyFont="1" applyFill="1" applyBorder="1" applyAlignment="1">
      <alignment horizontal="center" wrapText="1"/>
    </xf>
    <xf numFmtId="0" fontId="13" fillId="4" borderId="14" xfId="0" applyNumberFormat="1" applyFont="1" applyFill="1" applyBorder="1" applyAlignment="1">
      <alignment horizontal="center"/>
    </xf>
    <xf numFmtId="0" fontId="29" fillId="4" borderId="7" xfId="0" applyFont="1" applyFill="1" applyBorder="1" applyAlignment="1">
      <alignment horizontal="left"/>
    </xf>
    <xf numFmtId="0" fontId="54" fillId="0" borderId="0" xfId="0" applyFont="1" applyAlignment="1">
      <alignment horizontal="centerContinuous"/>
    </xf>
    <xf numFmtId="0" fontId="13" fillId="2" borderId="17" xfId="0" applyFont="1" applyFill="1" applyBorder="1" applyAlignment="1">
      <alignment horizontal="center" wrapText="1"/>
    </xf>
    <xf numFmtId="0" fontId="66" fillId="0" borderId="0" xfId="0" applyFont="1" applyAlignment="1">
      <alignment horizontal="center"/>
    </xf>
    <xf numFmtId="0" fontId="67" fillId="0" borderId="0" xfId="0" applyFont="1" applyAlignment="1">
      <alignment horizontal="center"/>
    </xf>
    <xf numFmtId="176" fontId="17" fillId="0" borderId="0" xfId="0" applyNumberFormat="1" applyFont="1"/>
    <xf numFmtId="0" fontId="68" fillId="0" borderId="0" xfId="0" applyNumberFormat="1" applyFont="1" applyFill="1" applyBorder="1" applyAlignment="1">
      <alignment horizontal="center"/>
    </xf>
    <xf numFmtId="0" fontId="69" fillId="0" borderId="0" xfId="0" applyFont="1" applyBorder="1"/>
    <xf numFmtId="0" fontId="69" fillId="0" borderId="0" xfId="0" applyFont="1"/>
    <xf numFmtId="0" fontId="68" fillId="0" borderId="0" xfId="0" applyFont="1" applyAlignment="1">
      <alignment horizontal="centerContinuous"/>
    </xf>
    <xf numFmtId="0" fontId="69" fillId="0" borderId="0" xfId="0" applyNumberFormat="1" applyFont="1" applyFill="1" applyBorder="1" applyAlignment="1"/>
    <xf numFmtId="0" fontId="69" fillId="0" borderId="0" xfId="0" applyFont="1" applyFill="1" applyBorder="1" applyAlignment="1">
      <alignment horizontal="left" wrapText="1"/>
    </xf>
    <xf numFmtId="0" fontId="69" fillId="0" borderId="0" xfId="0" applyFont="1" applyBorder="1" applyAlignment="1">
      <alignment wrapText="1"/>
    </xf>
    <xf numFmtId="37" fontId="69" fillId="0" borderId="0" xfId="0" applyNumberFormat="1" applyFont="1" applyBorder="1" applyAlignment="1">
      <alignment horizontal="left"/>
    </xf>
    <xf numFmtId="0" fontId="71" fillId="0" borderId="0" xfId="0" applyFont="1" applyAlignment="1">
      <alignment horizontal="center"/>
    </xf>
    <xf numFmtId="0" fontId="69" fillId="0" borderId="0" xfId="0" applyFont="1" applyAlignment="1">
      <alignment horizontal="right"/>
    </xf>
    <xf numFmtId="0" fontId="68" fillId="0" borderId="0" xfId="0" applyFont="1" applyFill="1" applyBorder="1" applyAlignment="1">
      <alignment horizontal="left"/>
    </xf>
    <xf numFmtId="0" fontId="69" fillId="0" borderId="0" xfId="0" applyNumberFormat="1" applyFont="1" applyBorder="1" applyAlignment="1">
      <alignment horizontal="center"/>
    </xf>
    <xf numFmtId="0" fontId="69" fillId="0" borderId="0" xfId="0" applyFont="1" applyBorder="1" applyAlignment="1"/>
    <xf numFmtId="0" fontId="68" fillId="0" borderId="0" xfId="0" applyFont="1" applyBorder="1" applyAlignment="1">
      <alignment horizontal="center"/>
    </xf>
    <xf numFmtId="37" fontId="68" fillId="0" borderId="0" xfId="0" applyNumberFormat="1" applyFont="1" applyBorder="1" applyAlignment="1">
      <alignment horizontal="left"/>
    </xf>
    <xf numFmtId="0" fontId="68" fillId="6" borderId="7" xfId="0" applyFont="1" applyFill="1" applyBorder="1" applyAlignment="1"/>
    <xf numFmtId="0" fontId="68" fillId="6" borderId="8" xfId="0" applyFont="1" applyFill="1" applyBorder="1" applyAlignment="1"/>
    <xf numFmtId="0" fontId="68" fillId="6" borderId="9" xfId="0" applyFont="1" applyFill="1" applyBorder="1" applyAlignment="1"/>
    <xf numFmtId="0" fontId="68" fillId="6" borderId="8" xfId="0" applyFont="1" applyFill="1" applyBorder="1" applyAlignment="1">
      <alignment horizontal="center"/>
    </xf>
    <xf numFmtId="0" fontId="68" fillId="6" borderId="0" xfId="0" applyFont="1" applyFill="1" applyBorder="1" applyAlignment="1">
      <alignment horizontal="center" wrapText="1"/>
    </xf>
    <xf numFmtId="0" fontId="68" fillId="6" borderId="8" xfId="0" applyFont="1" applyFill="1" applyBorder="1" applyAlignment="1">
      <alignment horizontal="center" wrapText="1"/>
    </xf>
    <xf numFmtId="0" fontId="69" fillId="0" borderId="11" xfId="0" applyFont="1" applyBorder="1" applyAlignment="1">
      <alignment horizontal="center"/>
    </xf>
    <xf numFmtId="0" fontId="68" fillId="0" borderId="0" xfId="0" applyNumberFormat="1" applyFont="1" applyFill="1" applyBorder="1" applyAlignment="1"/>
    <xf numFmtId="0" fontId="69" fillId="0" borderId="0" xfId="0" applyFont="1" applyBorder="1" applyAlignment="1">
      <alignment horizontal="center"/>
    </xf>
    <xf numFmtId="0" fontId="69" fillId="0" borderId="10" xfId="0" applyFont="1" applyBorder="1"/>
    <xf numFmtId="0" fontId="68" fillId="0" borderId="0" xfId="0" applyFont="1" applyFill="1" applyBorder="1" applyAlignment="1">
      <alignment horizontal="center" wrapText="1"/>
    </xf>
    <xf numFmtId="0" fontId="69" fillId="0" borderId="0" xfId="0" applyFont="1" applyFill="1" applyBorder="1" applyAlignment="1">
      <alignment horizontal="center" wrapText="1"/>
    </xf>
    <xf numFmtId="0" fontId="69" fillId="0" borderId="10" xfId="0" applyFont="1" applyFill="1" applyBorder="1" applyAlignment="1">
      <alignment horizontal="center" wrapText="1"/>
    </xf>
    <xf numFmtId="0" fontId="69" fillId="0" borderId="0" xfId="0" applyFont="1" applyFill="1" applyBorder="1" applyAlignment="1">
      <alignment horizontal="center"/>
    </xf>
    <xf numFmtId="0" fontId="69" fillId="0" borderId="10" xfId="0" applyFont="1" applyFill="1" applyBorder="1" applyAlignment="1">
      <alignment horizontal="left"/>
    </xf>
    <xf numFmtId="164" fontId="69" fillId="2" borderId="0" xfId="1" applyNumberFormat="1" applyFont="1" applyFill="1" applyBorder="1"/>
    <xf numFmtId="164" fontId="69" fillId="0" borderId="0" xfId="1" applyNumberFormat="1" applyFont="1" applyBorder="1"/>
    <xf numFmtId="3" fontId="69" fillId="0" borderId="0" xfId="0" applyNumberFormat="1" applyFont="1" applyBorder="1" applyAlignment="1">
      <alignment horizontal="center"/>
    </xf>
    <xf numFmtId="0" fontId="69" fillId="0" borderId="11" xfId="0" applyNumberFormat="1" applyFont="1" applyFill="1" applyBorder="1" applyAlignment="1">
      <alignment horizontal="center"/>
    </xf>
    <xf numFmtId="0" fontId="69" fillId="0" borderId="0" xfId="0" applyNumberFormat="1" applyFont="1" applyFill="1" applyBorder="1" applyAlignment="1">
      <alignment horizontal="left"/>
    </xf>
    <xf numFmtId="0" fontId="69" fillId="0" borderId="0" xfId="0" applyNumberFormat="1" applyFont="1" applyFill="1" applyBorder="1" applyAlignment="1">
      <alignment horizontal="center"/>
    </xf>
    <xf numFmtId="0" fontId="69" fillId="0" borderId="10" xfId="0" applyNumberFormat="1" applyFont="1" applyFill="1" applyBorder="1" applyAlignment="1"/>
    <xf numFmtId="3" fontId="69" fillId="0" borderId="0" xfId="0" applyNumberFormat="1" applyFont="1" applyBorder="1" applyAlignment="1">
      <alignment wrapText="1"/>
    </xf>
    <xf numFmtId="3" fontId="69" fillId="0" borderId="10" xfId="0" applyNumberFormat="1" applyFont="1" applyBorder="1" applyAlignment="1">
      <alignment wrapText="1"/>
    </xf>
    <xf numFmtId="3" fontId="69" fillId="0" borderId="0" xfId="0" applyNumberFormat="1" applyFont="1" applyFill="1" applyBorder="1" applyAlignment="1">
      <alignment horizontal="center"/>
    </xf>
    <xf numFmtId="3" fontId="69" fillId="0" borderId="10" xfId="0" applyNumberFormat="1" applyFont="1" applyFill="1" applyBorder="1" applyAlignment="1"/>
    <xf numFmtId="0" fontId="69" fillId="0" borderId="0" xfId="0" applyFont="1" applyBorder="1" applyAlignment="1">
      <alignment horizontal="left" wrapText="1"/>
    </xf>
    <xf numFmtId="3" fontId="69" fillId="0" borderId="10" xfId="0" applyNumberFormat="1" applyFont="1" applyFill="1" applyBorder="1" applyAlignment="1">
      <alignment horizontal="left"/>
    </xf>
    <xf numFmtId="0" fontId="69" fillId="0" borderId="10" xfId="0" applyNumberFormat="1" applyFont="1" applyFill="1" applyBorder="1" applyAlignment="1">
      <alignment horizontal="left"/>
    </xf>
    <xf numFmtId="0" fontId="69" fillId="0" borderId="11" xfId="0" applyFont="1" applyFill="1" applyBorder="1" applyAlignment="1">
      <alignment horizontal="center"/>
    </xf>
    <xf numFmtId="0" fontId="68" fillId="0" borderId="0" xfId="0" applyNumberFormat="1" applyFont="1" applyFill="1" applyBorder="1" applyAlignment="1">
      <alignment horizontal="left"/>
    </xf>
    <xf numFmtId="0" fontId="69" fillId="0" borderId="0" xfId="0" applyFont="1" applyBorder="1" applyAlignment="1">
      <alignment horizontal="left"/>
    </xf>
    <xf numFmtId="0" fontId="69" fillId="0" borderId="0" xfId="0" applyFont="1" applyFill="1" applyBorder="1"/>
    <xf numFmtId="0" fontId="69" fillId="0" borderId="0" xfId="0" applyFont="1" applyFill="1" applyBorder="1" applyAlignment="1">
      <alignment horizontal="right"/>
    </xf>
    <xf numFmtId="0" fontId="69" fillId="0" borderId="10" xfId="0" applyFont="1" applyBorder="1" applyAlignment="1"/>
    <xf numFmtId="0" fontId="69" fillId="0" borderId="0" xfId="0" applyFont="1" applyFill="1" applyBorder="1" applyAlignment="1">
      <alignment horizontal="left"/>
    </xf>
    <xf numFmtId="0" fontId="69" fillId="0" borderId="0" xfId="0" applyFont="1" applyFill="1" applyBorder="1" applyAlignment="1"/>
    <xf numFmtId="0" fontId="69" fillId="0" borderId="10" xfId="0" applyFont="1" applyFill="1" applyBorder="1" applyAlignment="1"/>
    <xf numFmtId="164" fontId="69" fillId="0" borderId="0" xfId="1" applyNumberFormat="1" applyFont="1" applyFill="1" applyBorder="1"/>
    <xf numFmtId="0" fontId="68" fillId="0" borderId="0" xfId="0" applyNumberFormat="1" applyFont="1" applyBorder="1" applyAlignment="1">
      <alignment horizontal="left"/>
    </xf>
    <xf numFmtId="3" fontId="69" fillId="2" borderId="0" xfId="0" applyNumberFormat="1" applyFont="1" applyFill="1" applyBorder="1" applyAlignment="1">
      <alignment horizontal="center"/>
    </xf>
    <xf numFmtId="0" fontId="69" fillId="0" borderId="11" xfId="0" applyNumberFormat="1" applyFont="1" applyBorder="1" applyAlignment="1">
      <alignment horizontal="center"/>
    </xf>
    <xf numFmtId="0" fontId="69" fillId="0" borderId="0" xfId="0" applyNumberFormat="1" applyFont="1" applyBorder="1" applyAlignment="1">
      <alignment horizontal="right"/>
    </xf>
    <xf numFmtId="0" fontId="69" fillId="0" borderId="0" xfId="0" applyNumberFormat="1" applyFont="1" applyBorder="1" applyAlignment="1">
      <alignment horizontal="left"/>
    </xf>
    <xf numFmtId="0" fontId="69" fillId="0" borderId="10" xfId="0" applyNumberFormat="1" applyFont="1" applyBorder="1" applyAlignment="1"/>
    <xf numFmtId="167" fontId="69" fillId="0" borderId="0" xfId="2" applyNumberFormat="1" applyFont="1" applyFill="1" applyBorder="1"/>
    <xf numFmtId="0" fontId="69" fillId="0" borderId="0" xfId="0" applyNumberFormat="1" applyFont="1" applyFill="1" applyBorder="1" applyAlignment="1">
      <alignment horizontal="right"/>
    </xf>
    <xf numFmtId="0" fontId="69" fillId="0" borderId="6" xfId="0" applyNumberFormat="1" applyFont="1" applyFill="1" applyBorder="1" applyAlignment="1">
      <alignment horizontal="center"/>
    </xf>
    <xf numFmtId="0" fontId="69" fillId="0" borderId="15" xfId="0" applyNumberFormat="1" applyFont="1" applyFill="1" applyBorder="1" applyAlignment="1">
      <alignment horizontal="right"/>
    </xf>
    <xf numFmtId="0" fontId="69" fillId="0" borderId="15" xfId="0" applyNumberFormat="1" applyFont="1" applyFill="1" applyBorder="1" applyAlignment="1">
      <alignment horizontal="left"/>
    </xf>
    <xf numFmtId="0" fontId="69" fillId="0" borderId="15" xfId="0" applyFont="1" applyFill="1" applyBorder="1" applyAlignment="1"/>
    <xf numFmtId="0" fontId="69" fillId="0" borderId="15" xfId="0" applyNumberFormat="1" applyFont="1" applyFill="1" applyBorder="1" applyAlignment="1">
      <alignment horizontal="center"/>
    </xf>
    <xf numFmtId="0" fontId="69" fillId="0" borderId="14" xfId="0" applyNumberFormat="1" applyFont="1" applyFill="1" applyBorder="1" applyAlignment="1"/>
    <xf numFmtId="0" fontId="69" fillId="0" borderId="15" xfId="0" applyNumberFormat="1" applyFont="1" applyFill="1" applyBorder="1" applyAlignment="1"/>
    <xf numFmtId="3" fontId="69" fillId="0" borderId="15" xfId="0" applyNumberFormat="1" applyFont="1" applyFill="1" applyBorder="1" applyAlignment="1">
      <alignment horizontal="center"/>
    </xf>
    <xf numFmtId="3" fontId="69" fillId="2" borderId="15" xfId="0" applyNumberFormat="1" applyFont="1" applyFill="1" applyBorder="1" applyAlignment="1">
      <alignment horizontal="center"/>
    </xf>
    <xf numFmtId="0" fontId="69" fillId="0" borderId="15" xfId="0" applyFont="1" applyBorder="1"/>
    <xf numFmtId="0" fontId="69" fillId="0" borderId="15" xfId="0" applyNumberFormat="1" applyFont="1" applyBorder="1" applyAlignment="1">
      <alignment horizontal="left"/>
    </xf>
    <xf numFmtId="0" fontId="69" fillId="0" borderId="14" xfId="0" applyNumberFormat="1" applyFont="1" applyBorder="1" applyAlignment="1"/>
    <xf numFmtId="164" fontId="69" fillId="2" borderId="15" xfId="1" applyNumberFormat="1" applyFont="1" applyFill="1" applyBorder="1"/>
    <xf numFmtId="164" fontId="69" fillId="0" borderId="15" xfId="1" applyNumberFormat="1" applyFont="1" applyFill="1" applyBorder="1"/>
    <xf numFmtId="3" fontId="69" fillId="0" borderId="15" xfId="0" applyNumberFormat="1" applyFont="1" applyBorder="1" applyAlignment="1">
      <alignment horizontal="center"/>
    </xf>
    <xf numFmtId="0" fontId="69" fillId="0" borderId="0" xfId="0" applyNumberFormat="1" applyFont="1" applyBorder="1" applyAlignment="1"/>
    <xf numFmtId="0" fontId="69" fillId="0" borderId="15" xfId="0" applyNumberFormat="1" applyFont="1" applyBorder="1" applyAlignment="1"/>
    <xf numFmtId="0" fontId="68" fillId="0" borderId="0" xfId="0" applyFont="1" applyFill="1" applyBorder="1" applyAlignment="1">
      <alignment horizontal="center"/>
    </xf>
    <xf numFmtId="0" fontId="69" fillId="0" borderId="0" xfId="0" applyFont="1" applyBorder="1" applyAlignment="1">
      <alignment horizontal="center" wrapText="1"/>
    </xf>
    <xf numFmtId="0" fontId="69" fillId="0" borderId="0" xfId="0" applyNumberFormat="1" applyFont="1" applyFill="1" applyBorder="1" applyAlignment="1">
      <alignment horizontal="center" wrapText="1"/>
    </xf>
    <xf numFmtId="164" fontId="68" fillId="0" borderId="0" xfId="0" applyNumberFormat="1" applyFont="1" applyFill="1" applyBorder="1" applyAlignment="1">
      <alignment horizontal="center"/>
    </xf>
    <xf numFmtId="0" fontId="69" fillId="0" borderId="14" xfId="0" applyNumberFormat="1" applyFont="1" applyFill="1" applyBorder="1" applyAlignment="1">
      <alignment horizontal="left"/>
    </xf>
    <xf numFmtId="0" fontId="68" fillId="0" borderId="15" xfId="0" applyFont="1" applyBorder="1" applyAlignment="1">
      <alignment horizontal="center"/>
    </xf>
    <xf numFmtId="0" fontId="69" fillId="0" borderId="14" xfId="0" applyFont="1" applyBorder="1"/>
    <xf numFmtId="0" fontId="69" fillId="0" borderId="15" xfId="0" applyFont="1" applyBorder="1" applyAlignment="1">
      <alignment horizontal="center"/>
    </xf>
    <xf numFmtId="0" fontId="69" fillId="0" borderId="15" xfId="0" applyFont="1" applyFill="1" applyBorder="1" applyAlignment="1">
      <alignment wrapText="1"/>
    </xf>
    <xf numFmtId="0" fontId="69" fillId="0" borderId="14" xfId="0" applyFont="1" applyFill="1" applyBorder="1" applyAlignment="1">
      <alignment wrapText="1"/>
    </xf>
    <xf numFmtId="3" fontId="69" fillId="0" borderId="0" xfId="0" applyNumberFormat="1" applyFont="1" applyFill="1" applyBorder="1" applyAlignment="1"/>
    <xf numFmtId="3" fontId="69" fillId="0" borderId="0" xfId="0" applyNumberFormat="1" applyFont="1" applyFill="1" applyBorder="1" applyAlignment="1">
      <alignment horizontal="right"/>
    </xf>
    <xf numFmtId="0" fontId="69" fillId="0" borderId="0" xfId="0" applyFont="1" applyFill="1" applyBorder="1" applyAlignment="1">
      <alignment horizontal="centerContinuous"/>
    </xf>
    <xf numFmtId="0" fontId="69" fillId="0" borderId="10" xfId="0" applyFont="1" applyFill="1" applyBorder="1" applyAlignment="1">
      <alignment horizontal="centerContinuous"/>
    </xf>
    <xf numFmtId="0" fontId="69" fillId="0" borderId="10" xfId="0" applyFont="1" applyBorder="1" applyAlignment="1">
      <alignment horizontal="left"/>
    </xf>
    <xf numFmtId="0" fontId="69" fillId="0" borderId="15" xfId="0" applyFont="1" applyFill="1" applyBorder="1" applyAlignment="1">
      <alignment horizontal="center"/>
    </xf>
    <xf numFmtId="3" fontId="69" fillId="0" borderId="15" xfId="0" applyNumberFormat="1" applyFont="1" applyBorder="1" applyAlignment="1">
      <alignment horizontal="right"/>
    </xf>
    <xf numFmtId="0" fontId="69" fillId="0" borderId="6" xfId="0" applyNumberFormat="1" applyFont="1" applyBorder="1" applyAlignment="1">
      <alignment horizontal="center"/>
    </xf>
    <xf numFmtId="0" fontId="69" fillId="0" borderId="15" xfId="0" applyNumberFormat="1" applyFont="1" applyBorder="1" applyAlignment="1">
      <alignment horizontal="center"/>
    </xf>
    <xf numFmtId="0" fontId="69" fillId="0" borderId="14" xfId="0" applyNumberFormat="1" applyFont="1" applyBorder="1" applyAlignment="1">
      <alignment horizontal="left"/>
    </xf>
    <xf numFmtId="164" fontId="69" fillId="0" borderId="15" xfId="1" applyNumberFormat="1" applyFont="1" applyBorder="1" applyAlignment="1">
      <alignment horizontal="center"/>
    </xf>
    <xf numFmtId="168" fontId="68" fillId="0" borderId="0" xfId="0" applyNumberFormat="1" applyFont="1" applyBorder="1" applyAlignment="1">
      <alignment horizontal="left"/>
    </xf>
    <xf numFmtId="3" fontId="69" fillId="0" borderId="10" xfId="0" applyNumberFormat="1" applyFont="1" applyBorder="1" applyAlignment="1"/>
    <xf numFmtId="3" fontId="69" fillId="0" borderId="0" xfId="0" applyNumberFormat="1" applyFont="1" applyBorder="1" applyAlignment="1"/>
    <xf numFmtId="170" fontId="69" fillId="0" borderId="15" xfId="0" applyNumberFormat="1" applyFont="1" applyBorder="1" applyAlignment="1"/>
    <xf numFmtId="164" fontId="69" fillId="0" borderId="15" xfId="0" applyNumberFormat="1" applyFont="1" applyBorder="1" applyAlignment="1">
      <alignment horizontal="center"/>
    </xf>
    <xf numFmtId="0" fontId="68" fillId="6" borderId="7" xfId="0" applyFont="1" applyFill="1" applyBorder="1" applyAlignment="1">
      <alignment horizontal="center" wrapText="1"/>
    </xf>
    <xf numFmtId="0" fontId="68" fillId="0" borderId="11" xfId="0" applyNumberFormat="1" applyFont="1" applyBorder="1" applyAlignment="1">
      <alignment horizontal="center"/>
    </xf>
    <xf numFmtId="0" fontId="68" fillId="0" borderId="0" xfId="0" applyFont="1" applyFill="1" applyBorder="1" applyAlignment="1"/>
    <xf numFmtId="3" fontId="68" fillId="0" borderId="0" xfId="0" applyNumberFormat="1" applyFont="1" applyBorder="1" applyAlignment="1">
      <alignment horizontal="center"/>
    </xf>
    <xf numFmtId="3" fontId="68" fillId="0" borderId="10" xfId="0" applyNumberFormat="1" applyFont="1" applyBorder="1" applyAlignment="1"/>
    <xf numFmtId="3" fontId="68" fillId="0" borderId="0" xfId="0" applyNumberFormat="1" applyFont="1" applyBorder="1" applyAlignment="1"/>
    <xf numFmtId="0" fontId="69" fillId="0" borderId="11" xfId="0" applyFont="1" applyBorder="1"/>
    <xf numFmtId="0" fontId="68" fillId="0" borderId="11" xfId="0" applyFont="1" applyBorder="1"/>
    <xf numFmtId="0" fontId="68" fillId="0" borderId="15" xfId="0" applyFont="1" applyFill="1" applyBorder="1" applyAlignment="1"/>
    <xf numFmtId="3" fontId="69" fillId="0" borderId="14" xfId="0" applyNumberFormat="1" applyFont="1" applyFill="1" applyBorder="1" applyAlignment="1"/>
    <xf numFmtId="0" fontId="68" fillId="0" borderId="11" xfId="0" applyFont="1" applyBorder="1" applyAlignment="1">
      <alignment horizontal="center"/>
    </xf>
    <xf numFmtId="0" fontId="69" fillId="0" borderId="18" xfId="0" applyNumberFormat="1" applyFont="1" applyFill="1" applyBorder="1" applyAlignment="1">
      <alignment horizontal="center"/>
    </xf>
    <xf numFmtId="0" fontId="69" fillId="0" borderId="1" xfId="0" applyNumberFormat="1" applyFont="1" applyFill="1" applyBorder="1" applyAlignment="1"/>
    <xf numFmtId="0" fontId="68" fillId="0" borderId="1" xfId="0" applyFont="1" applyFill="1" applyBorder="1" applyAlignment="1"/>
    <xf numFmtId="3" fontId="69" fillId="0" borderId="1" xfId="0" applyNumberFormat="1" applyFont="1" applyFill="1" applyBorder="1" applyAlignment="1">
      <alignment horizontal="center"/>
    </xf>
    <xf numFmtId="3" fontId="69" fillId="0" borderId="1" xfId="0" applyNumberFormat="1" applyFont="1" applyFill="1" applyBorder="1" applyAlignment="1"/>
    <xf numFmtId="3" fontId="69" fillId="0" borderId="19" xfId="0" applyNumberFormat="1" applyFont="1" applyFill="1" applyBorder="1" applyAlignment="1"/>
    <xf numFmtId="0" fontId="69" fillId="0" borderId="20" xfId="0" applyNumberFormat="1" applyFont="1" applyFill="1" applyBorder="1" applyAlignment="1">
      <alignment horizontal="center"/>
    </xf>
    <xf numFmtId="3" fontId="69" fillId="0" borderId="21" xfId="0" applyNumberFormat="1" applyFont="1" applyFill="1" applyBorder="1" applyAlignment="1"/>
    <xf numFmtId="3" fontId="68" fillId="0" borderId="0" xfId="0" applyNumberFormat="1" applyFont="1" applyFill="1" applyBorder="1" applyAlignment="1"/>
    <xf numFmtId="3" fontId="68" fillId="0" borderId="21" xfId="0" applyNumberFormat="1" applyFont="1" applyFill="1" applyBorder="1" applyAlignment="1"/>
    <xf numFmtId="0" fontId="69" fillId="0" borderId="11" xfId="0" applyFont="1" applyFill="1" applyBorder="1"/>
    <xf numFmtId="0" fontId="69" fillId="0" borderId="20" xfId="0" applyFont="1" applyFill="1" applyBorder="1" applyAlignment="1">
      <alignment horizontal="right"/>
    </xf>
    <xf numFmtId="0" fontId="68" fillId="0" borderId="0" xfId="0" applyFont="1" applyFill="1" applyBorder="1"/>
    <xf numFmtId="0" fontId="68" fillId="0" borderId="21" xfId="0" applyFont="1" applyFill="1" applyBorder="1"/>
    <xf numFmtId="0" fontId="69" fillId="0" borderId="21" xfId="0" applyFont="1" applyFill="1" applyBorder="1"/>
    <xf numFmtId="0" fontId="69" fillId="0" borderId="22" xfId="0" applyFont="1" applyFill="1" applyBorder="1" applyAlignment="1">
      <alignment horizontal="right"/>
    </xf>
    <xf numFmtId="0" fontId="69" fillId="0" borderId="3" xfId="0" applyNumberFormat="1" applyFont="1" applyFill="1" applyBorder="1" applyAlignment="1"/>
    <xf numFmtId="164" fontId="69" fillId="0" borderId="3" xfId="1" applyNumberFormat="1" applyFont="1" applyFill="1" applyBorder="1"/>
    <xf numFmtId="0" fontId="69" fillId="0" borderId="3" xfId="0" applyFont="1" applyFill="1" applyBorder="1"/>
    <xf numFmtId="0" fontId="69" fillId="0" borderId="23" xfId="0" applyFont="1" applyFill="1" applyBorder="1"/>
    <xf numFmtId="0" fontId="69" fillId="0" borderId="6" xfId="0" applyFont="1" applyBorder="1"/>
    <xf numFmtId="0" fontId="68" fillId="0" borderId="15" xfId="0" applyFont="1" applyBorder="1"/>
    <xf numFmtId="0" fontId="68" fillId="0" borderId="0" xfId="0" applyFont="1" applyBorder="1"/>
    <xf numFmtId="164" fontId="69" fillId="0" borderId="11" xfId="0" applyNumberFormat="1" applyFont="1" applyBorder="1" applyAlignment="1">
      <alignment horizontal="center"/>
    </xf>
    <xf numFmtId="164" fontId="69" fillId="0" borderId="0" xfId="0" applyNumberFormat="1" applyFont="1" applyBorder="1" applyAlignment="1">
      <alignment horizontal="center"/>
    </xf>
    <xf numFmtId="9" fontId="69" fillId="0" borderId="0" xfId="6" applyFont="1" applyBorder="1" applyAlignment="1">
      <alignment horizontal="center"/>
    </xf>
    <xf numFmtId="168" fontId="69" fillId="0" borderId="0" xfId="6" applyNumberFormat="1" applyFont="1" applyBorder="1" applyAlignment="1">
      <alignment horizontal="center"/>
    </xf>
    <xf numFmtId="10" fontId="69" fillId="0" borderId="0" xfId="6" applyNumberFormat="1" applyFont="1" applyBorder="1" applyAlignment="1">
      <alignment horizontal="center"/>
    </xf>
    <xf numFmtId="0" fontId="69" fillId="0" borderId="6" xfId="0" applyFont="1" applyFill="1" applyBorder="1"/>
    <xf numFmtId="167" fontId="69" fillId="0" borderId="15" xfId="2" applyNumberFormat="1" applyFont="1" applyFill="1" applyBorder="1"/>
    <xf numFmtId="168" fontId="69" fillId="0" borderId="15" xfId="6" applyNumberFormat="1" applyFont="1" applyBorder="1" applyAlignment="1">
      <alignment horizontal="center"/>
    </xf>
    <xf numFmtId="0" fontId="68" fillId="0" borderId="0" xfId="0" applyFont="1" applyBorder="1" applyAlignment="1">
      <alignment horizontal="center" wrapText="1"/>
    </xf>
    <xf numFmtId="3" fontId="68" fillId="0" borderId="0" xfId="0" applyNumberFormat="1" applyFont="1" applyBorder="1" applyAlignment="1">
      <alignment horizontal="center" wrapText="1"/>
    </xf>
    <xf numFmtId="0" fontId="68" fillId="0" borderId="0" xfId="0" applyFont="1" applyBorder="1" applyAlignment="1">
      <alignment horizontal="left"/>
    </xf>
    <xf numFmtId="168" fontId="69" fillId="0" borderId="0" xfId="0" applyNumberFormat="1" applyFont="1" applyBorder="1"/>
    <xf numFmtId="167" fontId="69" fillId="2" borderId="0" xfId="2" applyNumberFormat="1" applyFont="1" applyFill="1"/>
    <xf numFmtId="164" fontId="69" fillId="0" borderId="0" xfId="1" applyNumberFormat="1" applyFont="1" applyFill="1" applyBorder="1" applyAlignment="1">
      <alignment horizontal="left"/>
    </xf>
    <xf numFmtId="9" fontId="68" fillId="0" borderId="0" xfId="0" applyNumberFormat="1" applyFont="1" applyBorder="1"/>
    <xf numFmtId="164" fontId="68" fillId="0" borderId="0" xfId="1" applyNumberFormat="1" applyFont="1" applyFill="1" applyBorder="1" applyAlignment="1">
      <alignment horizontal="center" wrapText="1"/>
    </xf>
    <xf numFmtId="168" fontId="69" fillId="0" borderId="0" xfId="6" applyNumberFormat="1" applyFont="1" applyBorder="1"/>
    <xf numFmtId="164" fontId="69" fillId="0" borderId="0" xfId="1" applyNumberFormat="1" applyFont="1" applyFill="1" applyBorder="1" applyAlignment="1">
      <alignment horizontal="center" wrapText="1"/>
    </xf>
    <xf numFmtId="0" fontId="69" fillId="0" borderId="10" xfId="0" applyNumberFormat="1" applyFont="1" applyFill="1" applyBorder="1" applyAlignment="1">
      <alignment horizontal="center"/>
    </xf>
    <xf numFmtId="164" fontId="68" fillId="0" borderId="0" xfId="1" applyNumberFormat="1" applyFont="1" applyBorder="1"/>
    <xf numFmtId="9" fontId="68" fillId="0" borderId="0" xfId="6" applyFont="1" applyBorder="1" applyAlignment="1">
      <alignment horizontal="center"/>
    </xf>
    <xf numFmtId="0" fontId="69" fillId="0" borderId="14" xfId="0" applyNumberFormat="1" applyFont="1" applyFill="1" applyBorder="1" applyAlignment="1">
      <alignment horizontal="center"/>
    </xf>
    <xf numFmtId="0" fontId="68" fillId="0" borderId="15" xfId="0" applyNumberFormat="1" applyFont="1" applyFill="1" applyBorder="1" applyAlignment="1">
      <alignment horizontal="left"/>
    </xf>
    <xf numFmtId="0" fontId="69" fillId="0" borderId="7" xfId="0" applyFont="1" applyBorder="1"/>
    <xf numFmtId="0" fontId="69" fillId="0" borderId="8" xfId="0" applyFont="1" applyBorder="1"/>
    <xf numFmtId="0" fontId="68" fillId="0" borderId="8" xfId="0" applyFont="1" applyBorder="1"/>
    <xf numFmtId="0" fontId="69" fillId="0" borderId="9" xfId="0" applyFont="1" applyBorder="1"/>
    <xf numFmtId="167" fontId="69" fillId="2" borderId="11" xfId="2" applyNumberFormat="1" applyFont="1" applyFill="1" applyBorder="1"/>
    <xf numFmtId="0" fontId="69" fillId="2" borderId="15" xfId="0" applyFont="1" applyFill="1" applyBorder="1"/>
    <xf numFmtId="167" fontId="69" fillId="0" borderId="15" xfId="2" applyNumberFormat="1" applyFont="1" applyBorder="1"/>
    <xf numFmtId="0" fontId="68" fillId="2" borderId="0" xfId="0" applyFont="1" applyFill="1" applyBorder="1"/>
    <xf numFmtId="2" fontId="69" fillId="0" borderId="0" xfId="0" applyNumberFormat="1" applyFont="1" applyFill="1" applyBorder="1" applyAlignment="1">
      <alignment horizontal="center"/>
    </xf>
    <xf numFmtId="164" fontId="68" fillId="0" borderId="0" xfId="1" applyNumberFormat="1" applyFont="1" applyBorder="1" applyAlignment="1">
      <alignment horizontal="right"/>
    </xf>
    <xf numFmtId="0" fontId="69" fillId="0" borderId="11" xfId="0" applyFont="1" applyFill="1" applyBorder="1" applyAlignment="1">
      <alignment wrapText="1"/>
    </xf>
    <xf numFmtId="0" fontId="11" fillId="0" borderId="0" xfId="5" applyFont="1" applyFill="1"/>
    <xf numFmtId="37" fontId="47" fillId="0" borderId="0" xfId="0" applyNumberFormat="1" applyFont="1" applyFill="1"/>
    <xf numFmtId="0" fontId="47" fillId="0" borderId="0" xfId="0" applyFont="1" applyFill="1"/>
    <xf numFmtId="0" fontId="47" fillId="0" borderId="0" xfId="0" applyFont="1" applyFill="1" applyBorder="1" applyAlignment="1">
      <alignment horizontal="center"/>
    </xf>
    <xf numFmtId="0" fontId="47" fillId="2" borderId="25" xfId="0" applyFont="1" applyFill="1" applyBorder="1"/>
    <xf numFmtId="0" fontId="47" fillId="0" borderId="26" xfId="0" applyFont="1" applyFill="1" applyBorder="1"/>
    <xf numFmtId="0" fontId="47" fillId="0" borderId="0" xfId="0" applyFont="1" applyBorder="1"/>
    <xf numFmtId="0" fontId="47" fillId="0" borderId="25" xfId="0" applyFont="1" applyFill="1" applyBorder="1"/>
    <xf numFmtId="0" fontId="47" fillId="2" borderId="25" xfId="0" applyFont="1" applyFill="1" applyBorder="1" applyAlignment="1">
      <alignment wrapText="1"/>
    </xf>
    <xf numFmtId="0" fontId="47" fillId="2" borderId="19" xfId="0" applyFont="1" applyFill="1" applyBorder="1"/>
    <xf numFmtId="0" fontId="40" fillId="0" borderId="24" xfId="0" applyFont="1" applyBorder="1"/>
    <xf numFmtId="0" fontId="47" fillId="0" borderId="25" xfId="0" applyFont="1" applyBorder="1"/>
    <xf numFmtId="0" fontId="40" fillId="0" borderId="27" xfId="0" applyFont="1" applyFill="1" applyBorder="1"/>
    <xf numFmtId="0" fontId="47" fillId="0" borderId="23" xfId="0" applyFont="1" applyBorder="1"/>
    <xf numFmtId="0" fontId="40" fillId="0" borderId="28" xfId="0" applyFont="1" applyFill="1" applyBorder="1"/>
    <xf numFmtId="0" fontId="47" fillId="0" borderId="21" xfId="0" applyFont="1" applyBorder="1"/>
    <xf numFmtId="0" fontId="40" fillId="0" borderId="24" xfId="0" applyFont="1" applyFill="1" applyBorder="1"/>
    <xf numFmtId="0" fontId="47" fillId="0" borderId="0" xfId="0" applyFont="1" applyBorder="1" applyAlignment="1">
      <alignment horizontal="left"/>
    </xf>
    <xf numFmtId="0" fontId="40" fillId="0" borderId="0" xfId="0" applyFont="1" applyFill="1" applyBorder="1"/>
    <xf numFmtId="0" fontId="47" fillId="0" borderId="0" xfId="0" applyFont="1" applyFill="1" applyBorder="1"/>
    <xf numFmtId="37" fontId="47" fillId="0" borderId="0" xfId="0" applyNumberFormat="1" applyFont="1" applyFill="1" applyBorder="1"/>
    <xf numFmtId="37" fontId="47" fillId="0" borderId="0" xfId="0" applyNumberFormat="1" applyFont="1" applyFill="1" applyBorder="1" applyAlignment="1">
      <alignment horizontal="center"/>
    </xf>
    <xf numFmtId="0" fontId="47" fillId="0" borderId="0" xfId="0" applyFont="1" applyFill="1" applyBorder="1" applyAlignment="1">
      <alignment wrapText="1"/>
    </xf>
    <xf numFmtId="0" fontId="40" fillId="0" borderId="18" xfId="0" applyFont="1" applyFill="1" applyBorder="1"/>
    <xf numFmtId="0" fontId="47" fillId="0" borderId="1" xfId="0" applyFont="1" applyFill="1" applyBorder="1"/>
    <xf numFmtId="0" fontId="47" fillId="0" borderId="1" xfId="0" applyFont="1" applyBorder="1"/>
    <xf numFmtId="37" fontId="47" fillId="0" borderId="1" xfId="0" applyNumberFormat="1" applyFont="1" applyFill="1" applyBorder="1"/>
    <xf numFmtId="37" fontId="47" fillId="0" borderId="1" xfId="0" applyNumberFormat="1" applyFont="1" applyFill="1" applyBorder="1" applyAlignment="1">
      <alignment horizontal="center"/>
    </xf>
    <xf numFmtId="0" fontId="47" fillId="0" borderId="19" xfId="0" applyFont="1" applyFill="1" applyBorder="1" applyAlignment="1">
      <alignment horizontal="center"/>
    </xf>
    <xf numFmtId="37" fontId="47" fillId="0" borderId="0" xfId="0" applyNumberFormat="1" applyFont="1" applyFill="1" applyBorder="1" applyAlignment="1">
      <alignment wrapText="1"/>
    </xf>
    <xf numFmtId="0" fontId="40" fillId="0" borderId="20" xfId="0" applyFont="1" applyFill="1" applyBorder="1" applyAlignment="1">
      <alignment horizontal="left"/>
    </xf>
    <xf numFmtId="0" fontId="47" fillId="0" borderId="21" xfId="0" applyFont="1" applyFill="1" applyBorder="1" applyAlignment="1">
      <alignment horizontal="center"/>
    </xf>
    <xf numFmtId="0" fontId="72" fillId="0" borderId="0" xfId="0" applyFont="1" applyFill="1" applyBorder="1" applyAlignment="1">
      <alignment wrapText="1"/>
    </xf>
    <xf numFmtId="0" fontId="40" fillId="0" borderId="22" xfId="0" applyFont="1" applyFill="1" applyBorder="1" applyAlignment="1">
      <alignment horizontal="left"/>
    </xf>
    <xf numFmtId="0" fontId="47" fillId="0" borderId="3" xfId="0" applyFont="1" applyFill="1" applyBorder="1"/>
    <xf numFmtId="0" fontId="47" fillId="0" borderId="3" xfId="0" applyFont="1" applyBorder="1"/>
    <xf numFmtId="0" fontId="47" fillId="0" borderId="3" xfId="0" applyFont="1" applyFill="1" applyBorder="1" applyAlignment="1">
      <alignment horizontal="center"/>
    </xf>
    <xf numFmtId="0" fontId="47" fillId="0" borderId="23" xfId="0" applyFont="1" applyFill="1" applyBorder="1" applyAlignment="1">
      <alignment horizontal="center"/>
    </xf>
    <xf numFmtId="0" fontId="40" fillId="0" borderId="0" xfId="0" applyFont="1" applyBorder="1" applyAlignment="1">
      <alignment horizontal="center"/>
    </xf>
    <xf numFmtId="0" fontId="47" fillId="0" borderId="0" xfId="0" applyFont="1" applyBorder="1" applyAlignment="1"/>
    <xf numFmtId="0" fontId="47" fillId="0" borderId="0" xfId="0" applyFont="1" applyFill="1" applyBorder="1" applyAlignment="1"/>
    <xf numFmtId="0" fontId="73" fillId="0" borderId="0" xfId="0" applyFont="1" applyBorder="1"/>
    <xf numFmtId="0" fontId="74" fillId="0" borderId="0" xfId="0" applyFont="1" applyBorder="1"/>
    <xf numFmtId="0" fontId="40" fillId="0" borderId="0" xfId="0" applyFont="1" applyFill="1" applyAlignment="1">
      <alignment horizontal="center"/>
    </xf>
    <xf numFmtId="0" fontId="40" fillId="0" borderId="0" xfId="0" applyFont="1" applyAlignment="1">
      <alignment horizontal="center"/>
    </xf>
    <xf numFmtId="0" fontId="50" fillId="0" borderId="0" xfId="0" applyFont="1" applyFill="1" applyAlignment="1">
      <alignment horizontal="center"/>
    </xf>
    <xf numFmtId="0" fontId="40" fillId="0" borderId="26" xfId="0" applyFont="1" applyFill="1" applyBorder="1" applyAlignment="1"/>
    <xf numFmtId="0" fontId="40" fillId="0" borderId="26" xfId="0" applyFont="1" applyFill="1" applyBorder="1"/>
    <xf numFmtId="0" fontId="40" fillId="0" borderId="29" xfId="0" applyFont="1" applyFill="1" applyBorder="1"/>
    <xf numFmtId="0" fontId="47" fillId="0" borderId="19" xfId="0" applyFont="1" applyFill="1" applyBorder="1"/>
    <xf numFmtId="0" fontId="47" fillId="0" borderId="1" xfId="0" applyFont="1" applyFill="1" applyBorder="1" applyAlignment="1">
      <alignment horizontal="center"/>
    </xf>
    <xf numFmtId="0" fontId="73" fillId="0" borderId="0" xfId="0" applyFont="1" applyFill="1" applyBorder="1" applyAlignment="1">
      <alignment horizontal="left"/>
    </xf>
    <xf numFmtId="0" fontId="50" fillId="0" borderId="0" xfId="0" applyFont="1" applyBorder="1"/>
    <xf numFmtId="0" fontId="47" fillId="0" borderId="23" xfId="0" applyFont="1" applyFill="1" applyBorder="1"/>
    <xf numFmtId="0" fontId="40" fillId="0" borderId="24" xfId="0" applyFont="1" applyBorder="1" applyAlignment="1"/>
    <xf numFmtId="164" fontId="47" fillId="0" borderId="26" xfId="1" applyNumberFormat="1" applyFont="1" applyFill="1" applyBorder="1" applyAlignment="1">
      <alignment horizontal="right"/>
    </xf>
    <xf numFmtId="0" fontId="72" fillId="0" borderId="26" xfId="0" applyFont="1" applyFill="1" applyBorder="1" applyAlignment="1">
      <alignment wrapText="1"/>
    </xf>
    <xf numFmtId="164" fontId="47" fillId="2" borderId="26" xfId="1" applyNumberFormat="1" applyFont="1" applyFill="1" applyBorder="1" applyAlignment="1">
      <alignment horizontal="right"/>
    </xf>
    <xf numFmtId="0" fontId="40" fillId="0" borderId="22" xfId="0" applyFont="1" applyFill="1" applyBorder="1"/>
    <xf numFmtId="164" fontId="47" fillId="0" borderId="0" xfId="0" applyNumberFormat="1" applyFont="1" applyFill="1" applyBorder="1" applyAlignment="1">
      <alignment wrapText="1"/>
    </xf>
    <xf numFmtId="0" fontId="40" fillId="0" borderId="0" xfId="0" applyFont="1" applyFill="1" applyBorder="1" applyAlignment="1">
      <alignment horizontal="left"/>
    </xf>
    <xf numFmtId="41" fontId="40" fillId="0" borderId="0" xfId="0" applyNumberFormat="1" applyFont="1" applyBorder="1" applyAlignment="1">
      <alignment horizontal="center"/>
    </xf>
    <xf numFmtId="41" fontId="40" fillId="0" borderId="0" xfId="0" applyNumberFormat="1" applyFont="1" applyFill="1" applyBorder="1" applyAlignment="1">
      <alignment horizontal="center"/>
    </xf>
    <xf numFmtId="0" fontId="47" fillId="0" borderId="26" xfId="0" applyFont="1" applyBorder="1" applyAlignment="1">
      <alignment horizontal="left"/>
    </xf>
    <xf numFmtId="0" fontId="47" fillId="0" borderId="26" xfId="0" applyFont="1" applyBorder="1"/>
    <xf numFmtId="164" fontId="47" fillId="0" borderId="26" xfId="1" applyNumberFormat="1" applyFont="1" applyBorder="1"/>
    <xf numFmtId="164" fontId="47" fillId="0" borderId="26" xfId="1" applyNumberFormat="1" applyFont="1" applyFill="1" applyBorder="1"/>
    <xf numFmtId="164" fontId="47" fillId="2" borderId="26" xfId="1" applyNumberFormat="1" applyFont="1" applyFill="1" applyBorder="1"/>
    <xf numFmtId="164" fontId="47" fillId="0" borderId="0" xfId="1" applyNumberFormat="1" applyFont="1" applyBorder="1"/>
    <xf numFmtId="0" fontId="47" fillId="0" borderId="0" xfId="0" applyFont="1" applyAlignment="1">
      <alignment horizontal="left"/>
    </xf>
    <xf numFmtId="167" fontId="23" fillId="2" borderId="0" xfId="2" applyNumberFormat="1" applyFont="1" applyFill="1" applyAlignment="1">
      <alignment horizontal="right"/>
    </xf>
    <xf numFmtId="178" fontId="69" fillId="0" borderId="0" xfId="1" applyNumberFormat="1" applyFont="1" applyFill="1" applyBorder="1"/>
    <xf numFmtId="0" fontId="22" fillId="0" borderId="0" xfId="0" applyFont="1" applyFill="1" applyAlignment="1">
      <alignment horizontal="center"/>
    </xf>
    <xf numFmtId="0" fontId="40" fillId="0" borderId="0" xfId="0" applyFont="1" applyFill="1"/>
    <xf numFmtId="0" fontId="12" fillId="0" borderId="0" xfId="0" applyFont="1" applyFill="1"/>
    <xf numFmtId="41" fontId="47" fillId="2" borderId="26" xfId="0" applyNumberFormat="1" applyFont="1" applyFill="1" applyBorder="1" applyAlignment="1">
      <alignment horizontal="center"/>
    </xf>
    <xf numFmtId="0" fontId="15" fillId="0" borderId="0" xfId="0" applyFont="1" applyFill="1" applyBorder="1"/>
    <xf numFmtId="164" fontId="17" fillId="0" borderId="0" xfId="0" applyNumberFormat="1" applyFont="1"/>
    <xf numFmtId="0" fontId="75" fillId="0" borderId="0" xfId="0" applyFont="1"/>
    <xf numFmtId="0" fontId="76" fillId="6" borderId="8" xfId="0" applyFont="1" applyFill="1" applyBorder="1" applyAlignment="1">
      <alignment horizontal="center"/>
    </xf>
    <xf numFmtId="0" fontId="75" fillId="0" borderId="0" xfId="0" applyNumberFormat="1" applyFont="1" applyFill="1" applyBorder="1" applyAlignment="1">
      <alignment horizontal="center"/>
    </xf>
    <xf numFmtId="0" fontId="75" fillId="0" borderId="0" xfId="0" applyFont="1" applyBorder="1"/>
    <xf numFmtId="0" fontId="75" fillId="0" borderId="10" xfId="0" applyFont="1" applyBorder="1"/>
    <xf numFmtId="0" fontId="75" fillId="0" borderId="0" xfId="0" applyNumberFormat="1" applyFont="1" applyFill="1" applyBorder="1" applyAlignment="1">
      <alignment horizontal="left"/>
    </xf>
    <xf numFmtId="0" fontId="76" fillId="0" borderId="0" xfId="0" applyFont="1" applyBorder="1" applyAlignment="1">
      <alignment horizontal="center"/>
    </xf>
    <xf numFmtId="0" fontId="75" fillId="0" borderId="6" xfId="0" applyNumberFormat="1" applyFont="1" applyFill="1" applyBorder="1" applyAlignment="1">
      <alignment horizontal="center"/>
    </xf>
    <xf numFmtId="0" fontId="75" fillId="0" borderId="15" xfId="0" applyNumberFormat="1" applyFont="1" applyFill="1" applyBorder="1" applyAlignment="1">
      <alignment horizontal="center"/>
    </xf>
    <xf numFmtId="0" fontId="75" fillId="0" borderId="14" xfId="0" applyNumberFormat="1" applyFont="1" applyFill="1" applyBorder="1" applyAlignment="1">
      <alignment horizontal="center"/>
    </xf>
    <xf numFmtId="0" fontId="75" fillId="0" borderId="15" xfId="0" applyFont="1" applyBorder="1"/>
    <xf numFmtId="0" fontId="76" fillId="0" borderId="15" xfId="0" applyFont="1" applyBorder="1"/>
    <xf numFmtId="0" fontId="75" fillId="0" borderId="14" xfId="0" applyFont="1" applyBorder="1"/>
    <xf numFmtId="0" fontId="15" fillId="0" borderId="0" xfId="0" applyNumberFormat="1" applyFont="1" applyFill="1" applyBorder="1" applyAlignment="1">
      <alignment horizontal="center"/>
    </xf>
    <xf numFmtId="0" fontId="15" fillId="0" borderId="0" xfId="0" applyFont="1" applyFill="1" applyBorder="1" applyAlignment="1"/>
    <xf numFmtId="0" fontId="15" fillId="0" borderId="0" xfId="0" applyFont="1" applyFill="1" applyAlignment="1">
      <alignment horizontal="left"/>
    </xf>
    <xf numFmtId="0" fontId="15" fillId="0" borderId="0" xfId="0" applyNumberFormat="1" applyFont="1" applyFill="1"/>
    <xf numFmtId="0" fontId="15" fillId="0" borderId="0" xfId="0" applyFont="1" applyFill="1" applyAlignment="1"/>
    <xf numFmtId="0" fontId="15" fillId="0" borderId="0" xfId="0" applyFont="1" applyBorder="1" applyAlignment="1"/>
    <xf numFmtId="0" fontId="15" fillId="0" borderId="0" xfId="0" applyNumberFormat="1" applyFont="1" applyFill="1" applyAlignment="1">
      <alignment horizontal="center"/>
    </xf>
    <xf numFmtId="170" fontId="15" fillId="0" borderId="0" xfId="4" applyFont="1" applyFill="1" applyAlignment="1" applyProtection="1">
      <protection locked="0"/>
    </xf>
    <xf numFmtId="0" fontId="68" fillId="6" borderId="8" xfId="0" applyFont="1" applyFill="1" applyBorder="1" applyAlignment="1">
      <alignment horizontal="center" wrapText="1"/>
    </xf>
    <xf numFmtId="164" fontId="78" fillId="2" borderId="0" xfId="1" applyNumberFormat="1" applyFont="1" applyFill="1" applyAlignment="1"/>
    <xf numFmtId="167" fontId="15" fillId="2" borderId="0" xfId="2" applyNumberFormat="1" applyFont="1" applyFill="1" applyAlignment="1">
      <alignment horizontal="right"/>
    </xf>
    <xf numFmtId="3" fontId="15" fillId="2" borderId="0" xfId="0" applyNumberFormat="1" applyFont="1" applyFill="1" applyAlignment="1"/>
    <xf numFmtId="167" fontId="15" fillId="0" borderId="0" xfId="2" applyNumberFormat="1" applyFont="1" applyFill="1" applyBorder="1" applyAlignment="1"/>
    <xf numFmtId="167" fontId="15" fillId="2" borderId="0" xfId="2" applyNumberFormat="1" applyFont="1" applyFill="1" applyBorder="1"/>
    <xf numFmtId="167" fontId="15" fillId="2" borderId="0" xfId="0" applyNumberFormat="1" applyFont="1" applyFill="1" applyAlignment="1"/>
    <xf numFmtId="167" fontId="15" fillId="2" borderId="0" xfId="2" applyNumberFormat="1" applyFont="1" applyFill="1" applyAlignment="1"/>
    <xf numFmtId="42" fontId="23" fillId="0" borderId="0" xfId="2" applyNumberFormat="1" applyFont="1" applyFill="1"/>
    <xf numFmtId="42" fontId="11" fillId="0" borderId="0" xfId="5" applyNumberFormat="1" applyFont="1" applyFill="1"/>
    <xf numFmtId="37" fontId="11" fillId="2" borderId="0" xfId="0" applyNumberFormat="1" applyFont="1" applyFill="1" applyAlignment="1">
      <alignment horizontal="right" wrapText="1"/>
    </xf>
    <xf numFmtId="37" fontId="11" fillId="0" borderId="0" xfId="0" applyNumberFormat="1" applyFont="1" applyFill="1" applyAlignment="1">
      <alignment horizontal="right" wrapText="1"/>
    </xf>
    <xf numFmtId="167" fontId="11" fillId="0" borderId="3" xfId="2" applyNumberFormat="1" applyFont="1" applyFill="1" applyBorder="1" applyAlignment="1">
      <alignment horizontal="right"/>
    </xf>
    <xf numFmtId="37" fontId="47" fillId="0" borderId="25" xfId="0" applyNumberFormat="1" applyFont="1" applyFill="1" applyBorder="1"/>
    <xf numFmtId="0" fontId="47" fillId="0" borderId="3" xfId="0" applyFont="1" applyBorder="1" applyAlignment="1">
      <alignment horizontal="left"/>
    </xf>
    <xf numFmtId="172" fontId="47" fillId="0" borderId="0" xfId="0" applyNumberFormat="1" applyFont="1" applyFill="1"/>
    <xf numFmtId="164" fontId="11" fillId="0" borderId="0" xfId="0" applyNumberFormat="1" applyFont="1"/>
    <xf numFmtId="164" fontId="11" fillId="2" borderId="0" xfId="0" applyNumberFormat="1" applyFont="1" applyFill="1"/>
    <xf numFmtId="164" fontId="69" fillId="0" borderId="0" xfId="0" applyNumberFormat="1" applyFont="1" applyFill="1" applyBorder="1" applyAlignment="1"/>
    <xf numFmtId="0" fontId="79" fillId="0" borderId="0" xfId="0" applyFont="1" applyFill="1"/>
    <xf numFmtId="37" fontId="47" fillId="7" borderId="26" xfId="0" applyNumberFormat="1" applyFont="1" applyFill="1" applyBorder="1"/>
    <xf numFmtId="172" fontId="11" fillId="0" borderId="0" xfId="12" applyNumberFormat="1" applyFont="1"/>
    <xf numFmtId="164" fontId="11" fillId="2" borderId="0" xfId="13" applyNumberFormat="1" applyFont="1" applyFill="1"/>
    <xf numFmtId="0" fontId="21" fillId="0" borderId="0" xfId="0" applyFont="1" applyBorder="1"/>
    <xf numFmtId="0" fontId="77" fillId="0" borderId="0" xfId="0" applyFont="1" applyFill="1"/>
    <xf numFmtId="0" fontId="77" fillId="0" borderId="0" xfId="0" applyFont="1"/>
    <xf numFmtId="164" fontId="69" fillId="2" borderId="15" xfId="1" applyNumberFormat="1" applyFont="1" applyFill="1" applyBorder="1" applyAlignment="1">
      <alignment horizontal="center"/>
    </xf>
    <xf numFmtId="10" fontId="69" fillId="2" borderId="15" xfId="6" applyNumberFormat="1" applyFont="1" applyFill="1" applyBorder="1" applyAlignment="1">
      <alignment horizontal="center"/>
    </xf>
    <xf numFmtId="0" fontId="69" fillId="2" borderId="15" xfId="0" applyFont="1" applyFill="1" applyBorder="1" applyAlignment="1">
      <alignment horizontal="center"/>
    </xf>
    <xf numFmtId="164" fontId="70" fillId="2" borderId="0" xfId="1" applyNumberFormat="1" applyFont="1" applyFill="1" applyBorder="1" applyAlignment="1">
      <alignment horizontal="right"/>
    </xf>
    <xf numFmtId="164" fontId="68" fillId="2" borderId="0" xfId="1" applyNumberFormat="1" applyFont="1" applyFill="1" applyBorder="1"/>
    <xf numFmtId="164" fontId="100" fillId="2" borderId="0" xfId="1" applyNumberFormat="1" applyFont="1" applyFill="1" applyBorder="1"/>
    <xf numFmtId="0" fontId="47" fillId="7" borderId="25" xfId="0" applyFont="1" applyFill="1" applyBorder="1"/>
    <xf numFmtId="167" fontId="69" fillId="2" borderId="0" xfId="2" applyNumberFormat="1" applyFont="1" applyFill="1" applyBorder="1"/>
    <xf numFmtId="167" fontId="69" fillId="2" borderId="15" xfId="2" applyNumberFormat="1" applyFont="1" applyFill="1" applyBorder="1"/>
    <xf numFmtId="168" fontId="69" fillId="0" borderId="0" xfId="1" applyNumberFormat="1" applyFont="1" applyBorder="1"/>
    <xf numFmtId="1" fontId="69" fillId="2" borderId="0" xfId="0" applyNumberFormat="1" applyFont="1" applyFill="1" applyBorder="1" applyAlignment="1">
      <alignment horizontal="right"/>
    </xf>
    <xf numFmtId="10" fontId="15" fillId="2" borderId="0" xfId="0" applyNumberFormat="1" applyFont="1" applyFill="1"/>
    <xf numFmtId="0" fontId="11" fillId="0" borderId="0" xfId="0" applyFont="1"/>
    <xf numFmtId="164" fontId="11" fillId="0" borderId="0" xfId="118" applyNumberFormat="1" applyFont="1"/>
    <xf numFmtId="164" fontId="11" fillId="0" borderId="0" xfId="13" applyNumberFormat="1" applyFont="1"/>
    <xf numFmtId="164" fontId="11" fillId="0" borderId="0" xfId="13" applyNumberFormat="1" applyFont="1" applyFill="1"/>
    <xf numFmtId="164" fontId="11" fillId="0" borderId="10" xfId="13" applyNumberFormat="1" applyFont="1" applyBorder="1" applyAlignment="1">
      <alignment horizontal="center"/>
    </xf>
    <xf numFmtId="164" fontId="11" fillId="0" borderId="10" xfId="118" applyNumberFormat="1" applyFont="1" applyBorder="1" applyAlignment="1">
      <alignment horizontal="center"/>
    </xf>
    <xf numFmtId="164" fontId="11" fillId="0" borderId="0" xfId="118" applyNumberFormat="1" applyFont="1" applyBorder="1"/>
    <xf numFmtId="172" fontId="11" fillId="0" borderId="11" xfId="119" applyNumberFormat="1" applyFont="1" applyBorder="1" applyAlignment="1">
      <alignment horizontal="center"/>
    </xf>
    <xf numFmtId="164" fontId="11" fillId="0" borderId="0" xfId="13" applyNumberFormat="1" applyFont="1" applyBorder="1"/>
    <xf numFmtId="164" fontId="11" fillId="2" borderId="11" xfId="13" applyNumberFormat="1" applyFont="1" applyFill="1" applyBorder="1" applyAlignment="1">
      <alignment horizontal="center"/>
    </xf>
    <xf numFmtId="164" fontId="11" fillId="0" borderId="10" xfId="13" applyNumberFormat="1" applyFont="1" applyBorder="1"/>
    <xf numFmtId="164" fontId="11" fillId="2" borderId="11" xfId="13" applyNumberFormat="1" applyFont="1" applyFill="1" applyBorder="1"/>
    <xf numFmtId="164" fontId="11" fillId="2" borderId="11" xfId="118" applyNumberFormat="1" applyFont="1" applyFill="1" applyBorder="1"/>
    <xf numFmtId="164" fontId="77" fillId="0" borderId="0" xfId="118" applyNumberFormat="1" applyFont="1" applyBorder="1"/>
    <xf numFmtId="164" fontId="11" fillId="0" borderId="10" xfId="118" applyNumberFormat="1" applyFont="1" applyBorder="1"/>
    <xf numFmtId="164" fontId="11" fillId="0" borderId="11" xfId="13" applyNumberFormat="1" applyFont="1" applyBorder="1" applyAlignment="1">
      <alignment horizontal="center"/>
    </xf>
    <xf numFmtId="164" fontId="11" fillId="0" borderId="11" xfId="13" applyNumberFormat="1" applyFont="1" applyBorder="1"/>
    <xf numFmtId="164" fontId="11" fillId="0" borderId="11" xfId="118" applyNumberFormat="1" applyFont="1" applyBorder="1"/>
    <xf numFmtId="164" fontId="11" fillId="0" borderId="0" xfId="13" applyNumberFormat="1" applyFont="1" applyFill="1" applyBorder="1"/>
    <xf numFmtId="164" fontId="11" fillId="0" borderId="10" xfId="13" applyNumberFormat="1" applyFont="1" applyFill="1" applyBorder="1"/>
    <xf numFmtId="164" fontId="11" fillId="0" borderId="0" xfId="118" applyNumberFormat="1" applyFont="1" applyFill="1" applyBorder="1"/>
    <xf numFmtId="164" fontId="11" fillId="0" borderId="10" xfId="118" applyNumberFormat="1" applyFont="1" applyFill="1" applyBorder="1"/>
    <xf numFmtId="164" fontId="12" fillId="0" borderId="9" xfId="13" applyNumberFormat="1" applyFont="1" applyBorder="1" applyAlignment="1">
      <alignment horizontal="center"/>
    </xf>
    <xf numFmtId="164" fontId="12" fillId="0" borderId="9" xfId="118" applyNumberFormat="1" applyFont="1" applyBorder="1" applyAlignment="1">
      <alignment horizontal="center"/>
    </xf>
    <xf numFmtId="164" fontId="11" fillId="0" borderId="0" xfId="0" applyNumberFormat="1" applyFont="1" applyFill="1" applyBorder="1"/>
    <xf numFmtId="10" fontId="77" fillId="0" borderId="0" xfId="119" applyNumberFormat="1" applyFont="1"/>
    <xf numFmtId="164" fontId="11" fillId="0" borderId="0" xfId="118" applyNumberFormat="1" applyFont="1" applyBorder="1" applyAlignment="1">
      <alignment horizontal="center"/>
    </xf>
    <xf numFmtId="43" fontId="11" fillId="0" borderId="0" xfId="0" applyNumberFormat="1" applyFont="1"/>
    <xf numFmtId="176" fontId="11" fillId="0" borderId="0" xfId="13" applyNumberFormat="1"/>
    <xf numFmtId="164" fontId="77" fillId="0" borderId="0" xfId="13" applyNumberFormat="1" applyFont="1" applyFill="1"/>
    <xf numFmtId="164" fontId="11" fillId="0" borderId="0" xfId="13" applyNumberFormat="1"/>
    <xf numFmtId="164" fontId="11" fillId="0" borderId="0" xfId="118" applyNumberFormat="1"/>
    <xf numFmtId="0" fontId="101" fillId="3" borderId="0" xfId="0" applyFont="1" applyFill="1" applyBorder="1" applyAlignment="1">
      <alignment horizontal="left"/>
    </xf>
    <xf numFmtId="0" fontId="101" fillId="56" borderId="45" xfId="0" applyFont="1" applyFill="1" applyBorder="1" applyAlignment="1">
      <alignment horizontal="left"/>
    </xf>
    <xf numFmtId="0" fontId="17" fillId="56" borderId="46" xfId="0" applyFont="1" applyFill="1" applyBorder="1" applyAlignment="1"/>
    <xf numFmtId="0" fontId="13" fillId="56" borderId="46" xfId="0" applyNumberFormat="1" applyFont="1" applyFill="1" applyBorder="1" applyAlignment="1">
      <alignment horizontal="center"/>
    </xf>
    <xf numFmtId="0" fontId="17" fillId="56" borderId="46" xfId="0" applyFont="1" applyFill="1" applyBorder="1"/>
    <xf numFmtId="0" fontId="17" fillId="56" borderId="47" xfId="0" applyFont="1" applyFill="1" applyBorder="1"/>
    <xf numFmtId="3" fontId="15" fillId="0" borderId="0" xfId="0" applyNumberFormat="1" applyFont="1" applyBorder="1" applyAlignment="1">
      <alignment horizontal="left"/>
    </xf>
    <xf numFmtId="164" fontId="11" fillId="0" borderId="8" xfId="118" applyNumberFormat="1" applyBorder="1"/>
    <xf numFmtId="164" fontId="11" fillId="0" borderId="0" xfId="118" applyNumberFormat="1" applyBorder="1"/>
    <xf numFmtId="164" fontId="11" fillId="0" borderId="15" xfId="118" applyNumberFormat="1" applyBorder="1"/>
    <xf numFmtId="164" fontId="103" fillId="0" borderId="0" xfId="1" applyNumberFormat="1" applyFont="1" applyFill="1" applyBorder="1" applyAlignment="1"/>
    <xf numFmtId="37" fontId="17" fillId="0" borderId="0" xfId="0" applyNumberFormat="1" applyFont="1" applyFill="1" applyAlignment="1"/>
    <xf numFmtId="37" fontId="15" fillId="2" borderId="3" xfId="0" applyNumberFormat="1" applyFont="1" applyFill="1" applyBorder="1" applyAlignment="1"/>
    <xf numFmtId="37" fontId="15" fillId="2" borderId="0" xfId="0" applyNumberFormat="1" applyFont="1" applyFill="1" applyAlignment="1"/>
    <xf numFmtId="37" fontId="17" fillId="0" borderId="0" xfId="0" applyNumberFormat="1" applyFont="1"/>
    <xf numFmtId="37" fontId="15" fillId="0" borderId="0" xfId="0" applyNumberFormat="1" applyFont="1" applyFill="1" applyAlignment="1"/>
    <xf numFmtId="164" fontId="15" fillId="0" borderId="0" xfId="0" applyNumberFormat="1" applyFont="1"/>
    <xf numFmtId="178" fontId="68" fillId="2" borderId="15" xfId="1" applyNumberFormat="1" applyFont="1" applyFill="1" applyBorder="1" applyAlignment="1">
      <alignment horizontal="center"/>
    </xf>
    <xf numFmtId="164" fontId="52" fillId="2" borderId="0" xfId="1" applyNumberFormat="1" applyFont="1" applyFill="1" applyAlignment="1">
      <alignment wrapText="1"/>
    </xf>
    <xf numFmtId="164" fontId="11" fillId="2" borderId="0" xfId="1" applyNumberFormat="1" applyFont="1" applyFill="1" applyAlignment="1">
      <alignment wrapText="1"/>
    </xf>
    <xf numFmtId="164" fontId="11" fillId="2" borderId="0" xfId="1" applyNumberFormat="1" applyFont="1" applyFill="1" applyAlignment="1">
      <alignment vertical="center" wrapText="1"/>
    </xf>
    <xf numFmtId="164" fontId="11" fillId="2" borderId="0" xfId="1" applyNumberFormat="1" applyFont="1" applyFill="1" applyAlignment="1"/>
    <xf numFmtId="3" fontId="15" fillId="2" borderId="0" xfId="0" applyNumberFormat="1" applyFont="1" applyFill="1" applyAlignment="1">
      <alignment horizontal="right"/>
    </xf>
    <xf numFmtId="167" fontId="11" fillId="2" borderId="0" xfId="2" applyNumberFormat="1" applyFont="1" applyFill="1" applyAlignment="1">
      <alignment horizontal="right" wrapText="1"/>
    </xf>
    <xf numFmtId="42" fontId="11" fillId="2" borderId="0" xfId="0" applyNumberFormat="1" applyFont="1" applyFill="1" applyAlignment="1">
      <alignment horizontal="right"/>
    </xf>
    <xf numFmtId="41" fontId="11" fillId="2" borderId="0" xfId="0" applyNumberFormat="1" applyFont="1" applyFill="1" applyAlignment="1">
      <alignment horizontal="right"/>
    </xf>
    <xf numFmtId="5" fontId="69" fillId="2" borderId="15" xfId="0" applyNumberFormat="1" applyFont="1" applyFill="1" applyBorder="1" applyAlignment="1">
      <alignment horizontal="center"/>
    </xf>
    <xf numFmtId="164" fontId="69" fillId="2" borderId="15" xfId="0" applyNumberFormat="1" applyFont="1" applyFill="1" applyBorder="1" applyAlignment="1">
      <alignment horizontal="center"/>
    </xf>
    <xf numFmtId="167" fontId="69" fillId="2" borderId="0" xfId="2" applyNumberFormat="1" applyFont="1" applyFill="1" applyAlignment="1">
      <alignment horizontal="right"/>
    </xf>
    <xf numFmtId="164" fontId="11" fillId="0" borderId="6" xfId="118" applyNumberFormat="1" applyFont="1" applyBorder="1"/>
    <xf numFmtId="164" fontId="11" fillId="0" borderId="15" xfId="118" applyNumberFormat="1" applyFont="1" applyBorder="1"/>
    <xf numFmtId="164" fontId="11" fillId="0" borderId="14" xfId="118" applyNumberFormat="1" applyFont="1" applyBorder="1"/>
    <xf numFmtId="0" fontId="77" fillId="0" borderId="0" xfId="10" applyFont="1"/>
    <xf numFmtId="0" fontId="11" fillId="0" borderId="0" xfId="10" applyFont="1"/>
    <xf numFmtId="0" fontId="11" fillId="0" borderId="0" xfId="10" applyFont="1" applyFill="1"/>
    <xf numFmtId="0" fontId="11" fillId="0" borderId="0" xfId="10" applyFill="1"/>
    <xf numFmtId="0" fontId="11" fillId="0" borderId="0" xfId="10"/>
    <xf numFmtId="177" fontId="17" fillId="0" borderId="0" xfId="0" applyNumberFormat="1" applyFont="1" applyBorder="1" applyAlignment="1">
      <alignment horizontal="left"/>
    </xf>
    <xf numFmtId="43" fontId="15" fillId="2" borderId="0" xfId="1" applyNumberFormat="1" applyFont="1" applyFill="1"/>
    <xf numFmtId="168" fontId="15" fillId="0" borderId="0" xfId="0" applyNumberFormat="1" applyFont="1" applyBorder="1" applyAlignment="1">
      <alignment horizontal="left"/>
    </xf>
    <xf numFmtId="0" fontId="40" fillId="0" borderId="1" xfId="0" applyFont="1" applyFill="1" applyBorder="1"/>
    <xf numFmtId="0" fontId="40" fillId="0" borderId="3" xfId="0" applyFont="1" applyFill="1" applyBorder="1" applyAlignment="1">
      <alignment horizontal="left"/>
    </xf>
    <xf numFmtId="41" fontId="79" fillId="2" borderId="26" xfId="1" applyNumberFormat="1" applyFont="1" applyFill="1" applyBorder="1"/>
    <xf numFmtId="0" fontId="47" fillId="2" borderId="78" xfId="0" applyFont="1" applyFill="1" applyBorder="1"/>
    <xf numFmtId="0" fontId="47" fillId="2" borderId="103" xfId="0" applyFont="1" applyFill="1" applyBorder="1"/>
    <xf numFmtId="37" fontId="47" fillId="2" borderId="26" xfId="0" applyNumberFormat="1" applyFont="1" applyFill="1" applyBorder="1"/>
    <xf numFmtId="37" fontId="47" fillId="0" borderId="26" xfId="0" applyNumberFormat="1" applyFont="1" applyFill="1" applyBorder="1"/>
    <xf numFmtId="0" fontId="47" fillId="0" borderId="26" xfId="0" applyFont="1" applyFill="1" applyBorder="1" applyAlignment="1">
      <alignment wrapText="1"/>
    </xf>
    <xf numFmtId="0" fontId="72" fillId="2" borderId="26" xfId="0" applyFont="1" applyFill="1" applyBorder="1" applyAlignment="1">
      <alignment wrapText="1"/>
    </xf>
    <xf numFmtId="0" fontId="47" fillId="2" borderId="122" xfId="0" applyFont="1" applyFill="1" applyBorder="1"/>
    <xf numFmtId="0" fontId="47" fillId="2" borderId="192" xfId="0" applyFont="1" applyFill="1" applyBorder="1"/>
    <xf numFmtId="0" fontId="47" fillId="2" borderId="23" xfId="0" applyFont="1" applyFill="1" applyBorder="1"/>
    <xf numFmtId="0" fontId="47" fillId="2" borderId="252" xfId="0" applyFont="1" applyFill="1" applyBorder="1"/>
    <xf numFmtId="0" fontId="47" fillId="2" borderId="271" xfId="0" applyFont="1" applyFill="1" applyBorder="1"/>
    <xf numFmtId="0" fontId="47" fillId="2" borderId="331" xfId="0" applyFont="1" applyFill="1" applyBorder="1"/>
    <xf numFmtId="0" fontId="47" fillId="0" borderId="0" xfId="0" applyFont="1"/>
    <xf numFmtId="41" fontId="47" fillId="0" borderId="26" xfId="1" applyNumberFormat="1" applyFont="1" applyFill="1" applyBorder="1"/>
    <xf numFmtId="0" fontId="47" fillId="0" borderId="0" xfId="0" applyFont="1" applyBorder="1"/>
    <xf numFmtId="41" fontId="47" fillId="2" borderId="26" xfId="1" applyNumberFormat="1" applyFont="1" applyFill="1" applyBorder="1"/>
    <xf numFmtId="0" fontId="47" fillId="2" borderId="26" xfId="0" applyFont="1" applyFill="1" applyBorder="1" applyAlignment="1">
      <alignment wrapText="1"/>
    </xf>
    <xf numFmtId="0" fontId="0" fillId="0" borderId="0" xfId="0" applyAlignment="1">
      <alignment horizontal="center"/>
    </xf>
    <xf numFmtId="0" fontId="23" fillId="0" borderId="0" xfId="0" applyFont="1" applyFill="1" applyAlignment="1">
      <alignment horizontal="left" vertical="center" wrapText="1"/>
    </xf>
    <xf numFmtId="0" fontId="68" fillId="6" borderId="8" xfId="0" applyFont="1" applyFill="1" applyBorder="1" applyAlignment="1">
      <alignment horizontal="center" wrapText="1"/>
    </xf>
    <xf numFmtId="0" fontId="68" fillId="0" borderId="0" xfId="0" applyFont="1" applyFill="1" applyBorder="1" applyAlignment="1">
      <alignment horizontal="center" wrapText="1"/>
    </xf>
    <xf numFmtId="0" fontId="69" fillId="0" borderId="0" xfId="0" applyFont="1" applyFill="1" applyBorder="1" applyAlignment="1">
      <alignment horizontal="center" wrapText="1"/>
    </xf>
    <xf numFmtId="0" fontId="69" fillId="0" borderId="10" xfId="0" applyFont="1" applyFill="1" applyBorder="1" applyAlignment="1">
      <alignment horizontal="center" wrapText="1"/>
    </xf>
    <xf numFmtId="0" fontId="68" fillId="0" borderId="10" xfId="0" applyFont="1" applyFill="1" applyBorder="1" applyAlignment="1">
      <alignment horizontal="center" wrapText="1"/>
    </xf>
    <xf numFmtId="3" fontId="69" fillId="0" borderId="0" xfId="0" applyNumberFormat="1" applyFont="1" applyBorder="1" applyAlignment="1">
      <alignment horizontal="left" wrapText="1"/>
    </xf>
    <xf numFmtId="0" fontId="69" fillId="0" borderId="0" xfId="0" applyFont="1" applyBorder="1" applyAlignment="1">
      <alignment wrapText="1"/>
    </xf>
    <xf numFmtId="0" fontId="69" fillId="0" borderId="10" xfId="0" applyFont="1" applyBorder="1" applyAlignment="1">
      <alignment wrapText="1"/>
    </xf>
    <xf numFmtId="0" fontId="69" fillId="0" borderId="14" xfId="0" applyFont="1" applyBorder="1" applyAlignment="1">
      <alignment wrapText="1"/>
    </xf>
    <xf numFmtId="0" fontId="69" fillId="0" borderId="0" xfId="0" applyFont="1" applyFill="1" applyBorder="1" applyAlignment="1">
      <alignment horizontal="left"/>
    </xf>
    <xf numFmtId="0" fontId="69" fillId="2" borderId="0" xfId="0" applyFont="1" applyFill="1" applyBorder="1"/>
    <xf numFmtId="0" fontId="11" fillId="0" borderId="0" xfId="12" applyNumberFormat="1" applyFont="1"/>
    <xf numFmtId="0" fontId="11" fillId="0" borderId="0" xfId="12" applyNumberFormat="1" applyFont="1" applyAlignment="1">
      <alignment horizontal="right" indent="2"/>
    </xf>
    <xf numFmtId="0" fontId="11" fillId="0" borderId="0" xfId="12" applyNumberFormat="1" applyFont="1" applyFill="1" applyAlignment="1">
      <alignment horizontal="right" indent="2"/>
    </xf>
    <xf numFmtId="10" fontId="11" fillId="0" borderId="0" xfId="6" applyNumberFormat="1" applyFont="1" applyFill="1" applyAlignment="1">
      <alignment horizontal="right" indent="2"/>
    </xf>
    <xf numFmtId="0" fontId="12" fillId="0" borderId="0" xfId="0" applyFont="1" applyAlignment="1">
      <alignment horizontal="center"/>
    </xf>
    <xf numFmtId="0" fontId="23" fillId="0" borderId="0" xfId="0" applyFont="1" applyAlignment="1">
      <alignment horizontal="center"/>
    </xf>
    <xf numFmtId="0" fontId="47" fillId="0" borderId="0" xfId="0" applyFont="1" applyBorder="1" applyAlignment="1">
      <alignment horizontal="center"/>
    </xf>
    <xf numFmtId="0" fontId="0" fillId="0" borderId="0" xfId="0" applyAlignment="1">
      <alignment horizontal="center"/>
    </xf>
    <xf numFmtId="0" fontId="68" fillId="6" borderId="8" xfId="0" applyFont="1" applyFill="1" applyBorder="1" applyAlignment="1">
      <alignment horizontal="center" wrapText="1"/>
    </xf>
    <xf numFmtId="167" fontId="69" fillId="2" borderId="6" xfId="2" applyNumberFormat="1" applyFont="1" applyFill="1" applyBorder="1"/>
    <xf numFmtId="164" fontId="68" fillId="2" borderId="15" xfId="1" applyNumberFormat="1" applyFont="1" applyFill="1" applyBorder="1" applyAlignment="1">
      <alignment horizontal="center"/>
    </xf>
    <xf numFmtId="10" fontId="11" fillId="0" borderId="0" xfId="12" applyNumberFormat="1" applyFont="1"/>
    <xf numFmtId="10" fontId="11" fillId="0" borderId="0" xfId="12" applyNumberFormat="1" applyFont="1" applyAlignment="1">
      <alignment horizontal="centerContinuous"/>
    </xf>
    <xf numFmtId="10" fontId="12" fillId="0" borderId="0" xfId="12" applyNumberFormat="1" applyFont="1" applyAlignment="1">
      <alignment horizontal="center"/>
    </xf>
    <xf numFmtId="10" fontId="11" fillId="0" borderId="0" xfId="12" applyNumberFormat="1" applyFont="1" applyAlignment="1">
      <alignment horizontal="center"/>
    </xf>
    <xf numFmtId="10" fontId="48" fillId="0" borderId="0" xfId="12" applyNumberFormat="1" applyFont="1" applyBorder="1"/>
    <xf numFmtId="10" fontId="11" fillId="0" borderId="0" xfId="12" applyNumberFormat="1" applyFont="1" applyBorder="1" applyAlignment="1">
      <alignment horizontal="center"/>
    </xf>
    <xf numFmtId="10" fontId="48" fillId="0" borderId="0" xfId="12" applyNumberFormat="1" applyFont="1" applyBorder="1" applyAlignment="1">
      <alignment horizontal="center"/>
    </xf>
    <xf numFmtId="10" fontId="11" fillId="0" borderId="0" xfId="12" applyNumberFormat="1" applyFont="1" applyFill="1" applyAlignment="1">
      <alignment horizontal="right" indent="2"/>
    </xf>
    <xf numFmtId="10" fontId="11" fillId="0" borderId="0" xfId="12" applyNumberFormat="1" applyFont="1" applyAlignment="1">
      <alignment horizontal="right" indent="2"/>
    </xf>
    <xf numFmtId="10" fontId="0" fillId="0" borderId="0" xfId="12" applyNumberFormat="1" applyFont="1"/>
    <xf numFmtId="10" fontId="0" fillId="0" borderId="0" xfId="12" applyNumberFormat="1" applyFont="1" applyAlignment="1">
      <alignment horizontal="right" indent="2"/>
    </xf>
    <xf numFmtId="10" fontId="62" fillId="0" borderId="0" xfId="12" applyNumberFormat="1" applyFont="1"/>
    <xf numFmtId="41" fontId="47" fillId="7" borderId="26" xfId="1" applyNumberFormat="1" applyFont="1" applyFill="1" applyBorder="1"/>
    <xf numFmtId="0" fontId="11" fillId="0" borderId="0" xfId="10" applyFont="1" applyAlignment="1">
      <alignment horizontal="center"/>
    </xf>
    <xf numFmtId="0" fontId="20" fillId="0" borderId="0" xfId="10" applyNumberFormat="1" applyFont="1" applyFill="1"/>
    <xf numFmtId="0" fontId="11" fillId="0" borderId="0" xfId="10" applyFont="1" applyAlignment="1">
      <alignment horizontal="left"/>
    </xf>
    <xf numFmtId="0" fontId="12" fillId="0" borderId="0" xfId="10" applyFont="1" applyAlignment="1">
      <alignment horizontal="left"/>
    </xf>
    <xf numFmtId="0" fontId="19" fillId="0" borderId="0" xfId="10" applyNumberFormat="1" applyFont="1" applyFill="1"/>
    <xf numFmtId="0" fontId="22" fillId="0" borderId="0" xfId="10" applyFont="1" applyFill="1"/>
    <xf numFmtId="0" fontId="106" fillId="0" borderId="0" xfId="10" applyFont="1" applyFill="1"/>
    <xf numFmtId="0" fontId="77" fillId="0" borderId="0" xfId="10" applyFont="1" applyFill="1"/>
    <xf numFmtId="0" fontId="106" fillId="0" borderId="0" xfId="10" applyFont="1"/>
    <xf numFmtId="164" fontId="11" fillId="0" borderId="0" xfId="10" applyNumberFormat="1" applyFont="1"/>
    <xf numFmtId="0" fontId="12" fillId="0" borderId="0" xfId="10" applyFont="1"/>
    <xf numFmtId="0" fontId="12" fillId="0" borderId="0" xfId="10" applyFont="1" applyFill="1"/>
    <xf numFmtId="0" fontId="22" fillId="0" borderId="0" xfId="10" applyFont="1" applyFill="1" applyAlignment="1"/>
    <xf numFmtId="0" fontId="11" fillId="0" borderId="0" xfId="10" applyFont="1" applyFill="1" applyAlignment="1"/>
    <xf numFmtId="0" fontId="11" fillId="0" borderId="0" xfId="10" applyFont="1" applyFill="1" applyAlignment="1">
      <alignment wrapText="1"/>
    </xf>
    <xf numFmtId="0" fontId="11" fillId="0" borderId="7" xfId="10" applyFont="1" applyFill="1" applyBorder="1"/>
    <xf numFmtId="0" fontId="12" fillId="0" borderId="30" xfId="10" applyFont="1" applyBorder="1" applyAlignment="1">
      <alignment horizontal="center"/>
    </xf>
    <xf numFmtId="0" fontId="11" fillId="0" borderId="9" xfId="10" applyFont="1" applyBorder="1"/>
    <xf numFmtId="0" fontId="11" fillId="0" borderId="11" xfId="10" applyFont="1" applyFill="1" applyBorder="1"/>
    <xf numFmtId="0" fontId="11" fillId="0" borderId="0" xfId="10" applyFont="1" applyBorder="1" applyAlignment="1">
      <alignment horizontal="center"/>
    </xf>
    <xf numFmtId="0" fontId="11" fillId="2" borderId="11" xfId="10" applyFont="1" applyFill="1" applyBorder="1" applyAlignment="1">
      <alignment horizontal="center"/>
    </xf>
    <xf numFmtId="0" fontId="11" fillId="0" borderId="10" xfId="10" applyFont="1" applyBorder="1" applyAlignment="1">
      <alignment horizontal="center"/>
    </xf>
    <xf numFmtId="0" fontId="11" fillId="0" borderId="0" xfId="10" applyFont="1" applyFill="1" applyBorder="1" applyAlignment="1">
      <alignment horizontal="center"/>
    </xf>
    <xf numFmtId="0" fontId="11" fillId="0" borderId="0" xfId="10" applyFont="1" applyFill="1" applyBorder="1" applyAlignment="1"/>
    <xf numFmtId="164" fontId="11" fillId="0" borderId="31" xfId="10" applyNumberFormat="1" applyFont="1" applyBorder="1"/>
    <xf numFmtId="164" fontId="11" fillId="0" borderId="11" xfId="10" applyNumberFormat="1" applyFont="1" applyBorder="1"/>
    <xf numFmtId="0" fontId="11" fillId="0" borderId="10" xfId="10" applyFont="1" applyBorder="1"/>
    <xf numFmtId="0" fontId="11" fillId="0" borderId="0" xfId="10" applyFont="1" applyBorder="1"/>
    <xf numFmtId="0" fontId="11" fillId="0" borderId="0" xfId="10" applyFont="1" applyBorder="1" applyAlignment="1">
      <alignment horizontal="left"/>
    </xf>
    <xf numFmtId="0" fontId="11" fillId="0" borderId="0" xfId="10" applyFont="1" applyFill="1" applyBorder="1" applyAlignment="1">
      <alignment horizontal="left"/>
    </xf>
    <xf numFmtId="0" fontId="11" fillId="0" borderId="0" xfId="10" applyBorder="1"/>
    <xf numFmtId="0" fontId="11" fillId="0" borderId="10" xfId="10" applyFont="1" applyFill="1" applyBorder="1" applyAlignment="1"/>
    <xf numFmtId="0" fontId="11" fillId="0" borderId="31" xfId="10" applyFont="1" applyBorder="1"/>
    <xf numFmtId="0" fontId="11" fillId="0" borderId="11" xfId="10" applyFont="1" applyBorder="1"/>
    <xf numFmtId="172" fontId="11" fillId="2" borderId="11" xfId="10" applyNumberFormat="1" applyFont="1" applyFill="1" applyBorder="1" applyAlignment="1">
      <alignment horizontal="center"/>
    </xf>
    <xf numFmtId="0" fontId="77" fillId="0" borderId="0" xfId="10" applyFont="1" applyBorder="1" applyAlignment="1">
      <alignment horizontal="left"/>
    </xf>
    <xf numFmtId="172" fontId="11" fillId="0" borderId="11" xfId="12" applyNumberFormat="1" applyFont="1" applyBorder="1" applyAlignment="1">
      <alignment horizontal="center"/>
    </xf>
    <xf numFmtId="164" fontId="11" fillId="0" borderId="31" xfId="10" applyNumberFormat="1" applyFont="1" applyBorder="1" applyAlignment="1">
      <alignment horizontal="center"/>
    </xf>
    <xf numFmtId="0" fontId="11" fillId="0" borderId="11" xfId="10" applyFont="1" applyBorder="1" applyAlignment="1">
      <alignment horizontal="center"/>
    </xf>
    <xf numFmtId="164" fontId="11" fillId="0" borderId="0" xfId="10" applyNumberFormat="1"/>
    <xf numFmtId="0" fontId="11" fillId="0" borderId="31" xfId="10" applyFont="1" applyBorder="1" applyAlignment="1">
      <alignment horizontal="center"/>
    </xf>
    <xf numFmtId="0" fontId="11" fillId="0" borderId="11" xfId="10" applyFont="1" applyFill="1" applyBorder="1" applyAlignment="1">
      <alignment horizontal="center"/>
    </xf>
    <xf numFmtId="0" fontId="11" fillId="0" borderId="10" xfId="10" applyFont="1" applyFill="1" applyBorder="1" applyAlignment="1">
      <alignment horizontal="center"/>
    </xf>
    <xf numFmtId="0" fontId="11" fillId="0" borderId="6" xfId="10" applyFont="1" applyBorder="1" applyAlignment="1">
      <alignment horizontal="center"/>
    </xf>
    <xf numFmtId="0" fontId="11" fillId="0" borderId="14" xfId="10" applyFont="1" applyBorder="1" applyAlignment="1">
      <alignment horizontal="center"/>
    </xf>
    <xf numFmtId="0" fontId="12" fillId="0" borderId="7" xfId="10" applyFont="1" applyBorder="1" applyAlignment="1"/>
    <xf numFmtId="0" fontId="11" fillId="0" borderId="11" xfId="10" applyFont="1" applyBorder="1" applyAlignment="1"/>
    <xf numFmtId="1" fontId="11" fillId="0" borderId="10" xfId="10" applyNumberFormat="1" applyFont="1" applyBorder="1" applyAlignment="1"/>
    <xf numFmtId="164" fontId="11" fillId="0" borderId="11" xfId="1" applyNumberFormat="1" applyFont="1" applyBorder="1"/>
    <xf numFmtId="164" fontId="11" fillId="0" borderId="0" xfId="1" applyNumberFormat="1" applyFont="1" applyBorder="1"/>
    <xf numFmtId="164" fontId="11" fillId="0" borderId="10" xfId="1" applyNumberFormat="1" applyFont="1" applyBorder="1"/>
    <xf numFmtId="164" fontId="11" fillId="0" borderId="11" xfId="10" applyNumberFormat="1" applyFont="1" applyBorder="1" applyAlignment="1"/>
    <xf numFmtId="164" fontId="11" fillId="0" borderId="0" xfId="10" applyNumberFormat="1" applyFont="1" applyBorder="1"/>
    <xf numFmtId="164" fontId="11" fillId="0" borderId="0" xfId="10" applyNumberFormat="1" applyFont="1" applyFill="1" applyBorder="1"/>
    <xf numFmtId="164" fontId="11" fillId="0" borderId="11" xfId="10" applyNumberFormat="1" applyFont="1" applyFill="1" applyBorder="1" applyAlignment="1"/>
    <xf numFmtId="1" fontId="11" fillId="0" borderId="10" xfId="10" applyNumberFormat="1" applyFont="1" applyFill="1" applyBorder="1" applyAlignment="1"/>
    <xf numFmtId="164" fontId="11" fillId="0" borderId="11" xfId="10" applyNumberFormat="1" applyFont="1" applyFill="1" applyBorder="1"/>
    <xf numFmtId="164" fontId="11" fillId="0" borderId="31" xfId="10" applyNumberFormat="1" applyFont="1" applyFill="1" applyBorder="1"/>
    <xf numFmtId="164" fontId="11" fillId="0" borderId="0" xfId="10" applyNumberFormat="1" applyFont="1" applyFill="1" applyBorder="1" applyAlignment="1"/>
    <xf numFmtId="164" fontId="11" fillId="0" borderId="10" xfId="10" applyNumberFormat="1" applyFont="1" applyFill="1" applyBorder="1" applyAlignment="1"/>
    <xf numFmtId="164" fontId="11" fillId="0" borderId="31" xfId="10" applyNumberFormat="1" applyFont="1" applyFill="1" applyBorder="1" applyAlignment="1"/>
    <xf numFmtId="164" fontId="11" fillId="57" borderId="11" xfId="10" applyNumberFormat="1" applyFont="1" applyFill="1" applyBorder="1" applyAlignment="1"/>
    <xf numFmtId="1" fontId="11" fillId="57" borderId="10" xfId="10" applyNumberFormat="1" applyFont="1" applyFill="1" applyBorder="1" applyAlignment="1"/>
    <xf numFmtId="164" fontId="11" fillId="57" borderId="11" xfId="10" applyNumberFormat="1" applyFont="1" applyFill="1" applyBorder="1"/>
    <xf numFmtId="164" fontId="11" fillId="58" borderId="0" xfId="10" applyNumberFormat="1" applyFont="1" applyFill="1" applyBorder="1" applyAlignment="1"/>
    <xf numFmtId="164" fontId="11" fillId="57" borderId="0" xfId="10" applyNumberFormat="1" applyFont="1" applyFill="1" applyBorder="1"/>
    <xf numFmtId="164" fontId="11" fillId="57" borderId="10" xfId="13" applyNumberFormat="1" applyFont="1" applyFill="1" applyBorder="1"/>
    <xf numFmtId="164" fontId="11" fillId="57" borderId="11" xfId="0" applyNumberFormat="1" applyFont="1" applyFill="1" applyBorder="1"/>
    <xf numFmtId="164" fontId="11" fillId="57" borderId="0" xfId="0" applyNumberFormat="1" applyFont="1" applyFill="1" applyBorder="1"/>
    <xf numFmtId="164" fontId="11" fillId="57" borderId="31" xfId="13" applyNumberFormat="1" applyFont="1" applyFill="1" applyBorder="1"/>
    <xf numFmtId="164" fontId="11" fillId="57" borderId="10" xfId="118" applyNumberFormat="1" applyFont="1" applyFill="1" applyBorder="1"/>
    <xf numFmtId="164" fontId="11" fillId="57" borderId="6" xfId="10" applyNumberFormat="1" applyFont="1" applyFill="1" applyBorder="1" applyAlignment="1"/>
    <xf numFmtId="1" fontId="11" fillId="57" borderId="14" xfId="10" applyNumberFormat="1" applyFont="1" applyFill="1" applyBorder="1" applyAlignment="1"/>
    <xf numFmtId="164" fontId="11" fillId="57" borderId="6" xfId="10" applyNumberFormat="1" applyFont="1" applyFill="1" applyBorder="1"/>
    <xf numFmtId="164" fontId="11" fillId="57" borderId="15" xfId="10" applyNumberFormat="1" applyFont="1" applyFill="1" applyBorder="1"/>
    <xf numFmtId="164" fontId="11" fillId="57" borderId="14" xfId="13" applyNumberFormat="1" applyFont="1" applyFill="1" applyBorder="1"/>
    <xf numFmtId="164" fontId="11" fillId="57" borderId="6" xfId="0" applyNumberFormat="1" applyFont="1" applyFill="1" applyBorder="1"/>
    <xf numFmtId="164" fontId="11" fillId="57" borderId="15" xfId="0" applyNumberFormat="1" applyFont="1" applyFill="1" applyBorder="1"/>
    <xf numFmtId="164" fontId="11" fillId="57" borderId="32" xfId="13" applyNumberFormat="1" applyFont="1" applyFill="1" applyBorder="1"/>
    <xf numFmtId="164" fontId="11" fillId="57" borderId="6" xfId="118" applyNumberFormat="1" applyFont="1" applyFill="1" applyBorder="1"/>
    <xf numFmtId="164" fontId="11" fillId="57" borderId="14" xfId="118" applyNumberFormat="1" applyFont="1" applyFill="1" applyBorder="1"/>
    <xf numFmtId="164" fontId="11" fillId="0" borderId="0" xfId="10" applyNumberFormat="1" applyBorder="1"/>
    <xf numFmtId="43" fontId="11" fillId="0" borderId="0" xfId="10" applyNumberFormat="1" applyFont="1"/>
    <xf numFmtId="10" fontId="11" fillId="0" borderId="0" xfId="6" applyNumberFormat="1" applyFont="1" applyFill="1" applyBorder="1"/>
    <xf numFmtId="9" fontId="11" fillId="0" borderId="0" xfId="6" applyFont="1"/>
    <xf numFmtId="164" fontId="11" fillId="0" borderId="0" xfId="1" applyNumberFormat="1" applyFont="1"/>
    <xf numFmtId="167" fontId="11" fillId="0" borderId="0" xfId="10" applyNumberFormat="1" applyFont="1"/>
    <xf numFmtId="43" fontId="11" fillId="0" borderId="0" xfId="1" applyFont="1"/>
    <xf numFmtId="164" fontId="11" fillId="59" borderId="0" xfId="13" applyNumberFormat="1" applyFont="1" applyFill="1"/>
    <xf numFmtId="0" fontId="11" fillId="59" borderId="0" xfId="10" applyFont="1" applyFill="1"/>
    <xf numFmtId="0" fontId="11" fillId="59" borderId="0" xfId="10" applyFill="1"/>
    <xf numFmtId="0" fontId="11" fillId="0" borderId="0" xfId="10" applyAlignment="1">
      <alignment horizontal="center"/>
    </xf>
    <xf numFmtId="164" fontId="11" fillId="59" borderId="0" xfId="13" applyNumberFormat="1" applyFill="1"/>
    <xf numFmtId="0" fontId="11" fillId="0" borderId="0" xfId="10" applyAlignment="1">
      <alignment horizontal="left"/>
    </xf>
    <xf numFmtId="0" fontId="11" fillId="0" borderId="7" xfId="10" applyBorder="1"/>
    <xf numFmtId="0" fontId="11" fillId="0" borderId="8" xfId="10" applyBorder="1" applyAlignment="1">
      <alignment horizontal="center"/>
    </xf>
    <xf numFmtId="0" fontId="11" fillId="0" borderId="8" xfId="10" applyBorder="1"/>
    <xf numFmtId="0" fontId="11" fillId="0" borderId="11" xfId="10" applyBorder="1"/>
    <xf numFmtId="1" fontId="11" fillId="0" borderId="0" xfId="10" applyNumberFormat="1" applyBorder="1" applyAlignment="1">
      <alignment horizontal="center"/>
    </xf>
    <xf numFmtId="0" fontId="11" fillId="0" borderId="6" xfId="10" applyBorder="1"/>
    <xf numFmtId="1" fontId="11" fillId="0" borderId="15" xfId="10" applyNumberFormat="1" applyBorder="1" applyAlignment="1">
      <alignment horizontal="center"/>
    </xf>
    <xf numFmtId="0" fontId="11" fillId="0" borderId="15" xfId="10" applyBorder="1"/>
    <xf numFmtId="180" fontId="11" fillId="0" borderId="0" xfId="10" applyNumberFormat="1"/>
    <xf numFmtId="172" fontId="13" fillId="0" borderId="0" xfId="6" applyNumberFormat="1" applyFont="1" applyFill="1" applyAlignment="1"/>
    <xf numFmtId="164" fontId="13" fillId="0" borderId="0" xfId="1" applyNumberFormat="1" applyFont="1" applyFill="1" applyBorder="1" applyAlignment="1"/>
    <xf numFmtId="167" fontId="13" fillId="0" borderId="0" xfId="2" applyNumberFormat="1" applyFont="1" applyFill="1" applyAlignment="1"/>
    <xf numFmtId="179" fontId="13" fillId="0" borderId="0" xfId="0" applyNumberFormat="1" applyFont="1" applyFill="1" applyBorder="1" applyAlignment="1">
      <alignment horizontal="right"/>
    </xf>
    <xf numFmtId="39" fontId="13" fillId="0" borderId="0" xfId="0" applyNumberFormat="1" applyFont="1" applyFill="1" applyBorder="1" applyAlignment="1">
      <alignment horizontal="right"/>
    </xf>
    <xf numFmtId="37" fontId="13" fillId="0" borderId="0" xfId="0" applyNumberFormat="1" applyFont="1" applyFill="1" applyBorder="1" applyAlignment="1">
      <alignment horizontal="right"/>
    </xf>
    <xf numFmtId="43" fontId="11" fillId="0" borderId="0" xfId="1"/>
    <xf numFmtId="172" fontId="77" fillId="0" borderId="0" xfId="6" applyNumberFormat="1" applyFont="1"/>
    <xf numFmtId="3" fontId="15" fillId="7" borderId="0" xfId="0" applyNumberFormat="1" applyFont="1" applyFill="1" applyAlignment="1"/>
    <xf numFmtId="0" fontId="12" fillId="0" borderId="0" xfId="0" applyFont="1" applyAlignment="1">
      <alignment horizontal="center"/>
    </xf>
    <xf numFmtId="0" fontId="23" fillId="0" borderId="0" xfId="0" applyFont="1" applyAlignment="1">
      <alignment horizontal="center"/>
    </xf>
    <xf numFmtId="0" fontId="47" fillId="0" borderId="331" xfId="0" applyFont="1" applyFill="1" applyBorder="1"/>
    <xf numFmtId="0" fontId="31" fillId="0" borderId="0" xfId="0" applyFont="1" applyFill="1" applyAlignment="1">
      <alignment horizontal="left"/>
    </xf>
    <xf numFmtId="0" fontId="25" fillId="0" borderId="0" xfId="10" applyFont="1" applyAlignment="1">
      <alignment horizontal="center"/>
    </xf>
    <xf numFmtId="37" fontId="107" fillId="0" borderId="0" xfId="2284" applyNumberFormat="1" applyFont="1"/>
    <xf numFmtId="0" fontId="11" fillId="0" borderId="0" xfId="10" applyAlignment="1"/>
    <xf numFmtId="0" fontId="109" fillId="0" borderId="0" xfId="10" applyFont="1" applyAlignment="1">
      <alignment horizontal="center"/>
    </xf>
    <xf numFmtId="0" fontId="47" fillId="0" borderId="0" xfId="10" applyFont="1" applyAlignment="1"/>
    <xf numFmtId="0" fontId="47" fillId="0" borderId="0" xfId="10" applyFont="1" applyAlignment="1">
      <alignment horizontal="left"/>
    </xf>
    <xf numFmtId="37" fontId="107" fillId="0" borderId="0" xfId="2284" applyNumberFormat="1" applyFont="1" applyAlignment="1">
      <alignment horizontal="center"/>
    </xf>
    <xf numFmtId="0" fontId="47" fillId="0" borderId="0" xfId="10" applyFont="1" applyAlignment="1">
      <alignment horizontal="right"/>
    </xf>
    <xf numFmtId="0" fontId="47" fillId="60" borderId="0" xfId="10" applyFont="1" applyFill="1" applyAlignment="1"/>
    <xf numFmtId="0" fontId="104" fillId="0" borderId="0" xfId="10" applyFont="1" applyAlignment="1"/>
    <xf numFmtId="37" fontId="107" fillId="0" borderId="0" xfId="2284" quotePrefix="1" applyNumberFormat="1" applyFont="1" applyAlignment="1">
      <alignment horizontal="center"/>
    </xf>
    <xf numFmtId="37" fontId="107" fillId="0" borderId="15" xfId="2284" applyNumberFormat="1" applyFont="1" applyBorder="1" applyAlignment="1">
      <alignment horizontal="center"/>
    </xf>
    <xf numFmtId="0" fontId="107" fillId="60" borderId="0" xfId="2284" applyNumberFormat="1" applyFont="1" applyFill="1" applyAlignment="1">
      <alignment horizontal="center"/>
    </xf>
    <xf numFmtId="164" fontId="107" fillId="60" borderId="0" xfId="2285" applyNumberFormat="1" applyFont="1" applyFill="1"/>
    <xf numFmtId="0" fontId="107" fillId="0" borderId="0" xfId="2284" applyNumberFormat="1" applyFont="1"/>
    <xf numFmtId="0" fontId="107" fillId="0" borderId="0" xfId="2284" applyNumberFormat="1" applyFont="1" applyAlignment="1">
      <alignment horizontal="center"/>
    </xf>
    <xf numFmtId="0" fontId="107" fillId="0" borderId="0" xfId="2284" applyNumberFormat="1" applyFont="1" applyFill="1"/>
    <xf numFmtId="37" fontId="107" fillId="60" borderId="0" xfId="2284" applyNumberFormat="1" applyFont="1" applyFill="1"/>
    <xf numFmtId="37" fontId="107" fillId="0" borderId="0" xfId="2284" applyNumberFormat="1" applyFont="1" applyFill="1"/>
    <xf numFmtId="1" fontId="107" fillId="0" borderId="0" xfId="2284" applyNumberFormat="1" applyFont="1" applyFill="1"/>
    <xf numFmtId="181" fontId="107" fillId="0" borderId="0" xfId="12" applyNumberFormat="1" applyFont="1"/>
    <xf numFmtId="0" fontId="107" fillId="0" borderId="0" xfId="2284" applyNumberFormat="1" applyFont="1" applyFill="1" applyAlignment="1">
      <alignment horizontal="center"/>
    </xf>
    <xf numFmtId="0" fontId="107" fillId="0" borderId="0" xfId="12" applyNumberFormat="1" applyFont="1"/>
    <xf numFmtId="182" fontId="107" fillId="0" borderId="0" xfId="2284" applyNumberFormat="1" applyFont="1"/>
    <xf numFmtId="183" fontId="107" fillId="0" borderId="0" xfId="12" applyNumberFormat="1" applyFont="1"/>
    <xf numFmtId="37" fontId="107" fillId="0" borderId="0" xfId="2284" applyNumberFormat="1" applyFont="1" applyAlignment="1">
      <alignment horizontal="right"/>
    </xf>
    <xf numFmtId="10" fontId="107" fillId="60" borderId="0" xfId="2286" applyNumberFormat="1" applyFont="1" applyFill="1"/>
    <xf numFmtId="10" fontId="107" fillId="0" borderId="0" xfId="2286" applyNumberFormat="1" applyFont="1"/>
    <xf numFmtId="37" fontId="107" fillId="0" borderId="0" xfId="2284" applyNumberFormat="1" applyFont="1" applyAlignment="1">
      <alignment horizontal="left"/>
    </xf>
    <xf numFmtId="37" fontId="110" fillId="0" borderId="0" xfId="2284" applyNumberFormat="1" applyFont="1"/>
    <xf numFmtId="184" fontId="107" fillId="0" borderId="0" xfId="2284" applyNumberFormat="1" applyFont="1"/>
    <xf numFmtId="37" fontId="107" fillId="0" borderId="0" xfId="2284" applyNumberFormat="1" applyFont="1" applyAlignment="1">
      <alignment horizontal="left" vertical="top"/>
    </xf>
    <xf numFmtId="0" fontId="11" fillId="0" borderId="0" xfId="10" applyAlignment="1">
      <alignment horizontal="left" vertical="top"/>
    </xf>
    <xf numFmtId="37" fontId="107" fillId="0" borderId="0" xfId="2284" applyNumberFormat="1" applyFont="1" applyAlignment="1">
      <alignment horizontal="left" vertical="top" wrapText="1"/>
    </xf>
    <xf numFmtId="0" fontId="11" fillId="0" borderId="0" xfId="10" applyAlignment="1">
      <alignment wrapText="1"/>
    </xf>
    <xf numFmtId="37" fontId="107" fillId="60" borderId="0" xfId="2284" applyNumberFormat="1" applyFont="1" applyFill="1" applyBorder="1"/>
    <xf numFmtId="37" fontId="107" fillId="0" borderId="0" xfId="2284" applyNumberFormat="1" applyFont="1" applyBorder="1" applyAlignment="1">
      <alignment horizontal="center"/>
    </xf>
    <xf numFmtId="0" fontId="31" fillId="0" borderId="0" xfId="10" applyFont="1" applyAlignment="1">
      <alignment horizontal="left"/>
    </xf>
    <xf numFmtId="0" fontId="13" fillId="0" borderId="0" xfId="0" applyFont="1" applyFill="1" applyAlignment="1">
      <alignment horizontal="left"/>
    </xf>
    <xf numFmtId="0" fontId="11" fillId="0" borderId="0" xfId="10" applyAlignment="1"/>
    <xf numFmtId="0" fontId="108" fillId="0" borderId="0" xfId="10" applyFont="1" applyAlignment="1">
      <alignment horizontal="center"/>
    </xf>
    <xf numFmtId="0" fontId="11" fillId="0" borderId="0" xfId="10" applyFont="1" applyAlignment="1"/>
    <xf numFmtId="0" fontId="47" fillId="0" borderId="0" xfId="10" applyFont="1" applyAlignment="1"/>
    <xf numFmtId="37" fontId="107" fillId="0" borderId="0" xfId="2301" applyNumberFormat="1" applyFont="1"/>
    <xf numFmtId="37" fontId="107" fillId="0" borderId="0" xfId="2301" applyNumberFormat="1" applyFont="1" applyAlignment="1">
      <alignment horizontal="center"/>
    </xf>
    <xf numFmtId="37" fontId="107" fillId="0" borderId="0" xfId="2301" applyNumberFormat="1" applyFont="1" applyAlignment="1">
      <alignment horizontal="right"/>
    </xf>
    <xf numFmtId="1" fontId="107" fillId="0" borderId="0" xfId="2301" applyNumberFormat="1" applyFont="1"/>
    <xf numFmtId="37" fontId="107" fillId="0" borderId="0" xfId="2301" applyNumberFormat="1" applyFont="1" applyFill="1"/>
    <xf numFmtId="10" fontId="107" fillId="0" borderId="0" xfId="12" applyNumberFormat="1" applyFont="1"/>
    <xf numFmtId="1" fontId="107" fillId="0" borderId="0" xfId="2301" applyNumberFormat="1" applyFont="1" applyFill="1"/>
    <xf numFmtId="37" fontId="107" fillId="0" borderId="0" xfId="2301" applyNumberFormat="1" applyFont="1" applyFill="1" applyAlignment="1">
      <alignment horizontal="right"/>
    </xf>
    <xf numFmtId="0" fontId="107" fillId="0" borderId="0" xfId="2301" applyNumberFormat="1" applyFont="1" applyFill="1" applyAlignment="1">
      <alignment horizontal="center"/>
    </xf>
    <xf numFmtId="37" fontId="107" fillId="0" borderId="0" xfId="2301" applyNumberFormat="1" applyFont="1" applyBorder="1"/>
    <xf numFmtId="181" fontId="107" fillId="0" borderId="0" xfId="12" applyNumberFormat="1" applyFont="1" applyBorder="1"/>
    <xf numFmtId="1" fontId="107" fillId="0" borderId="0" xfId="2301" applyNumberFormat="1" applyFont="1" applyFill="1" applyBorder="1"/>
    <xf numFmtId="37" fontId="107" fillId="0" borderId="0" xfId="2301" applyNumberFormat="1" applyFont="1" applyFill="1" applyBorder="1" applyAlignment="1">
      <alignment horizontal="right"/>
    </xf>
    <xf numFmtId="37" fontId="107" fillId="0" borderId="0" xfId="2301" applyNumberFormat="1" applyFont="1" applyFill="1" applyBorder="1"/>
    <xf numFmtId="37" fontId="107" fillId="0" borderId="0" xfId="2301" applyNumberFormat="1" applyFont="1" applyBorder="1" applyAlignment="1">
      <alignment horizontal="center"/>
    </xf>
    <xf numFmtId="0" fontId="107" fillId="0" borderId="0" xfId="2301" applyNumberFormat="1" applyFont="1" applyFill="1" applyBorder="1" applyAlignment="1">
      <alignment horizontal="center"/>
    </xf>
    <xf numFmtId="37" fontId="107" fillId="60" borderId="0" xfId="2301" applyNumberFormat="1" applyFont="1" applyFill="1" applyBorder="1"/>
    <xf numFmtId="0" fontId="107" fillId="0" borderId="0" xfId="2301" applyNumberFormat="1" applyFont="1" applyFill="1" applyBorder="1"/>
    <xf numFmtId="0" fontId="107" fillId="0" borderId="0" xfId="2301" applyNumberFormat="1" applyFont="1"/>
    <xf numFmtId="37" fontId="107" fillId="60" borderId="0" xfId="2301" applyNumberFormat="1" applyFont="1" applyFill="1"/>
    <xf numFmtId="37" fontId="107" fillId="0" borderId="15" xfId="2301" applyNumberFormat="1" applyFont="1" applyBorder="1" applyAlignment="1">
      <alignment horizontal="center"/>
    </xf>
    <xf numFmtId="37" fontId="107" fillId="0" borderId="0" xfId="2301" quotePrefix="1" applyNumberFormat="1" applyFont="1" applyAlignment="1">
      <alignment horizontal="center"/>
    </xf>
    <xf numFmtId="0" fontId="50" fillId="0" borderId="0" xfId="10" applyFont="1" applyAlignment="1">
      <alignment horizontal="left"/>
    </xf>
    <xf numFmtId="37" fontId="107" fillId="0" borderId="0" xfId="2301" applyNumberFormat="1" applyFont="1" applyFill="1" applyAlignment="1">
      <alignment horizontal="center"/>
    </xf>
    <xf numFmtId="0" fontId="47" fillId="0" borderId="0" xfId="10" applyFont="1" applyAlignment="1">
      <alignment horizontal="left" vertical="top"/>
    </xf>
    <xf numFmtId="37" fontId="107" fillId="0" borderId="0" xfId="2301" applyNumberFormat="1" applyFont="1" applyAlignment="1">
      <alignment horizontal="left" vertical="top"/>
    </xf>
    <xf numFmtId="37" fontId="107" fillId="0" borderId="0" xfId="2301" applyNumberFormat="1" applyFont="1" applyAlignment="1">
      <alignment horizontal="left"/>
    </xf>
    <xf numFmtId="37" fontId="110" fillId="0" borderId="0" xfId="2301" applyNumberFormat="1" applyFont="1"/>
    <xf numFmtId="0" fontId="47" fillId="0" borderId="0" xfId="10" applyFont="1" applyAlignment="1">
      <alignment wrapText="1"/>
    </xf>
    <xf numFmtId="37" fontId="107" fillId="0" borderId="0" xfId="2301" applyNumberFormat="1" applyFont="1" applyAlignment="1">
      <alignment horizontal="left" vertical="top" wrapText="1"/>
    </xf>
    <xf numFmtId="10" fontId="107" fillId="0" borderId="0" xfId="2302" applyNumberFormat="1" applyFont="1"/>
    <xf numFmtId="10" fontId="107" fillId="60" borderId="0" xfId="2302" applyNumberFormat="1" applyFont="1" applyFill="1"/>
    <xf numFmtId="0" fontId="11" fillId="0" borderId="0" xfId="0" applyFont="1" applyFill="1" applyAlignment="1">
      <alignment horizontal="left"/>
    </xf>
    <xf numFmtId="0" fontId="40" fillId="0" borderId="20" xfId="0" applyFont="1" applyBorder="1"/>
    <xf numFmtId="0" fontId="115" fillId="0" borderId="0" xfId="0" applyFont="1"/>
    <xf numFmtId="0" fontId="25" fillId="0" borderId="0" xfId="0" applyFont="1" applyAlignment="1">
      <alignment horizontal="center"/>
    </xf>
    <xf numFmtId="0" fontId="17" fillId="0" borderId="0" xfId="0" applyFont="1" applyAlignment="1">
      <alignment horizontal="center"/>
    </xf>
    <xf numFmtId="0" fontId="13" fillId="0" borderId="0" xfId="0" applyFont="1" applyAlignment="1">
      <alignment horizontal="center"/>
    </xf>
    <xf numFmtId="0" fontId="77" fillId="0" borderId="0" xfId="10" applyFont="1" applyBorder="1" applyAlignment="1">
      <alignment horizontal="center"/>
    </xf>
    <xf numFmtId="0" fontId="77" fillId="0" borderId="10" xfId="10" applyFont="1" applyBorder="1" applyAlignment="1">
      <alignment horizontal="center"/>
    </xf>
    <xf numFmtId="0" fontId="77" fillId="0" borderId="0" xfId="10" applyFont="1" applyFill="1" applyBorder="1" applyAlignment="1">
      <alignment horizontal="center"/>
    </xf>
    <xf numFmtId="0" fontId="77" fillId="0" borderId="10" xfId="10" applyFont="1" applyFill="1" applyBorder="1" applyAlignment="1">
      <alignment horizontal="center"/>
    </xf>
    <xf numFmtId="43" fontId="77" fillId="0" borderId="0" xfId="1" applyFont="1"/>
    <xf numFmtId="164" fontId="11" fillId="0" borderId="0" xfId="2303" applyNumberFormat="1" applyFont="1"/>
    <xf numFmtId="168" fontId="11" fillId="2" borderId="0" xfId="6" applyNumberFormat="1" applyFont="1" applyFill="1"/>
    <xf numFmtId="37" fontId="68" fillId="2" borderId="0" xfId="0" applyNumberFormat="1" applyFont="1" applyFill="1" applyBorder="1" applyAlignment="1">
      <alignment horizontal="center"/>
    </xf>
    <xf numFmtId="0" fontId="11" fillId="0" borderId="0" xfId="10" applyAlignment="1">
      <alignment horizontal="left"/>
    </xf>
    <xf numFmtId="0" fontId="12" fillId="0" borderId="7" xfId="10" applyFont="1" applyBorder="1" applyAlignment="1">
      <alignment horizontal="center"/>
    </xf>
    <xf numFmtId="0" fontId="11" fillId="0" borderId="8" xfId="10" applyFont="1" applyBorder="1" applyAlignment="1">
      <alignment horizontal="center"/>
    </xf>
    <xf numFmtId="0" fontId="12" fillId="0" borderId="8" xfId="10" applyFont="1" applyBorder="1" applyAlignment="1">
      <alignment horizontal="center"/>
    </xf>
    <xf numFmtId="0" fontId="12" fillId="0" borderId="9" xfId="10" applyFont="1" applyBorder="1" applyAlignment="1">
      <alignment horizontal="center"/>
    </xf>
    <xf numFmtId="37" fontId="69" fillId="2" borderId="0" xfId="0" applyNumberFormat="1" applyFont="1" applyFill="1" applyBorder="1" applyAlignment="1">
      <alignment horizontal="center"/>
    </xf>
    <xf numFmtId="0" fontId="47" fillId="2" borderId="26" xfId="0" applyFont="1" applyFill="1" applyBorder="1" applyAlignment="1">
      <alignment vertical="center" wrapText="1"/>
    </xf>
    <xf numFmtId="0" fontId="102" fillId="0" borderId="0" xfId="0" applyFont="1" applyAlignment="1">
      <alignment horizontal="center"/>
    </xf>
    <xf numFmtId="0" fontId="0" fillId="0" borderId="0" xfId="0" applyAlignment="1">
      <alignment horizontal="center"/>
    </xf>
    <xf numFmtId="37" fontId="47" fillId="7" borderId="24" xfId="0" applyNumberFormat="1" applyFont="1" applyFill="1" applyBorder="1" applyAlignment="1">
      <alignment horizontal="left" vertical="center" wrapText="1"/>
    </xf>
    <xf numFmtId="37" fontId="47" fillId="7" borderId="331" xfId="0" applyNumberFormat="1" applyFont="1" applyFill="1" applyBorder="1" applyAlignment="1">
      <alignment horizontal="left" vertical="center" wrapText="1"/>
    </xf>
    <xf numFmtId="0" fontId="40" fillId="0" borderId="20" xfId="0" applyFont="1" applyBorder="1" applyAlignment="1">
      <alignment wrapText="1"/>
    </xf>
    <xf numFmtId="0" fontId="40" fillId="0" borderId="0" xfId="0" applyFont="1" applyBorder="1" applyAlignment="1">
      <alignment wrapText="1"/>
    </xf>
    <xf numFmtId="0" fontId="40" fillId="0" borderId="21" xfId="0" applyFont="1" applyBorder="1" applyAlignment="1">
      <alignment wrapText="1"/>
    </xf>
    <xf numFmtId="0" fontId="40" fillId="0" borderId="20" xfId="0" applyFont="1" applyFill="1" applyBorder="1" applyAlignment="1">
      <alignment horizontal="left" wrapText="1"/>
    </xf>
    <xf numFmtId="0" fontId="40" fillId="0" borderId="0" xfId="0" applyFont="1" applyFill="1" applyBorder="1" applyAlignment="1">
      <alignment horizontal="left" wrapText="1"/>
    </xf>
    <xf numFmtId="0" fontId="40" fillId="0" borderId="21" xfId="0" applyFont="1" applyFill="1" applyBorder="1" applyAlignment="1">
      <alignment horizontal="left" wrapText="1"/>
    </xf>
    <xf numFmtId="0" fontId="25" fillId="0" borderId="0" xfId="0" applyFont="1" applyAlignment="1">
      <alignment horizontal="center"/>
    </xf>
    <xf numFmtId="0" fontId="40" fillId="0" borderId="20" xfId="0" applyFont="1" applyFill="1" applyBorder="1" applyAlignment="1">
      <alignment wrapText="1"/>
    </xf>
    <xf numFmtId="0" fontId="40" fillId="0" borderId="0" xfId="0" applyFont="1" applyFill="1" applyBorder="1" applyAlignment="1">
      <alignment wrapText="1"/>
    </xf>
    <xf numFmtId="0" fontId="40" fillId="0" borderId="21" xfId="0" applyFont="1" applyFill="1" applyBorder="1" applyAlignment="1">
      <alignment wrapText="1"/>
    </xf>
    <xf numFmtId="37" fontId="107" fillId="0" borderId="0" xfId="2284" applyNumberFormat="1" applyFont="1" applyAlignment="1">
      <alignment horizontal="left" vertical="top"/>
    </xf>
    <xf numFmtId="0" fontId="11" fillId="0" borderId="0" xfId="10" applyAlignment="1">
      <alignment horizontal="left" vertical="top"/>
    </xf>
    <xf numFmtId="0" fontId="25" fillId="0" borderId="0" xfId="10" applyFont="1" applyAlignment="1">
      <alignment horizontal="center"/>
    </xf>
    <xf numFmtId="0" fontId="11" fillId="0" borderId="0" xfId="10" applyAlignment="1"/>
    <xf numFmtId="0" fontId="31" fillId="0" borderId="0" xfId="10" applyFont="1" applyAlignment="1">
      <alignment horizontal="center"/>
    </xf>
    <xf numFmtId="0" fontId="31" fillId="60" borderId="0" xfId="10" applyFont="1" applyFill="1" applyAlignment="1">
      <alignment horizontal="center"/>
    </xf>
    <xf numFmtId="0" fontId="108" fillId="0" borderId="0" xfId="10" applyFont="1" applyAlignment="1">
      <alignment horizontal="center"/>
    </xf>
    <xf numFmtId="0" fontId="11" fillId="0" borderId="0" xfId="10" applyFont="1" applyAlignment="1"/>
    <xf numFmtId="0" fontId="109" fillId="0" borderId="0" xfId="10" applyFont="1" applyAlignment="1">
      <alignment horizontal="center"/>
    </xf>
    <xf numFmtId="0" fontId="47" fillId="0" borderId="0" xfId="10" applyFont="1" applyAlignment="1"/>
    <xf numFmtId="0" fontId="31" fillId="0" borderId="0" xfId="10" applyFont="1" applyAlignment="1">
      <alignment horizontal="left"/>
    </xf>
    <xf numFmtId="0" fontId="11" fillId="0" borderId="0" xfId="10" applyAlignment="1">
      <alignment horizontal="left"/>
    </xf>
    <xf numFmtId="37" fontId="107" fillId="0" borderId="0" xfId="2284" applyNumberFormat="1" applyFont="1" applyAlignment="1">
      <alignment horizontal="left" vertical="top" wrapText="1"/>
    </xf>
    <xf numFmtId="0" fontId="11" fillId="0" borderId="0" xfId="10" applyAlignment="1">
      <alignment horizontal="left" vertical="top" wrapText="1"/>
    </xf>
    <xf numFmtId="0" fontId="11" fillId="0" borderId="0" xfId="10" applyAlignment="1">
      <alignment wrapText="1"/>
    </xf>
    <xf numFmtId="37" fontId="107" fillId="0" borderId="0" xfId="2284" applyNumberFormat="1" applyFont="1" applyAlignment="1">
      <alignment horizontal="left"/>
    </xf>
    <xf numFmtId="0" fontId="113" fillId="0" borderId="0" xfId="13" applyNumberFormat="1" applyFont="1" applyAlignment="1">
      <alignment horizontal="left"/>
    </xf>
    <xf numFmtId="0" fontId="31" fillId="0" borderId="0" xfId="13" applyNumberFormat="1" applyFont="1" applyAlignment="1">
      <alignment horizontal="left"/>
    </xf>
    <xf numFmtId="37" fontId="107" fillId="0" borderId="0" xfId="2301" applyNumberFormat="1" applyFont="1" applyAlignment="1">
      <alignment horizontal="left" vertical="top"/>
    </xf>
    <xf numFmtId="0" fontId="47" fillId="0" borderId="0" xfId="10" applyFont="1" applyAlignment="1">
      <alignment horizontal="left" vertical="top"/>
    </xf>
    <xf numFmtId="37" fontId="107" fillId="0" borderId="0" xfId="2301" applyNumberFormat="1" applyFont="1" applyAlignment="1">
      <alignment horizontal="left" vertical="top" wrapText="1"/>
    </xf>
    <xf numFmtId="0" fontId="47" fillId="0" borderId="0" xfId="10" applyFont="1" applyAlignment="1">
      <alignment horizontal="left" vertical="top" wrapText="1"/>
    </xf>
    <xf numFmtId="37" fontId="107" fillId="0" borderId="0" xfId="2301" applyNumberFormat="1" applyFont="1" applyAlignment="1">
      <alignment horizontal="left"/>
    </xf>
    <xf numFmtId="0" fontId="23" fillId="0" borderId="0" xfId="0" applyFont="1" applyAlignment="1"/>
    <xf numFmtId="0" fontId="31" fillId="0" borderId="0" xfId="0" applyFont="1" applyAlignment="1">
      <alignment horizontal="center"/>
    </xf>
    <xf numFmtId="0" fontId="17" fillId="0" borderId="0" xfId="0" applyFont="1" applyAlignment="1">
      <alignment horizontal="center"/>
    </xf>
    <xf numFmtId="0" fontId="41" fillId="0" borderId="0" xfId="0" quotePrefix="1" applyFont="1" applyAlignment="1">
      <alignment horizontal="center"/>
    </xf>
    <xf numFmtId="0" fontId="40" fillId="0" borderId="0" xfId="5" applyFont="1" applyFill="1" applyAlignment="1">
      <alignment horizontal="center"/>
    </xf>
    <xf numFmtId="0" fontId="41" fillId="0" borderId="0" xfId="0" applyFont="1" applyAlignment="1">
      <alignment horizontal="center"/>
    </xf>
    <xf numFmtId="0" fontId="36" fillId="0" borderId="0" xfId="0" applyFont="1" applyAlignment="1"/>
    <xf numFmtId="3" fontId="69" fillId="0" borderId="0" xfId="0" applyNumberFormat="1" applyFont="1" applyBorder="1" applyAlignment="1">
      <alignment horizontal="left" wrapText="1"/>
    </xf>
    <xf numFmtId="0" fontId="68" fillId="6" borderId="8" xfId="0" applyFont="1" applyFill="1" applyBorder="1" applyAlignment="1">
      <alignment horizontal="center" wrapText="1"/>
    </xf>
    <xf numFmtId="0" fontId="69" fillId="0" borderId="8" xfId="0" applyFont="1" applyBorder="1" applyAlignment="1">
      <alignment horizontal="center" wrapText="1"/>
    </xf>
    <xf numFmtId="0" fontId="69" fillId="0" borderId="9" xfId="0" applyFont="1" applyBorder="1" applyAlignment="1">
      <alignment horizontal="center" wrapText="1"/>
    </xf>
    <xf numFmtId="0" fontId="69" fillId="0" borderId="0" xfId="0" applyFont="1" applyFill="1" applyBorder="1" applyAlignment="1">
      <alignment horizontal="left" wrapText="1"/>
    </xf>
    <xf numFmtId="0" fontId="69" fillId="0" borderId="10" xfId="0" applyFont="1" applyFill="1" applyBorder="1" applyAlignment="1">
      <alignment horizontal="left" wrapText="1"/>
    </xf>
    <xf numFmtId="0" fontId="69" fillId="0" borderId="15" xfId="0" applyFont="1" applyFill="1" applyBorder="1" applyAlignment="1">
      <alignment horizontal="left" wrapText="1"/>
    </xf>
    <xf numFmtId="0" fontId="69" fillId="0" borderId="14" xfId="0" applyFont="1" applyFill="1" applyBorder="1" applyAlignment="1">
      <alignment horizontal="left" wrapText="1"/>
    </xf>
    <xf numFmtId="0" fontId="69" fillId="0" borderId="0" xfId="0" applyFont="1" applyBorder="1" applyAlignment="1">
      <alignment wrapText="1"/>
    </xf>
    <xf numFmtId="0" fontId="69" fillId="0" borderId="10" xfId="0" applyFont="1" applyBorder="1" applyAlignment="1">
      <alignment wrapText="1"/>
    </xf>
    <xf numFmtId="0" fontId="68" fillId="0" borderId="0" xfId="0" applyFont="1" applyFill="1" applyBorder="1" applyAlignment="1">
      <alignment horizontal="center" wrapText="1"/>
    </xf>
    <xf numFmtId="0" fontId="69" fillId="0" borderId="0" xfId="0" applyFont="1" applyFill="1" applyBorder="1" applyAlignment="1">
      <alignment horizontal="center" wrapText="1"/>
    </xf>
    <xf numFmtId="0" fontId="69" fillId="0" borderId="10" xfId="0" applyFont="1" applyFill="1" applyBorder="1" applyAlignment="1">
      <alignment horizontal="center" wrapText="1"/>
    </xf>
    <xf numFmtId="0" fontId="68" fillId="0" borderId="10" xfId="0" applyFont="1" applyFill="1" applyBorder="1" applyAlignment="1">
      <alignment horizontal="center" wrapText="1"/>
    </xf>
    <xf numFmtId="0" fontId="11" fillId="0" borderId="15" xfId="10" applyFont="1" applyBorder="1" applyAlignment="1">
      <alignment horizontal="center" vertical="center" wrapText="1"/>
    </xf>
    <xf numFmtId="0" fontId="11" fillId="0" borderId="14" xfId="10" applyFont="1" applyBorder="1" applyAlignment="1">
      <alignment horizontal="center" vertical="center" wrapText="1"/>
    </xf>
    <xf numFmtId="37" fontId="68" fillId="0" borderId="18" xfId="0" applyNumberFormat="1" applyFont="1" applyBorder="1" applyAlignment="1">
      <alignment horizontal="center"/>
    </xf>
    <xf numFmtId="37" fontId="68" fillId="0" borderId="1" xfId="0" applyNumberFormat="1" applyFont="1" applyBorder="1" applyAlignment="1">
      <alignment horizontal="center"/>
    </xf>
    <xf numFmtId="37" fontId="68" fillId="0" borderId="19" xfId="0" applyNumberFormat="1" applyFont="1" applyBorder="1" applyAlignment="1">
      <alignment horizontal="center"/>
    </xf>
    <xf numFmtId="0" fontId="69" fillId="0" borderId="15" xfId="0" applyFont="1" applyFill="1" applyBorder="1" applyAlignment="1">
      <alignment horizontal="center" wrapText="1"/>
    </xf>
    <xf numFmtId="0" fontId="0" fillId="0" borderId="15" xfId="0" applyBorder="1" applyAlignment="1">
      <alignment horizontal="center" wrapText="1"/>
    </xf>
    <xf numFmtId="0" fontId="0" fillId="0" borderId="14" xfId="0" applyBorder="1" applyAlignment="1">
      <alignment horizontal="center" wrapText="1"/>
    </xf>
    <xf numFmtId="0" fontId="69" fillId="6" borderId="8" xfId="0" applyFont="1" applyFill="1" applyBorder="1" applyAlignment="1">
      <alignment horizontal="center" wrapText="1"/>
    </xf>
    <xf numFmtId="0" fontId="69" fillId="6" borderId="9" xfId="0" applyFont="1" applyFill="1" applyBorder="1" applyAlignment="1">
      <alignment horizontal="center" wrapText="1"/>
    </xf>
    <xf numFmtId="164" fontId="69" fillId="0" borderId="15" xfId="1" applyNumberFormat="1" applyFont="1" applyFill="1" applyBorder="1" applyAlignment="1">
      <alignment horizontal="center" wrapText="1"/>
    </xf>
    <xf numFmtId="164" fontId="69" fillId="0" borderId="14" xfId="1" applyNumberFormat="1" applyFont="1" applyFill="1" applyBorder="1" applyAlignment="1">
      <alignment horizontal="center" wrapText="1"/>
    </xf>
    <xf numFmtId="0" fontId="69" fillId="0" borderId="0" xfId="0" applyFont="1" applyAlignment="1">
      <alignment horizontal="center" wrapText="1"/>
    </xf>
    <xf numFmtId="0" fontId="69" fillId="0" borderId="10" xfId="0" applyFont="1" applyBorder="1" applyAlignment="1">
      <alignment horizontal="center" wrapText="1"/>
    </xf>
    <xf numFmtId="10" fontId="69" fillId="0" borderId="15" xfId="0" applyNumberFormat="1" applyFont="1" applyFill="1" applyBorder="1" applyAlignment="1">
      <alignment horizontal="center" wrapText="1"/>
    </xf>
    <xf numFmtId="0" fontId="69" fillId="0" borderId="15" xfId="0" applyFont="1" applyBorder="1" applyAlignment="1">
      <alignment horizontal="center" wrapText="1"/>
    </xf>
    <xf numFmtId="0" fontId="69" fillId="0" borderId="14" xfId="0" applyFont="1" applyBorder="1" applyAlignment="1">
      <alignment horizontal="center" wrapText="1"/>
    </xf>
    <xf numFmtId="0" fontId="68" fillId="0" borderId="0" xfId="0" applyNumberFormat="1" applyFont="1" applyFill="1" applyBorder="1" applyAlignment="1">
      <alignment horizontal="center"/>
    </xf>
    <xf numFmtId="37" fontId="68" fillId="0" borderId="362" xfId="0" applyNumberFormat="1" applyFont="1" applyBorder="1" applyAlignment="1">
      <alignment horizontal="center"/>
    </xf>
    <xf numFmtId="37" fontId="68" fillId="0" borderId="363" xfId="0" applyNumberFormat="1" applyFont="1" applyBorder="1" applyAlignment="1">
      <alignment horizontal="center"/>
    </xf>
    <xf numFmtId="37" fontId="68" fillId="0" borderId="364" xfId="0" applyNumberFormat="1" applyFont="1" applyBorder="1" applyAlignment="1">
      <alignment horizontal="center"/>
    </xf>
    <xf numFmtId="164" fontId="69" fillId="0" borderId="15" xfId="0" applyNumberFormat="1" applyFont="1" applyFill="1" applyBorder="1" applyAlignment="1">
      <alignment horizontal="center" wrapText="1"/>
    </xf>
    <xf numFmtId="0" fontId="69" fillId="0" borderId="14" xfId="0" applyFont="1" applyFill="1" applyBorder="1" applyAlignment="1">
      <alignment horizontal="center" wrapText="1"/>
    </xf>
    <xf numFmtId="0" fontId="76" fillId="0" borderId="0" xfId="0" applyFont="1" applyFill="1" applyBorder="1" applyAlignment="1">
      <alignment horizontal="center" wrapText="1"/>
    </xf>
    <xf numFmtId="0" fontId="75" fillId="0" borderId="0" xfId="0" applyFont="1" applyFill="1" applyBorder="1" applyAlignment="1">
      <alignment horizontal="center" wrapText="1"/>
    </xf>
    <xf numFmtId="0" fontId="75" fillId="0" borderId="10" xfId="0" applyFont="1" applyFill="1" applyBorder="1" applyAlignment="1">
      <alignment horizontal="center" wrapText="1"/>
    </xf>
    <xf numFmtId="0" fontId="76" fillId="6" borderId="8" xfId="0" applyFont="1" applyFill="1" applyBorder="1" applyAlignment="1">
      <alignment horizontal="center" wrapText="1"/>
    </xf>
    <xf numFmtId="0" fontId="75" fillId="6" borderId="8" xfId="0" applyFont="1" applyFill="1" applyBorder="1" applyAlignment="1">
      <alignment horizontal="center" wrapText="1"/>
    </xf>
    <xf numFmtId="0" fontId="75" fillId="6" borderId="9" xfId="0" applyFont="1" applyFill="1" applyBorder="1" applyAlignment="1">
      <alignment horizontal="center" wrapText="1"/>
    </xf>
    <xf numFmtId="0" fontId="68" fillId="0" borderId="15" xfId="0" applyFont="1" applyFill="1" applyBorder="1" applyAlignment="1">
      <alignment horizontal="center" wrapText="1"/>
    </xf>
    <xf numFmtId="0" fontId="69" fillId="0" borderId="0" xfId="0" applyFont="1" applyFill="1" applyBorder="1" applyAlignment="1">
      <alignment horizontal="center"/>
    </xf>
    <xf numFmtId="37" fontId="68" fillId="0" borderId="3" xfId="0" applyNumberFormat="1" applyFont="1" applyBorder="1" applyAlignment="1">
      <alignment horizontal="center"/>
    </xf>
    <xf numFmtId="0" fontId="69" fillId="0" borderId="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wrapText="1"/>
    </xf>
    <xf numFmtId="0" fontId="0" fillId="0" borderId="10" xfId="0" applyBorder="1" applyAlignment="1">
      <alignment horizontal="center" vertical="center" wrapText="1"/>
    </xf>
    <xf numFmtId="0" fontId="13" fillId="0" borderId="0" xfId="0" applyFont="1" applyAlignment="1">
      <alignment horizontal="center"/>
    </xf>
    <xf numFmtId="0" fontId="11" fillId="0" borderId="0" xfId="0" applyFont="1" applyAlignment="1">
      <alignment horizontal="center" wrapText="1"/>
    </xf>
    <xf numFmtId="0" fontId="12" fillId="0" borderId="7" xfId="10" applyFont="1" applyFill="1" applyBorder="1" applyAlignment="1">
      <alignment horizontal="center"/>
    </xf>
    <xf numFmtId="0" fontId="12" fillId="0" borderId="8" xfId="10" applyFont="1" applyFill="1" applyBorder="1" applyAlignment="1">
      <alignment horizontal="center"/>
    </xf>
    <xf numFmtId="0" fontId="12" fillId="0" borderId="9" xfId="10" applyFont="1" applyFill="1" applyBorder="1" applyAlignment="1">
      <alignment horizontal="center"/>
    </xf>
    <xf numFmtId="0" fontId="12" fillId="0" borderId="7" xfId="10" applyFont="1" applyBorder="1" applyAlignment="1">
      <alignment horizontal="center"/>
    </xf>
    <xf numFmtId="0" fontId="12" fillId="0" borderId="8" xfId="10" applyFont="1" applyBorder="1" applyAlignment="1">
      <alignment horizontal="center"/>
    </xf>
    <xf numFmtId="0" fontId="12" fillId="0" borderId="9" xfId="10" applyFont="1" applyBorder="1" applyAlignment="1">
      <alignment horizontal="center"/>
    </xf>
    <xf numFmtId="164" fontId="12" fillId="0" borderId="0" xfId="118" applyNumberFormat="1" applyFont="1" applyAlignment="1">
      <alignment horizontal="center"/>
    </xf>
    <xf numFmtId="0" fontId="40" fillId="0" borderId="0" xfId="117" applyFont="1" applyFill="1" applyAlignment="1">
      <alignment horizontal="center"/>
    </xf>
    <xf numFmtId="0" fontId="12" fillId="0" borderId="0" xfId="10" applyFont="1" applyAlignment="1">
      <alignment horizontal="center"/>
    </xf>
    <xf numFmtId="0" fontId="12" fillId="0" borderId="0" xfId="0" applyFont="1" applyAlignment="1">
      <alignment horizontal="center"/>
    </xf>
    <xf numFmtId="0" fontId="23" fillId="0" borderId="0" xfId="0" applyFont="1" applyAlignment="1">
      <alignment horizontal="center"/>
    </xf>
    <xf numFmtId="10" fontId="28" fillId="0" borderId="0" xfId="12" applyNumberFormat="1" applyFont="1" applyAlignment="1">
      <alignment horizontal="center"/>
    </xf>
    <xf numFmtId="10" fontId="12" fillId="0" borderId="0" xfId="12" applyNumberFormat="1" applyFont="1" applyAlignment="1">
      <alignment horizontal="center"/>
    </xf>
    <xf numFmtId="10" fontId="11" fillId="0" borderId="0" xfId="12" applyNumberFormat="1" applyFont="1" applyAlignment="1">
      <alignment horizontal="center"/>
    </xf>
  </cellXfs>
  <cellStyles count="2304">
    <cellStyle name="Accent1 - 20%" xfId="16"/>
    <cellStyle name="Accent1 - 40%" xfId="17"/>
    <cellStyle name="Accent1 - 60%" xfId="18"/>
    <cellStyle name="Accent1 2" xfId="15"/>
    <cellStyle name="Accent1 3" xfId="99"/>
    <cellStyle name="Accent1 4" xfId="114"/>
    <cellStyle name="Accent1 5" xfId="116"/>
    <cellStyle name="Accent2 - 20%" xfId="20"/>
    <cellStyle name="Accent2 - 40%" xfId="21"/>
    <cellStyle name="Accent2 - 60%" xfId="22"/>
    <cellStyle name="Accent2 2" xfId="19"/>
    <cellStyle name="Accent2 3" xfId="100"/>
    <cellStyle name="Accent2 4" xfId="113"/>
    <cellStyle name="Accent2 5" xfId="115"/>
    <cellStyle name="Accent3 - 20%" xfId="24"/>
    <cellStyle name="Accent3 - 40%" xfId="25"/>
    <cellStyle name="Accent3 - 60%" xfId="26"/>
    <cellStyle name="Accent3 2" xfId="23"/>
    <cellStyle name="Accent3 3" xfId="102"/>
    <cellStyle name="Accent3 4" xfId="112"/>
    <cellStyle name="Accent3 5" xfId="101"/>
    <cellStyle name="Accent4 - 20%" xfId="28"/>
    <cellStyle name="Accent4 - 40%" xfId="29"/>
    <cellStyle name="Accent4 - 60%" xfId="30"/>
    <cellStyle name="Accent4 2" xfId="27"/>
    <cellStyle name="Accent4 3" xfId="104"/>
    <cellStyle name="Accent4 4" xfId="111"/>
    <cellStyle name="Accent4 5" xfId="103"/>
    <cellStyle name="Accent5 - 20%" xfId="32"/>
    <cellStyle name="Accent5 - 40%" xfId="33"/>
    <cellStyle name="Accent5 - 60%" xfId="34"/>
    <cellStyle name="Accent5 2" xfId="31"/>
    <cellStyle name="Accent5 3" xfId="106"/>
    <cellStyle name="Accent5 4" xfId="110"/>
    <cellStyle name="Accent5 5" xfId="105"/>
    <cellStyle name="Accent6 - 20%" xfId="36"/>
    <cellStyle name="Accent6 - 40%" xfId="37"/>
    <cellStyle name="Accent6 - 60%" xfId="38"/>
    <cellStyle name="Accent6 2" xfId="35"/>
    <cellStyle name="Accent6 3" xfId="107"/>
    <cellStyle name="Accent6 4" xfId="109"/>
    <cellStyle name="Accent6 5" xfId="108"/>
    <cellStyle name="Bad 2" xfId="39"/>
    <cellStyle name="Calculation 2" xfId="40"/>
    <cellStyle name="Calculation 2 10" xfId="533"/>
    <cellStyle name="Calculation 2 11" xfId="546"/>
    <cellStyle name="Calculation 2 12" xfId="449"/>
    <cellStyle name="Calculation 2 13" xfId="522"/>
    <cellStyle name="Calculation 2 14" xfId="657"/>
    <cellStyle name="Calculation 2 15" xfId="614"/>
    <cellStyle name="Calculation 2 16" xfId="750"/>
    <cellStyle name="Calculation 2 17" xfId="809"/>
    <cellStyle name="Calculation 2 18" xfId="799"/>
    <cellStyle name="Calculation 2 19" xfId="1010"/>
    <cellStyle name="Calculation 2 2" xfId="162"/>
    <cellStyle name="Calculation 2 20" xfId="1053"/>
    <cellStyle name="Calculation 2 21" xfId="1020"/>
    <cellStyle name="Calculation 2 22" xfId="978"/>
    <cellStyle name="Calculation 2 23" xfId="975"/>
    <cellStyle name="Calculation 2 24" xfId="1244"/>
    <cellStyle name="Calculation 2 25" xfId="1287"/>
    <cellStyle name="Calculation 2 26" xfId="1332"/>
    <cellStyle name="Calculation 2 27" xfId="1372"/>
    <cellStyle name="Calculation 2 28" xfId="1415"/>
    <cellStyle name="Calculation 2 29" xfId="1458"/>
    <cellStyle name="Calculation 2 3" xfId="159"/>
    <cellStyle name="Calculation 2 30" xfId="1501"/>
    <cellStyle name="Calculation 2 31" xfId="1544"/>
    <cellStyle name="Calculation 2 32" xfId="1558"/>
    <cellStyle name="Calculation 2 33" xfId="1502"/>
    <cellStyle name="Calculation 2 34" xfId="1460"/>
    <cellStyle name="Calculation 2 35" xfId="1716"/>
    <cellStyle name="Calculation 2 36" xfId="1759"/>
    <cellStyle name="Calculation 2 37" xfId="1801"/>
    <cellStyle name="Calculation 2 38" xfId="1769"/>
    <cellStyle name="Calculation 2 39" xfId="1906"/>
    <cellStyle name="Calculation 2 4" xfId="275"/>
    <cellStyle name="Calculation 2 40" xfId="1949"/>
    <cellStyle name="Calculation 2 41" xfId="1963"/>
    <cellStyle name="Calculation 2 42" xfId="1907"/>
    <cellStyle name="Calculation 2 43" xfId="2021"/>
    <cellStyle name="Calculation 2 44" xfId="2109"/>
    <cellStyle name="Calculation 2 45" xfId="2147"/>
    <cellStyle name="Calculation 2 46" xfId="2179"/>
    <cellStyle name="Calculation 2 47" xfId="2209"/>
    <cellStyle name="Calculation 2 48" xfId="2235"/>
    <cellStyle name="Calculation 2 5" xfId="318"/>
    <cellStyle name="Calculation 2 6" xfId="361"/>
    <cellStyle name="Calculation 2 7" xfId="404"/>
    <cellStyle name="Calculation 2 8" xfId="447"/>
    <cellStyle name="Calculation 2 9" xfId="490"/>
    <cellStyle name="Check Cell 2" xfId="41"/>
    <cellStyle name="Comma" xfId="1" builtinId="3"/>
    <cellStyle name="Comma 2" xfId="7"/>
    <cellStyle name="Comma 2 2" xfId="9"/>
    <cellStyle name="Comma 2 2 2" xfId="13"/>
    <cellStyle name="Comma 2 2 3" xfId="2287"/>
    <cellStyle name="Comma 2 3" xfId="11"/>
    <cellStyle name="Comma 2 3 2" xfId="2288"/>
    <cellStyle name="Comma 2 4" xfId="2289"/>
    <cellStyle name="Comma 3" xfId="118"/>
    <cellStyle name="Comma 4" xfId="120"/>
    <cellStyle name="Comma 4 2" xfId="121"/>
    <cellStyle name="Comma 4 2 2" xfId="244"/>
    <cellStyle name="Comma 4 2 2 2" xfId="2280"/>
    <cellStyle name="Comma 4 2 2 2 2" xfId="2281"/>
    <cellStyle name="Comma 4 2 2 2 2 2" xfId="2303"/>
    <cellStyle name="Comma 4 2 3" xfId="243"/>
    <cellStyle name="Comma 4 2 4" xfId="2279"/>
    <cellStyle name="Comma 4 3" xfId="242"/>
    <cellStyle name="Comma 4 4" xfId="2278"/>
    <cellStyle name="Comma 5" xfId="2231"/>
    <cellStyle name="Comma 6" xfId="2234"/>
    <cellStyle name="Comma 7" xfId="2282"/>
    <cellStyle name="Comma 8" xfId="2285"/>
    <cellStyle name="Currency" xfId="2" builtinId="4"/>
    <cellStyle name="Emphasis 1" xfId="42"/>
    <cellStyle name="Emphasis 2" xfId="43"/>
    <cellStyle name="Emphasis 3" xfId="44"/>
    <cellStyle name="Good 2" xfId="45"/>
    <cellStyle name="Heading 1 2" xfId="46"/>
    <cellStyle name="Heading 2 2" xfId="47"/>
    <cellStyle name="Heading 3 2" xfId="48"/>
    <cellStyle name="Heading 4 2" xfId="49"/>
    <cellStyle name="Input 2" xfId="50"/>
    <cellStyle name="Input 2 10" xfId="457"/>
    <cellStyle name="Input 2 11" xfId="588"/>
    <cellStyle name="Input 2 12" xfId="448"/>
    <cellStyle name="Input 2 13" xfId="718"/>
    <cellStyle name="Input 2 14" xfId="603"/>
    <cellStyle name="Input 2 15" xfId="832"/>
    <cellStyle name="Input 2 16" xfId="894"/>
    <cellStyle name="Input 2 17" xfId="830"/>
    <cellStyle name="Input 2 18" xfId="1006"/>
    <cellStyle name="Input 2 19" xfId="940"/>
    <cellStyle name="Input 2 2" xfId="172"/>
    <cellStyle name="Input 2 20" xfId="965"/>
    <cellStyle name="Input 2 21" xfId="1154"/>
    <cellStyle name="Input 2 22" xfId="1211"/>
    <cellStyle name="Input 2 23" xfId="1064"/>
    <cellStyle name="Input 2 24" xfId="1183"/>
    <cellStyle name="Input 2 25" xfId="1208"/>
    <cellStyle name="Input 2 26" xfId="1186"/>
    <cellStyle name="Input 2 27" xfId="1187"/>
    <cellStyle name="Input 2 28" xfId="1284"/>
    <cellStyle name="Input 2 29" xfId="1382"/>
    <cellStyle name="Input 2 3" xfId="233"/>
    <cellStyle name="Input 2 30" xfId="1425"/>
    <cellStyle name="Input 2 31" xfId="1468"/>
    <cellStyle name="Input 2 32" xfId="1640"/>
    <cellStyle name="Input 2 33" xfId="1417"/>
    <cellStyle name="Input 2 34" xfId="1667"/>
    <cellStyle name="Input 2 35" xfId="1634"/>
    <cellStyle name="Input 2 36" xfId="1630"/>
    <cellStyle name="Input 2 37" xfId="1726"/>
    <cellStyle name="Input 2 38" xfId="1902"/>
    <cellStyle name="Input 2 39" xfId="1820"/>
    <cellStyle name="Input 2 4" xfId="163"/>
    <cellStyle name="Input 2 40" xfId="1861"/>
    <cellStyle name="Input 2 41" xfId="2040"/>
    <cellStyle name="Input 2 42" xfId="1835"/>
    <cellStyle name="Input 2 43" xfId="2012"/>
    <cellStyle name="Input 2 44" xfId="2016"/>
    <cellStyle name="Input 2 45" xfId="1940"/>
    <cellStyle name="Input 2 46" xfId="2118"/>
    <cellStyle name="Input 2 47" xfId="2155"/>
    <cellStyle name="Input 2 48" xfId="2236"/>
    <cellStyle name="Input 2 5" xfId="239"/>
    <cellStyle name="Input 2 6" xfId="285"/>
    <cellStyle name="Input 2 7" xfId="328"/>
    <cellStyle name="Input 2 8" xfId="371"/>
    <cellStyle name="Input 2 9" xfId="414"/>
    <cellStyle name="Linked Cell 2" xfId="51"/>
    <cellStyle name="Neutral 2" xfId="52"/>
    <cellStyle name="Normal" xfId="0" builtinId="0"/>
    <cellStyle name="Normal 2" xfId="10"/>
    <cellStyle name="Normal 2 2" xfId="2232"/>
    <cellStyle name="Normal 2 2 2" xfId="2290"/>
    <cellStyle name="Normal 2 3" xfId="2291"/>
    <cellStyle name="Normal 2 3 2" xfId="2292"/>
    <cellStyle name="Normal 2 4" xfId="2293"/>
    <cellStyle name="Normal 2 5" xfId="2294"/>
    <cellStyle name="Normal 2 6" xfId="2295"/>
    <cellStyle name="Normal 3" xfId="14"/>
    <cellStyle name="Normal 3 2" xfId="2296"/>
    <cellStyle name="Normal 4" xfId="2230"/>
    <cellStyle name="Normal 4 2" xfId="2297"/>
    <cellStyle name="Normal 4 3" xfId="2298"/>
    <cellStyle name="Normal 5" xfId="2233"/>
    <cellStyle name="Normal 5 2" xfId="2299"/>
    <cellStyle name="Normal 6" xfId="2283"/>
    <cellStyle name="Normal 7" xfId="2284"/>
    <cellStyle name="Normal 7 2" xfId="2301"/>
    <cellStyle name="Normal 8" xfId="2300"/>
    <cellStyle name="Normal_1995 FCWS" xfId="3"/>
    <cellStyle name="Normal_FN1 Ratebase Draft SPP template (6-11-04) v2" xfId="4"/>
    <cellStyle name="Normal_Transmission Property Taxes" xfId="5"/>
    <cellStyle name="Normal_Transmission Property Taxes 2" xfId="117"/>
    <cellStyle name="Note 2" xfId="53"/>
    <cellStyle name="Note 2 10" xfId="537"/>
    <cellStyle name="Note 2 11" xfId="502"/>
    <cellStyle name="Note 2 12" xfId="380"/>
    <cellStyle name="Note 2 13" xfId="626"/>
    <cellStyle name="Note 2 14" xfId="668"/>
    <cellStyle name="Note 2 15" xfId="828"/>
    <cellStyle name="Note 2 16" xfId="890"/>
    <cellStyle name="Note 2 17" xfId="735"/>
    <cellStyle name="Note 2 18" xfId="1002"/>
    <cellStyle name="Note 2 19" xfId="1014"/>
    <cellStyle name="Note 2 2" xfId="175"/>
    <cellStyle name="Note 2 20" xfId="1057"/>
    <cellStyle name="Note 2 21" xfId="1150"/>
    <cellStyle name="Note 2 22" xfId="766"/>
    <cellStyle name="Note 2 23" xfId="1194"/>
    <cellStyle name="Note 2 24" xfId="1248"/>
    <cellStyle name="Note 2 25" xfId="1291"/>
    <cellStyle name="Note 2 26" xfId="1326"/>
    <cellStyle name="Note 2 27" xfId="1376"/>
    <cellStyle name="Note 2 28" xfId="1419"/>
    <cellStyle name="Note 2 29" xfId="1462"/>
    <cellStyle name="Note 2 3" xfId="152"/>
    <cellStyle name="Note 2 30" xfId="1505"/>
    <cellStyle name="Note 2 31" xfId="1548"/>
    <cellStyle name="Note 2 32" xfId="1566"/>
    <cellStyle name="Note 2 33" xfId="1623"/>
    <cellStyle name="Note 2 34" xfId="1540"/>
    <cellStyle name="Note 2 35" xfId="1720"/>
    <cellStyle name="Note 2 36" xfId="1763"/>
    <cellStyle name="Note 2 37" xfId="1805"/>
    <cellStyle name="Note 2 38" xfId="1898"/>
    <cellStyle name="Note 2 39" xfId="1910"/>
    <cellStyle name="Note 2 4" xfId="279"/>
    <cellStyle name="Note 2 40" xfId="1953"/>
    <cellStyle name="Note 2 41" xfId="1971"/>
    <cellStyle name="Note 2 42" xfId="2024"/>
    <cellStyle name="Note 2 43" xfId="2067"/>
    <cellStyle name="Note 2 44" xfId="2112"/>
    <cellStyle name="Note 2 45" xfId="2149"/>
    <cellStyle name="Note 2 46" xfId="2180"/>
    <cellStyle name="Note 2 47" xfId="2210"/>
    <cellStyle name="Note 2 48" xfId="2237"/>
    <cellStyle name="Note 2 5" xfId="322"/>
    <cellStyle name="Note 2 6" xfId="365"/>
    <cellStyle name="Note 2 7" xfId="408"/>
    <cellStyle name="Note 2 8" xfId="451"/>
    <cellStyle name="Note 2 9" xfId="494"/>
    <cellStyle name="Output 2" xfId="54"/>
    <cellStyle name="Output 2 10" xfId="530"/>
    <cellStyle name="Output 2 11" xfId="545"/>
    <cellStyle name="Output 2 12" xfId="350"/>
    <cellStyle name="Output 2 13" xfId="659"/>
    <cellStyle name="Output 2 14" xfId="547"/>
    <cellStyle name="Output 2 15" xfId="607"/>
    <cellStyle name="Output 2 16" xfId="771"/>
    <cellStyle name="Output 2 17" xfId="714"/>
    <cellStyle name="Output 2 18" xfId="833"/>
    <cellStyle name="Output 2 19" xfId="801"/>
    <cellStyle name="Output 2 2" xfId="176"/>
    <cellStyle name="Output 2 20" xfId="889"/>
    <cellStyle name="Output 2 21" xfId="934"/>
    <cellStyle name="Output 2 22" xfId="928"/>
    <cellStyle name="Output 2 23" xfId="1007"/>
    <cellStyle name="Output 2 24" xfId="1050"/>
    <cellStyle name="Output 2 25" xfId="1093"/>
    <cellStyle name="Output 2 26" xfId="1029"/>
    <cellStyle name="Output 2 27" xfId="811"/>
    <cellStyle name="Output 2 28" xfId="1196"/>
    <cellStyle name="Output 2 29" xfId="1241"/>
    <cellStyle name="Output 2 3" xfId="151"/>
    <cellStyle name="Output 2 30" xfId="1334"/>
    <cellStyle name="Output 2 31" xfId="1369"/>
    <cellStyle name="Output 2 32" xfId="1412"/>
    <cellStyle name="Output 2 33" xfId="1455"/>
    <cellStyle name="Output 2 34" xfId="1498"/>
    <cellStyle name="Output 2 35" xfId="1541"/>
    <cellStyle name="Output 2 36" xfId="1513"/>
    <cellStyle name="Output 2 37" xfId="1625"/>
    <cellStyle name="Output 2 38" xfId="1622"/>
    <cellStyle name="Output 2 39" xfId="1713"/>
    <cellStyle name="Output 2 4" xfId="272"/>
    <cellStyle name="Output 2 40" xfId="1756"/>
    <cellStyle name="Output 2 41" xfId="1799"/>
    <cellStyle name="Output 2 42" xfId="1841"/>
    <cellStyle name="Output 2 43" xfId="1778"/>
    <cellStyle name="Output 2 44" xfId="1903"/>
    <cellStyle name="Output 2 45" xfId="1946"/>
    <cellStyle name="Output 2 46" xfId="1918"/>
    <cellStyle name="Output 2 47" xfId="2026"/>
    <cellStyle name="Output 2 48" xfId="1945"/>
    <cellStyle name="Output 2 49" xfId="2106"/>
    <cellStyle name="Output 2 5" xfId="315"/>
    <cellStyle name="Output 2 50" xfId="2144"/>
    <cellStyle name="Output 2 51" xfId="2178"/>
    <cellStyle name="Output 2 52" xfId="2208"/>
    <cellStyle name="Output 2 53" xfId="2238"/>
    <cellStyle name="Output 2 6" xfId="358"/>
    <cellStyle name="Output 2 7" xfId="401"/>
    <cellStyle name="Output 2 8" xfId="444"/>
    <cellStyle name="Output 2 9" xfId="487"/>
    <cellStyle name="Percent" xfId="6" builtinId="5"/>
    <cellStyle name="Percent 2" xfId="8"/>
    <cellStyle name="Percent 2 2" xfId="12"/>
    <cellStyle name="Percent 3" xfId="119"/>
    <cellStyle name="Percent 4" xfId="2286"/>
    <cellStyle name="Percent 4 2" xfId="2302"/>
    <cellStyle name="SAPBEXaggData" xfId="55"/>
    <cellStyle name="SAPBEXaggData 10" xfId="505"/>
    <cellStyle name="SAPBEXaggData 11" xfId="567"/>
    <cellStyle name="SAPBEXaggData 12" xfId="488"/>
    <cellStyle name="SAPBEXaggData 13" xfId="544"/>
    <cellStyle name="SAPBEXaggData 14" xfId="705"/>
    <cellStyle name="SAPBEXaggData 15" xfId="571"/>
    <cellStyle name="SAPBEXaggData 16" xfId="767"/>
    <cellStyle name="SAPBEXaggData 17" xfId="897"/>
    <cellStyle name="SAPBEXaggData 18" xfId="917"/>
    <cellStyle name="SAPBEXaggData 19" xfId="929"/>
    <cellStyle name="SAPBEXaggData 2" xfId="177"/>
    <cellStyle name="SAPBEXaggData 20" xfId="1025"/>
    <cellStyle name="SAPBEXaggData 21" xfId="974"/>
    <cellStyle name="SAPBEXaggData 22" xfId="1122"/>
    <cellStyle name="SAPBEXaggData 23" xfId="1101"/>
    <cellStyle name="SAPBEXaggData 24" xfId="1152"/>
    <cellStyle name="SAPBEXaggData 25" xfId="1259"/>
    <cellStyle name="SAPBEXaggData 26" xfId="1327"/>
    <cellStyle name="SAPBEXaggData 27" xfId="1274"/>
    <cellStyle name="SAPBEXaggData 28" xfId="1387"/>
    <cellStyle name="SAPBEXaggData 29" xfId="1430"/>
    <cellStyle name="SAPBEXaggData 3" xfId="150"/>
    <cellStyle name="SAPBEXaggData 30" xfId="1473"/>
    <cellStyle name="SAPBEXaggData 31" xfId="1516"/>
    <cellStyle name="SAPBEXaggData 32" xfId="1556"/>
    <cellStyle name="SAPBEXaggData 33" xfId="1504"/>
    <cellStyle name="SAPBEXaggData 34" xfId="1263"/>
    <cellStyle name="SAPBEXaggData 35" xfId="1684"/>
    <cellStyle name="SAPBEXaggData 36" xfId="1731"/>
    <cellStyle name="SAPBEXaggData 37" xfId="1774"/>
    <cellStyle name="SAPBEXaggData 38" xfId="1728"/>
    <cellStyle name="SAPBEXaggData 39" xfId="1781"/>
    <cellStyle name="SAPBEXaggData 4" xfId="240"/>
    <cellStyle name="SAPBEXaggData 40" xfId="1921"/>
    <cellStyle name="SAPBEXaggData 41" xfId="1961"/>
    <cellStyle name="SAPBEXaggData 42" xfId="1909"/>
    <cellStyle name="SAPBEXaggData 43" xfId="2023"/>
    <cellStyle name="SAPBEXaggData 44" xfId="2082"/>
    <cellStyle name="SAPBEXaggData 45" xfId="2122"/>
    <cellStyle name="SAPBEXaggData 46" xfId="2159"/>
    <cellStyle name="SAPBEXaggData 47" xfId="2189"/>
    <cellStyle name="SAPBEXaggData 48" xfId="2239"/>
    <cellStyle name="SAPBEXaggData 5" xfId="290"/>
    <cellStyle name="SAPBEXaggData 6" xfId="333"/>
    <cellStyle name="SAPBEXaggData 7" xfId="376"/>
    <cellStyle name="SAPBEXaggData 8" xfId="419"/>
    <cellStyle name="SAPBEXaggData 9" xfId="462"/>
    <cellStyle name="SAPBEXaggDataEmph" xfId="56"/>
    <cellStyle name="SAPBEXaggDataEmph 10" xfId="501"/>
    <cellStyle name="SAPBEXaggDataEmph 11" xfId="572"/>
    <cellStyle name="SAPBEXaggDataEmph 12" xfId="582"/>
    <cellStyle name="SAPBEXaggDataEmph 13" xfId="660"/>
    <cellStyle name="SAPBEXaggDataEmph 14" xfId="662"/>
    <cellStyle name="SAPBEXaggDataEmph 15" xfId="784"/>
    <cellStyle name="SAPBEXaggDataEmph 16" xfId="846"/>
    <cellStyle name="SAPBEXaggDataEmph 17" xfId="901"/>
    <cellStyle name="SAPBEXaggDataEmph 18" xfId="958"/>
    <cellStyle name="SAPBEXaggDataEmph 19" xfId="933"/>
    <cellStyle name="SAPBEXaggDataEmph 2" xfId="178"/>
    <cellStyle name="SAPBEXaggDataEmph 20" xfId="1021"/>
    <cellStyle name="SAPBEXaggDataEmph 21" xfId="1106"/>
    <cellStyle name="SAPBEXaggDataEmph 22" xfId="1146"/>
    <cellStyle name="SAPBEXaggDataEmph 23" xfId="1044"/>
    <cellStyle name="SAPBEXaggDataEmph 24" xfId="1193"/>
    <cellStyle name="SAPBEXaggDataEmph 25" xfId="1255"/>
    <cellStyle name="SAPBEXaggDataEmph 26" xfId="1302"/>
    <cellStyle name="SAPBEXaggDataEmph 27" xfId="1343"/>
    <cellStyle name="SAPBEXaggDataEmph 28" xfId="1383"/>
    <cellStyle name="SAPBEXaggDataEmph 29" xfId="1426"/>
    <cellStyle name="SAPBEXaggDataEmph 3" xfId="223"/>
    <cellStyle name="SAPBEXaggDataEmph 30" xfId="1469"/>
    <cellStyle name="SAPBEXaggDataEmph 31" xfId="1512"/>
    <cellStyle name="SAPBEXaggDataEmph 32" xfId="1578"/>
    <cellStyle name="SAPBEXaggDataEmph 33" xfId="1580"/>
    <cellStyle name="SAPBEXaggDataEmph 34" xfId="1342"/>
    <cellStyle name="SAPBEXaggDataEmph 35" xfId="1607"/>
    <cellStyle name="SAPBEXaggDataEmph 36" xfId="1727"/>
    <cellStyle name="SAPBEXaggDataEmph 37" xfId="1770"/>
    <cellStyle name="SAPBEXaggDataEmph 38" xfId="1854"/>
    <cellStyle name="SAPBEXaggDataEmph 39" xfId="1848"/>
    <cellStyle name="SAPBEXaggDataEmph 4" xfId="131"/>
    <cellStyle name="SAPBEXaggDataEmph 40" xfId="1917"/>
    <cellStyle name="SAPBEXaggDataEmph 41" xfId="1983"/>
    <cellStyle name="SAPBEXaggDataEmph 42" xfId="1985"/>
    <cellStyle name="SAPBEXaggDataEmph 43" xfId="1866"/>
    <cellStyle name="SAPBEXaggDataEmph 44" xfId="2019"/>
    <cellStyle name="SAPBEXaggDataEmph 45" xfId="2119"/>
    <cellStyle name="SAPBEXaggDataEmph 46" xfId="2156"/>
    <cellStyle name="SAPBEXaggDataEmph 47" xfId="2186"/>
    <cellStyle name="SAPBEXaggDataEmph 48" xfId="2240"/>
    <cellStyle name="SAPBEXaggDataEmph 5" xfId="286"/>
    <cellStyle name="SAPBEXaggDataEmph 6" xfId="329"/>
    <cellStyle name="SAPBEXaggDataEmph 7" xfId="372"/>
    <cellStyle name="SAPBEXaggDataEmph 8" xfId="415"/>
    <cellStyle name="SAPBEXaggDataEmph 9" xfId="458"/>
    <cellStyle name="SAPBEXaggItem" xfId="57"/>
    <cellStyle name="SAPBEXaggItem 10" xfId="503"/>
    <cellStyle name="SAPBEXaggItem 11" xfId="373"/>
    <cellStyle name="SAPBEXaggItem 12" xfId="569"/>
    <cellStyle name="SAPBEXaggItem 13" xfId="665"/>
    <cellStyle name="SAPBEXaggItem 14" xfId="664"/>
    <cellStyle name="SAPBEXaggItem 15" xfId="712"/>
    <cellStyle name="SAPBEXaggItem 16" xfId="793"/>
    <cellStyle name="SAPBEXaggItem 17" xfId="896"/>
    <cellStyle name="SAPBEXaggItem 18" xfId="923"/>
    <cellStyle name="SAPBEXaggItem 19" xfId="919"/>
    <cellStyle name="SAPBEXaggItem 2" xfId="179"/>
    <cellStyle name="SAPBEXaggItem 20" xfId="1023"/>
    <cellStyle name="SAPBEXaggItem 21" xfId="867"/>
    <cellStyle name="SAPBEXaggItem 22" xfId="1049"/>
    <cellStyle name="SAPBEXaggItem 23" xfId="873"/>
    <cellStyle name="SAPBEXaggItem 24" xfId="1083"/>
    <cellStyle name="SAPBEXaggItem 25" xfId="1257"/>
    <cellStyle name="SAPBEXaggItem 26" xfId="1298"/>
    <cellStyle name="SAPBEXaggItem 27" xfId="1344"/>
    <cellStyle name="SAPBEXaggItem 28" xfId="1385"/>
    <cellStyle name="SAPBEXaggItem 29" xfId="1428"/>
    <cellStyle name="SAPBEXaggItem 3" xfId="234"/>
    <cellStyle name="SAPBEXaggItem 30" xfId="1471"/>
    <cellStyle name="SAPBEXaggItem 31" xfId="1514"/>
    <cellStyle name="SAPBEXaggItem 32" xfId="1583"/>
    <cellStyle name="SAPBEXaggItem 33" xfId="1348"/>
    <cellStyle name="SAPBEXaggItem 34" xfId="1665"/>
    <cellStyle name="SAPBEXaggItem 35" xfId="1617"/>
    <cellStyle name="SAPBEXaggItem 36" xfId="1729"/>
    <cellStyle name="SAPBEXaggItem 37" xfId="1772"/>
    <cellStyle name="SAPBEXaggItem 38" xfId="1683"/>
    <cellStyle name="SAPBEXaggItem 39" xfId="1738"/>
    <cellStyle name="SAPBEXaggItem 4" xfId="135"/>
    <cellStyle name="SAPBEXaggItem 40" xfId="1919"/>
    <cellStyle name="SAPBEXaggItem 41" xfId="1988"/>
    <cellStyle name="SAPBEXaggItem 42" xfId="1897"/>
    <cellStyle name="SAPBEXaggItem 43" xfId="1758"/>
    <cellStyle name="SAPBEXaggItem 44" xfId="2080"/>
    <cellStyle name="SAPBEXaggItem 45" xfId="2120"/>
    <cellStyle name="SAPBEXaggItem 46" xfId="2157"/>
    <cellStyle name="SAPBEXaggItem 47" xfId="2187"/>
    <cellStyle name="SAPBEXaggItem 48" xfId="2241"/>
    <cellStyle name="SAPBEXaggItem 5" xfId="288"/>
    <cellStyle name="SAPBEXaggItem 6" xfId="331"/>
    <cellStyle name="SAPBEXaggItem 7" xfId="374"/>
    <cellStyle name="SAPBEXaggItem 8" xfId="417"/>
    <cellStyle name="SAPBEXaggItem 9" xfId="460"/>
    <cellStyle name="SAPBEXaggItemX" xfId="58"/>
    <cellStyle name="SAPBEXaggItemX 10" xfId="504"/>
    <cellStyle name="SAPBEXaggItemX 11" xfId="500"/>
    <cellStyle name="SAPBEXaggItemX 12" xfId="337"/>
    <cellStyle name="SAPBEXaggItemX 13" xfId="529"/>
    <cellStyle name="SAPBEXaggItemX 14" xfId="661"/>
    <cellStyle name="SAPBEXaggItemX 15" xfId="707"/>
    <cellStyle name="SAPBEXaggItemX 16" xfId="745"/>
    <cellStyle name="SAPBEXaggItemX 17" xfId="763"/>
    <cellStyle name="SAPBEXaggItemX 18" xfId="710"/>
    <cellStyle name="SAPBEXaggItemX 19" xfId="667"/>
    <cellStyle name="SAPBEXaggItemX 2" xfId="180"/>
    <cellStyle name="SAPBEXaggItemX 20" xfId="800"/>
    <cellStyle name="SAPBEXaggItemX 21" xfId="674"/>
    <cellStyle name="SAPBEXaggItemX 22" xfId="946"/>
    <cellStyle name="SAPBEXaggItemX 23" xfId="925"/>
    <cellStyle name="SAPBEXaggItemX 24" xfId="1024"/>
    <cellStyle name="SAPBEXaggItemX 25" xfId="1067"/>
    <cellStyle name="SAPBEXaggItemX 26" xfId="1085"/>
    <cellStyle name="SAPBEXaggItemX 27" xfId="1108"/>
    <cellStyle name="SAPBEXaggItemX 28" xfId="1090"/>
    <cellStyle name="SAPBEXaggItemX 29" xfId="1153"/>
    <cellStyle name="SAPBEXaggItemX 3" xfId="224"/>
    <cellStyle name="SAPBEXaggItemX 30" xfId="1258"/>
    <cellStyle name="SAPBEXaggItemX 31" xfId="1300"/>
    <cellStyle name="SAPBEXaggItemX 32" xfId="1345"/>
    <cellStyle name="SAPBEXaggItemX 33" xfId="1386"/>
    <cellStyle name="SAPBEXaggItemX 34" xfId="1429"/>
    <cellStyle name="SAPBEXaggItemX 35" xfId="1472"/>
    <cellStyle name="SAPBEXaggItemX 36" xfId="1515"/>
    <cellStyle name="SAPBEXaggItemX 37" xfId="1384"/>
    <cellStyle name="SAPBEXaggItemX 38" xfId="1499"/>
    <cellStyle name="SAPBEXaggItemX 39" xfId="1676"/>
    <cellStyle name="SAPBEXaggItemX 4" xfId="133"/>
    <cellStyle name="SAPBEXaggItemX 40" xfId="1682"/>
    <cellStyle name="SAPBEXaggItemX 41" xfId="1730"/>
    <cellStyle name="SAPBEXaggItemX 42" xfId="1773"/>
    <cellStyle name="SAPBEXaggItemX 43" xfId="1815"/>
    <cellStyle name="SAPBEXaggItemX 44" xfId="1833"/>
    <cellStyle name="SAPBEXaggItemX 45" xfId="1695"/>
    <cellStyle name="SAPBEXaggItemX 46" xfId="1920"/>
    <cellStyle name="SAPBEXaggItemX 47" xfId="1837"/>
    <cellStyle name="SAPBEXaggItemX 48" xfId="1904"/>
    <cellStyle name="SAPBEXaggItemX 49" xfId="2064"/>
    <cellStyle name="SAPBEXaggItemX 5" xfId="289"/>
    <cellStyle name="SAPBEXaggItemX 50" xfId="2081"/>
    <cellStyle name="SAPBEXaggItemX 51" xfId="2121"/>
    <cellStyle name="SAPBEXaggItemX 52" xfId="2158"/>
    <cellStyle name="SAPBEXaggItemX 53" xfId="2188"/>
    <cellStyle name="SAPBEXaggItemX 54" xfId="2242"/>
    <cellStyle name="SAPBEXaggItemX 6" xfId="332"/>
    <cellStyle name="SAPBEXaggItemX 7" xfId="375"/>
    <cellStyle name="SAPBEXaggItemX 8" xfId="418"/>
    <cellStyle name="SAPBEXaggItemX 9" xfId="461"/>
    <cellStyle name="SAPBEXchaText" xfId="59"/>
    <cellStyle name="SAPBEXchaText 10" xfId="527"/>
    <cellStyle name="SAPBEXchaText 11" xfId="297"/>
    <cellStyle name="SAPBEXchaText 12" xfId="612"/>
    <cellStyle name="SAPBEXchaText 13" xfId="598"/>
    <cellStyle name="SAPBEXchaText 14" xfId="731"/>
    <cellStyle name="SAPBEXchaText 15" xfId="491"/>
    <cellStyle name="SAPBEXchaText 16" xfId="711"/>
    <cellStyle name="SAPBEXchaText 17" xfId="824"/>
    <cellStyle name="SAPBEXchaText 18" xfId="840"/>
    <cellStyle name="SAPBEXchaText 19" xfId="886"/>
    <cellStyle name="SAPBEXchaText 2" xfId="181"/>
    <cellStyle name="SAPBEXchaText 20" xfId="1047"/>
    <cellStyle name="SAPBEXchaText 21" xfId="782"/>
    <cellStyle name="SAPBEXchaText 22" xfId="1072"/>
    <cellStyle name="SAPBEXchaText 23" xfId="1172"/>
    <cellStyle name="SAPBEXchaText 24" xfId="1238"/>
    <cellStyle name="SAPBEXchaText 25" xfId="1281"/>
    <cellStyle name="SAPBEXchaText 26" xfId="1301"/>
    <cellStyle name="SAPBEXchaText 27" xfId="1366"/>
    <cellStyle name="SAPBEXchaText 28" xfId="1409"/>
    <cellStyle name="SAPBEXchaText 29" xfId="1452"/>
    <cellStyle name="SAPBEXchaText 3" xfId="145"/>
    <cellStyle name="SAPBEXchaText 30" xfId="1495"/>
    <cellStyle name="SAPBEXchaText 31" xfId="1538"/>
    <cellStyle name="SAPBEXchaText 32" xfId="1511"/>
    <cellStyle name="SAPBEXchaText 33" xfId="1601"/>
    <cellStyle name="SAPBEXchaText 34" xfId="1666"/>
    <cellStyle name="SAPBEXchaText 35" xfId="1710"/>
    <cellStyle name="SAPBEXchaText 36" xfId="1753"/>
    <cellStyle name="SAPBEXchaText 37" xfId="1796"/>
    <cellStyle name="SAPBEXchaText 38" xfId="1748"/>
    <cellStyle name="SAPBEXchaText 39" xfId="1535"/>
    <cellStyle name="SAPBEXchaText 4" xfId="269"/>
    <cellStyle name="SAPBEXchaText 40" xfId="1943"/>
    <cellStyle name="SAPBEXchaText 41" xfId="1916"/>
    <cellStyle name="SAPBEXchaText 42" xfId="2006"/>
    <cellStyle name="SAPBEXchaText 43" xfId="2075"/>
    <cellStyle name="SAPBEXchaText 44" xfId="2103"/>
    <cellStyle name="SAPBEXchaText 45" xfId="2141"/>
    <cellStyle name="SAPBEXchaText 46" xfId="2176"/>
    <cellStyle name="SAPBEXchaText 47" xfId="2206"/>
    <cellStyle name="SAPBEXchaText 48" xfId="2243"/>
    <cellStyle name="SAPBEXchaText 5" xfId="312"/>
    <cellStyle name="SAPBEXchaText 6" xfId="355"/>
    <cellStyle name="SAPBEXchaText 7" xfId="398"/>
    <cellStyle name="SAPBEXchaText 8" xfId="441"/>
    <cellStyle name="SAPBEXchaText 9" xfId="484"/>
    <cellStyle name="SAPBEXexcBad7" xfId="60"/>
    <cellStyle name="SAPBEXexcBad7 10" xfId="538"/>
    <cellStyle name="SAPBEXexcBad7 11" xfId="423"/>
    <cellStyle name="SAPBEXexcBad7 12" xfId="531"/>
    <cellStyle name="SAPBEXexcBad7 13" xfId="693"/>
    <cellStyle name="SAPBEXexcBad7 14" xfId="548"/>
    <cellStyle name="SAPBEXexcBad7 15" xfId="774"/>
    <cellStyle name="SAPBEXexcBad7 16" xfId="836"/>
    <cellStyle name="SAPBEXexcBad7 17" xfId="587"/>
    <cellStyle name="SAPBEXexcBad7 18" xfId="743"/>
    <cellStyle name="SAPBEXexcBad7 19" xfId="1015"/>
    <cellStyle name="SAPBEXexcBad7 2" xfId="182"/>
    <cellStyle name="SAPBEXexcBad7 20" xfId="1058"/>
    <cellStyle name="SAPBEXexcBad7 21" xfId="1096"/>
    <cellStyle name="SAPBEXexcBad7 22" xfId="1075"/>
    <cellStyle name="SAPBEXexcBad7 23" xfId="1054"/>
    <cellStyle name="SAPBEXexcBad7 24" xfId="1249"/>
    <cellStyle name="SAPBEXexcBad7 25" xfId="1292"/>
    <cellStyle name="SAPBEXexcBad7 26" xfId="1324"/>
    <cellStyle name="SAPBEXexcBad7 27" xfId="1377"/>
    <cellStyle name="SAPBEXexcBad7 28" xfId="1420"/>
    <cellStyle name="SAPBEXexcBad7 29" xfId="1463"/>
    <cellStyle name="SAPBEXexcBad7 3" xfId="148"/>
    <cellStyle name="SAPBEXexcBad7 30" xfId="1506"/>
    <cellStyle name="SAPBEXexcBad7 31" xfId="1549"/>
    <cellStyle name="SAPBEXexcBad7 32" xfId="1309"/>
    <cellStyle name="SAPBEXexcBad7 33" xfId="1391"/>
    <cellStyle name="SAPBEXexcBad7 34" xfId="1642"/>
    <cellStyle name="SAPBEXexcBad7 35" xfId="1721"/>
    <cellStyle name="SAPBEXexcBad7 36" xfId="1764"/>
    <cellStyle name="SAPBEXexcBad7 37" xfId="1806"/>
    <cellStyle name="SAPBEXexcBad7 38" xfId="1844"/>
    <cellStyle name="SAPBEXexcBad7 39" xfId="1911"/>
    <cellStyle name="SAPBEXexcBad7 4" xfId="280"/>
    <cellStyle name="SAPBEXexcBad7 40" xfId="1954"/>
    <cellStyle name="SAPBEXexcBad7 41" xfId="1863"/>
    <cellStyle name="SAPBEXexcBad7 42" xfId="1681"/>
    <cellStyle name="SAPBEXexcBad7 43" xfId="2065"/>
    <cellStyle name="SAPBEXexcBad7 44" xfId="2113"/>
    <cellStyle name="SAPBEXexcBad7 45" xfId="2150"/>
    <cellStyle name="SAPBEXexcBad7 46" xfId="2181"/>
    <cellStyle name="SAPBEXexcBad7 47" xfId="2211"/>
    <cellStyle name="SAPBEXexcBad7 48" xfId="2244"/>
    <cellStyle name="SAPBEXexcBad7 5" xfId="323"/>
    <cellStyle name="SAPBEXexcBad7 6" xfId="366"/>
    <cellStyle name="SAPBEXexcBad7 7" xfId="409"/>
    <cellStyle name="SAPBEXexcBad7 8" xfId="452"/>
    <cellStyle name="SAPBEXexcBad7 9" xfId="495"/>
    <cellStyle name="SAPBEXexcBad8" xfId="61"/>
    <cellStyle name="SAPBEXexcBad8 10" xfId="528"/>
    <cellStyle name="SAPBEXexcBad8 11" xfId="575"/>
    <cellStyle name="SAPBEXexcBad8 12" xfId="623"/>
    <cellStyle name="SAPBEXexcBad8 13" xfId="738"/>
    <cellStyle name="SAPBEXexcBad8 14" xfId="729"/>
    <cellStyle name="SAPBEXexcBad8 15" xfId="776"/>
    <cellStyle name="SAPBEXexcBad8 16" xfId="838"/>
    <cellStyle name="SAPBEXexcBad8 17" xfId="772"/>
    <cellStyle name="SAPBEXexcBad8 18" xfId="950"/>
    <cellStyle name="SAPBEXexcBad8 19" xfId="848"/>
    <cellStyle name="SAPBEXexcBad8 2" xfId="183"/>
    <cellStyle name="SAPBEXexcBad8 20" xfId="1048"/>
    <cellStyle name="SAPBEXexcBad8 21" xfId="1098"/>
    <cellStyle name="SAPBEXexcBad8 22" xfId="1149"/>
    <cellStyle name="SAPBEXexcBad8 23" xfId="1195"/>
    <cellStyle name="SAPBEXexcBad8 24" xfId="1239"/>
    <cellStyle name="SAPBEXexcBad8 25" xfId="1282"/>
    <cellStyle name="SAPBEXexcBad8 26" xfId="1335"/>
    <cellStyle name="SAPBEXexcBad8 27" xfId="1367"/>
    <cellStyle name="SAPBEXexcBad8 28" xfId="1410"/>
    <cellStyle name="SAPBEXexcBad8 29" xfId="1453"/>
    <cellStyle name="SAPBEXexcBad8 3" xfId="147"/>
    <cellStyle name="SAPBEXexcBad8 30" xfId="1496"/>
    <cellStyle name="SAPBEXexcBad8 31" xfId="1539"/>
    <cellStyle name="SAPBEXexcBad8 32" xfId="1434"/>
    <cellStyle name="SAPBEXexcBad8 33" xfId="1624"/>
    <cellStyle name="SAPBEXexcBad8 34" xfId="1619"/>
    <cellStyle name="SAPBEXexcBad8 35" xfId="1711"/>
    <cellStyle name="SAPBEXexcBad8 36" xfId="1754"/>
    <cellStyle name="SAPBEXexcBad8 37" xfId="1797"/>
    <cellStyle name="SAPBEXexcBad8 38" xfId="1846"/>
    <cellStyle name="SAPBEXexcBad8 39" xfId="1635"/>
    <cellStyle name="SAPBEXexcBad8 4" xfId="270"/>
    <cellStyle name="SAPBEXexcBad8 40" xfId="1944"/>
    <cellStyle name="SAPBEXexcBad8 41" xfId="1871"/>
    <cellStyle name="SAPBEXexcBad8 42" xfId="2025"/>
    <cellStyle name="SAPBEXexcBad8 43" xfId="2042"/>
    <cellStyle name="SAPBEXexcBad8 44" xfId="2104"/>
    <cellStyle name="SAPBEXexcBad8 45" xfId="2142"/>
    <cellStyle name="SAPBEXexcBad8 46" xfId="2177"/>
    <cellStyle name="SAPBEXexcBad8 47" xfId="2207"/>
    <cellStyle name="SAPBEXexcBad8 48" xfId="2245"/>
    <cellStyle name="SAPBEXexcBad8 5" xfId="313"/>
    <cellStyle name="SAPBEXexcBad8 6" xfId="356"/>
    <cellStyle name="SAPBEXexcBad8 7" xfId="399"/>
    <cellStyle name="SAPBEXexcBad8 8" xfId="442"/>
    <cellStyle name="SAPBEXexcBad8 9" xfId="485"/>
    <cellStyle name="SAPBEXexcBad9" xfId="62"/>
    <cellStyle name="SAPBEXexcBad9 10" xfId="264"/>
    <cellStyle name="SAPBEXexcBad9 11" xfId="579"/>
    <cellStyle name="SAPBEXexcBad9 12" xfId="583"/>
    <cellStyle name="SAPBEXexcBad9 13" xfId="512"/>
    <cellStyle name="SAPBEXexcBad9 14" xfId="706"/>
    <cellStyle name="SAPBEXexcBad9 15" xfId="737"/>
    <cellStyle name="SAPBEXexcBad9 16" xfId="307"/>
    <cellStyle name="SAPBEXexcBad9 17" xfId="689"/>
    <cellStyle name="SAPBEXexcBad9 18" xfId="818"/>
    <cellStyle name="SAPBEXexcBad9 19" xfId="744"/>
    <cellStyle name="SAPBEXexcBad9 2" xfId="184"/>
    <cellStyle name="SAPBEXexcBad9 20" xfId="880"/>
    <cellStyle name="SAPBEXexcBad9 21" xfId="520"/>
    <cellStyle name="SAPBEXexcBad9 22" xfId="956"/>
    <cellStyle name="SAPBEXexcBad9 23" xfId="651"/>
    <cellStyle name="SAPBEXexcBad9 24" xfId="992"/>
    <cellStyle name="SAPBEXexcBad9 25" xfId="891"/>
    <cellStyle name="SAPBEXexcBad9 26" xfId="948"/>
    <cellStyle name="SAPBEXexcBad9 27" xfId="926"/>
    <cellStyle name="SAPBEXexcBad9 28" xfId="1140"/>
    <cellStyle name="SAPBEXexcBad9 29" xfId="1157"/>
    <cellStyle name="SAPBEXexcBad9 3" xfId="146"/>
    <cellStyle name="SAPBEXexcBad9 30" xfId="1131"/>
    <cellStyle name="SAPBEXexcBad9 31" xfId="1213"/>
    <cellStyle name="SAPBEXexcBad9 32" xfId="1066"/>
    <cellStyle name="SAPBEXexcBad9 33" xfId="1325"/>
    <cellStyle name="SAPBEXexcBad9 34" xfId="1285"/>
    <cellStyle name="SAPBEXexcBad9 35" xfId="1246"/>
    <cellStyle name="SAPBEXexcBad9 36" xfId="1276"/>
    <cellStyle name="SAPBEXexcBad9 37" xfId="1330"/>
    <cellStyle name="SAPBEXexcBad9 38" xfId="1180"/>
    <cellStyle name="SAPBEXexcBad9 39" xfId="1586"/>
    <cellStyle name="SAPBEXexcBad9 4" xfId="166"/>
    <cellStyle name="SAPBEXexcBad9 40" xfId="1579"/>
    <cellStyle name="SAPBEXexcBad9 41" xfId="1555"/>
    <cellStyle name="SAPBEXexcBad9 42" xfId="1592"/>
    <cellStyle name="SAPBEXexcBad9 43" xfId="1674"/>
    <cellStyle name="SAPBEXexcBad9 44" xfId="1672"/>
    <cellStyle name="SAPBEXexcBad9 45" xfId="1581"/>
    <cellStyle name="SAPBEXexcBad9 46" xfId="1888"/>
    <cellStyle name="SAPBEXexcBad9 47" xfId="1814"/>
    <cellStyle name="SAPBEXexcBad9 48" xfId="1847"/>
    <cellStyle name="SAPBEXexcBad9 49" xfId="1991"/>
    <cellStyle name="SAPBEXexcBad9 5" xfId="228"/>
    <cellStyle name="SAPBEXexcBad9 50" xfId="1984"/>
    <cellStyle name="SAPBEXexcBad9 51" xfId="2020"/>
    <cellStyle name="SAPBEXexcBad9 52" xfId="1987"/>
    <cellStyle name="SAPBEXexcBad9 53" xfId="2068"/>
    <cellStyle name="SAPBEXexcBad9 54" xfId="2038"/>
    <cellStyle name="SAPBEXexcBad9 55" xfId="1546"/>
    <cellStyle name="SAPBEXexcBad9 56" xfId="2246"/>
    <cellStyle name="SAPBEXexcBad9 6" xfId="231"/>
    <cellStyle name="SAPBEXexcBad9 7" xfId="158"/>
    <cellStyle name="SAPBEXexcBad9 8" xfId="230"/>
    <cellStyle name="SAPBEXexcBad9 9" xfId="218"/>
    <cellStyle name="SAPBEXexcCritical4" xfId="63"/>
    <cellStyle name="SAPBEXexcCritical4 10" xfId="434"/>
    <cellStyle name="SAPBEXexcCritical4 11" xfId="574"/>
    <cellStyle name="SAPBEXexcCritical4 12" xfId="493"/>
    <cellStyle name="SAPBEXexcCritical4 13" xfId="736"/>
    <cellStyle name="SAPBEXexcCritical4 14" xfId="615"/>
    <cellStyle name="SAPBEXexcCritical4 15" xfId="819"/>
    <cellStyle name="SAPBEXexcCritical4 16" xfId="881"/>
    <cellStyle name="SAPBEXexcCritical4 17" xfId="955"/>
    <cellStyle name="SAPBEXexcCritical4 18" xfId="993"/>
    <cellStyle name="SAPBEXexcCritical4 19" xfId="1003"/>
    <cellStyle name="SAPBEXexcCritical4 2" xfId="185"/>
    <cellStyle name="SAPBEXexcCritical4 20" xfId="979"/>
    <cellStyle name="SAPBEXexcCritical4 21" xfId="1141"/>
    <cellStyle name="SAPBEXexcCritical4 22" xfId="1161"/>
    <cellStyle name="SAPBEXexcCritical4 23" xfId="1091"/>
    <cellStyle name="SAPBEXexcCritical4 24" xfId="1190"/>
    <cellStyle name="SAPBEXexcCritical4 25" xfId="1009"/>
    <cellStyle name="SAPBEXexcCritical4 26" xfId="910"/>
    <cellStyle name="SAPBEXexcCritical4 27" xfId="1245"/>
    <cellStyle name="SAPBEXexcCritical4 28" xfId="1317"/>
    <cellStyle name="SAPBEXexcCritical4 29" xfId="1359"/>
    <cellStyle name="SAPBEXexcCritical4 3" xfId="237"/>
    <cellStyle name="SAPBEXexcCritical4 30" xfId="1402"/>
    <cellStyle name="SAPBEXexcCritical4 31" xfId="1445"/>
    <cellStyle name="SAPBEXexcCritical4 32" xfId="1590"/>
    <cellStyle name="SAPBEXexcCritical4 33" xfId="1500"/>
    <cellStyle name="SAPBEXexcCritical4 34" xfId="1559"/>
    <cellStyle name="SAPBEXexcCritical4 35" xfId="1685"/>
    <cellStyle name="SAPBEXexcCritical4 36" xfId="1649"/>
    <cellStyle name="SAPBEXexcCritical4 37" xfId="1703"/>
    <cellStyle name="SAPBEXexcCritical4 38" xfId="1889"/>
    <cellStyle name="SAPBEXexcCritical4 39" xfId="1899"/>
    <cellStyle name="SAPBEXexcCritical4 4" xfId="124"/>
    <cellStyle name="SAPBEXexcCritical4 40" xfId="1875"/>
    <cellStyle name="SAPBEXexcCritical4 41" xfId="1995"/>
    <cellStyle name="SAPBEXexcCritical4 42" xfId="1905"/>
    <cellStyle name="SAPBEXexcCritical4 43" xfId="1960"/>
    <cellStyle name="SAPBEXexcCritical4 44" xfId="2083"/>
    <cellStyle name="SAPBEXexcCritical4 45" xfId="2051"/>
    <cellStyle name="SAPBEXexcCritical4 46" xfId="2097"/>
    <cellStyle name="SAPBEXexcCritical4 47" xfId="2135"/>
    <cellStyle name="SAPBEXexcCritical4 48" xfId="2247"/>
    <cellStyle name="SAPBEXexcCritical4 5" xfId="216"/>
    <cellStyle name="SAPBEXexcCritical4 6" xfId="262"/>
    <cellStyle name="SAPBEXexcCritical4 7" xfId="305"/>
    <cellStyle name="SAPBEXexcCritical4 8" xfId="348"/>
    <cellStyle name="SAPBEXexcCritical4 9" xfId="391"/>
    <cellStyle name="SAPBEXexcCritical5" xfId="64"/>
    <cellStyle name="SAPBEXexcCritical5 10" xfId="405"/>
    <cellStyle name="SAPBEXexcCritical5 11" xfId="393"/>
    <cellStyle name="SAPBEXexcCritical5 12" xfId="489"/>
    <cellStyle name="SAPBEXexcCritical5 13" xfId="734"/>
    <cellStyle name="SAPBEXexcCritical5 14" xfId="663"/>
    <cellStyle name="SAPBEXexcCritical5 15" xfId="817"/>
    <cellStyle name="SAPBEXexcCritical5 16" xfId="879"/>
    <cellStyle name="SAPBEXexcCritical5 17" xfId="954"/>
    <cellStyle name="SAPBEXexcCritical5 18" xfId="991"/>
    <cellStyle name="SAPBEXexcCritical5 19" xfId="778"/>
    <cellStyle name="SAPBEXexcCritical5 2" xfId="186"/>
    <cellStyle name="SAPBEXexcCritical5 20" xfId="903"/>
    <cellStyle name="SAPBEXexcCritical5 21" xfId="1139"/>
    <cellStyle name="SAPBEXexcCritical5 22" xfId="1156"/>
    <cellStyle name="SAPBEXexcCritical5 23" xfId="1167"/>
    <cellStyle name="SAPBEXexcCritical5 24" xfId="1100"/>
    <cellStyle name="SAPBEXexcCritical5 25" xfId="1163"/>
    <cellStyle name="SAPBEXexcCritical5 26" xfId="1231"/>
    <cellStyle name="SAPBEXexcCritical5 27" xfId="1209"/>
    <cellStyle name="SAPBEXexcCritical5 28" xfId="1233"/>
    <cellStyle name="SAPBEXexcCritical5 29" xfId="1289"/>
    <cellStyle name="SAPBEXexcCritical5 3" xfId="235"/>
    <cellStyle name="SAPBEXexcCritical5 30" xfId="1373"/>
    <cellStyle name="SAPBEXexcCritical5 31" xfId="1416"/>
    <cellStyle name="SAPBEXexcCritical5 32" xfId="1585"/>
    <cellStyle name="SAPBEXexcCritical5 33" xfId="1596"/>
    <cellStyle name="SAPBEXexcCritical5 34" xfId="1679"/>
    <cellStyle name="SAPBEXexcCritical5 35" xfId="1686"/>
    <cellStyle name="SAPBEXexcCritical5 36" xfId="1557"/>
    <cellStyle name="SAPBEXexcCritical5 37" xfId="1671"/>
    <cellStyle name="SAPBEXexcCritical5 38" xfId="1887"/>
    <cellStyle name="SAPBEXexcCritical5 39" xfId="1816"/>
    <cellStyle name="SAPBEXexcCritical5 4" xfId="164"/>
    <cellStyle name="SAPBEXexcCritical5 40" xfId="1692"/>
    <cellStyle name="SAPBEXexcCritical5 41" xfId="1990"/>
    <cellStyle name="SAPBEXexcCritical5 42" xfId="2001"/>
    <cellStyle name="SAPBEXexcCritical5 43" xfId="1964"/>
    <cellStyle name="SAPBEXexcCritical5 44" xfId="1755"/>
    <cellStyle name="SAPBEXexcCritical5 45" xfId="1986"/>
    <cellStyle name="SAPBEXexcCritical5 46" xfId="2072"/>
    <cellStyle name="SAPBEXexcCritical5 47" xfId="2110"/>
    <cellStyle name="SAPBEXexcCritical5 48" xfId="2248"/>
    <cellStyle name="SAPBEXexcCritical5 5" xfId="227"/>
    <cellStyle name="SAPBEXexcCritical5 6" xfId="157"/>
    <cellStyle name="SAPBEXexcCritical5 7" xfId="276"/>
    <cellStyle name="SAPBEXexcCritical5 8" xfId="319"/>
    <cellStyle name="SAPBEXexcCritical5 9" xfId="362"/>
    <cellStyle name="SAPBEXexcCritical6" xfId="65"/>
    <cellStyle name="SAPBEXexcCritical6 10" xfId="363"/>
    <cellStyle name="SAPBEXexcCritical6 11" xfId="492"/>
    <cellStyle name="SAPBEXexcCritical6 12" xfId="585"/>
    <cellStyle name="SAPBEXexcCritical6 13" xfId="628"/>
    <cellStyle name="SAPBEXexcCritical6 14" xfId="624"/>
    <cellStyle name="SAPBEXexcCritical6 15" xfId="406"/>
    <cellStyle name="SAPBEXexcCritical6 16" xfId="806"/>
    <cellStyle name="SAPBEXexcCritical6 17" xfId="952"/>
    <cellStyle name="SAPBEXexcCritical6 18" xfId="931"/>
    <cellStyle name="SAPBEXexcCritical6 19" xfId="831"/>
    <cellStyle name="SAPBEXexcCritical6 2" xfId="187"/>
    <cellStyle name="SAPBEXexcCritical6 20" xfId="834"/>
    <cellStyle name="SAPBEXexcCritical6 21" xfId="1042"/>
    <cellStyle name="SAPBEXexcCritical6 22" xfId="1065"/>
    <cellStyle name="SAPBEXexcCritical6 23" xfId="1165"/>
    <cellStyle name="SAPBEXexcCritical6 24" xfId="1032"/>
    <cellStyle name="SAPBEXexcCritical6 25" xfId="746"/>
    <cellStyle name="SAPBEXexcCritical6 26" xfId="1095"/>
    <cellStyle name="SAPBEXexcCritical6 27" xfId="1151"/>
    <cellStyle name="SAPBEXexcCritical6 28" xfId="1288"/>
    <cellStyle name="SAPBEXexcCritical6 29" xfId="1205"/>
    <cellStyle name="SAPBEXexcCritical6 3" xfId="222"/>
    <cellStyle name="SAPBEXexcCritical6 30" xfId="1331"/>
    <cellStyle name="SAPBEXexcCritical6 31" xfId="1374"/>
    <cellStyle name="SAPBEXexcCritical6 32" xfId="1404"/>
    <cellStyle name="SAPBEXexcCritical6 33" xfId="1594"/>
    <cellStyle name="SAPBEXexcCritical6 34" xfId="1677"/>
    <cellStyle name="SAPBEXexcCritical6 35" xfId="1427"/>
    <cellStyle name="SAPBEXexcCritical6 36" xfId="1669"/>
    <cellStyle name="SAPBEXexcCritical6 37" xfId="1673"/>
    <cellStyle name="SAPBEXexcCritical6 38" xfId="1791"/>
    <cellStyle name="SAPBEXexcCritical6 39" xfId="1812"/>
    <cellStyle name="SAPBEXexcCritical6 4" xfId="165"/>
    <cellStyle name="SAPBEXexcCritical6 40" xfId="1843"/>
    <cellStyle name="SAPBEXexcCritical6 41" xfId="1771"/>
    <cellStyle name="SAPBEXexcCritical6 42" xfId="1999"/>
    <cellStyle name="SAPBEXexcCritical6 43" xfId="2078"/>
    <cellStyle name="SAPBEXexcCritical6 44" xfId="1997"/>
    <cellStyle name="SAPBEXexcCritical6 45" xfId="1962"/>
    <cellStyle name="SAPBEXexcCritical6 46" xfId="2071"/>
    <cellStyle name="SAPBEXexcCritical6 47" xfId="2070"/>
    <cellStyle name="SAPBEXexcCritical6 48" xfId="2249"/>
    <cellStyle name="SAPBEXexcCritical6 5" xfId="232"/>
    <cellStyle name="SAPBEXexcCritical6 6" xfId="229"/>
    <cellStyle name="SAPBEXexcCritical6 7" xfId="160"/>
    <cellStyle name="SAPBEXexcCritical6 8" xfId="277"/>
    <cellStyle name="SAPBEXexcCritical6 9" xfId="320"/>
    <cellStyle name="SAPBEXexcGood1" xfId="66"/>
    <cellStyle name="SAPBEXexcGood1 10" xfId="541"/>
    <cellStyle name="SAPBEXexcGood1 11" xfId="534"/>
    <cellStyle name="SAPBEXexcGood1 12" xfId="627"/>
    <cellStyle name="SAPBEXexcGood1 13" xfId="573"/>
    <cellStyle name="SAPBEXexcGood1 14" xfId="739"/>
    <cellStyle name="SAPBEXexcGood1 15" xfId="775"/>
    <cellStyle name="SAPBEXexcGood1 16" xfId="837"/>
    <cellStyle name="SAPBEXexcGood1 17" xfId="863"/>
    <cellStyle name="SAPBEXexcGood1 18" xfId="765"/>
    <cellStyle name="SAPBEXexcGood1 19" xfId="1018"/>
    <cellStyle name="SAPBEXexcGood1 2" xfId="188"/>
    <cellStyle name="SAPBEXexcGood1 20" xfId="1061"/>
    <cellStyle name="SAPBEXexcGood1 21" xfId="1097"/>
    <cellStyle name="SAPBEXexcGood1 22" xfId="1087"/>
    <cellStyle name="SAPBEXexcGood1 23" xfId="1012"/>
    <cellStyle name="SAPBEXexcGood1 24" xfId="1252"/>
    <cellStyle name="SAPBEXexcGood1 25" xfId="1295"/>
    <cellStyle name="SAPBEXexcGood1 26" xfId="970"/>
    <cellStyle name="SAPBEXexcGood1 27" xfId="1380"/>
    <cellStyle name="SAPBEXexcGood1 28" xfId="1423"/>
    <cellStyle name="SAPBEXexcGood1 29" xfId="1466"/>
    <cellStyle name="SAPBEXexcGood1 3" xfId="141"/>
    <cellStyle name="SAPBEXexcGood1 30" xfId="1509"/>
    <cellStyle name="SAPBEXexcGood1 31" xfId="1552"/>
    <cellStyle name="SAPBEXexcGood1 32" xfId="1503"/>
    <cellStyle name="SAPBEXexcGood1 33" xfId="1543"/>
    <cellStyle name="SAPBEXexcGood1 34" xfId="1664"/>
    <cellStyle name="SAPBEXexcGood1 35" xfId="1724"/>
    <cellStyle name="SAPBEXexcGood1 36" xfId="1767"/>
    <cellStyle name="SAPBEXexcGood1 37" xfId="1809"/>
    <cellStyle name="SAPBEXexcGood1 38" xfId="1845"/>
    <cellStyle name="SAPBEXexcGood1 39" xfId="1914"/>
    <cellStyle name="SAPBEXexcGood1 4" xfId="283"/>
    <cellStyle name="SAPBEXexcGood1 40" xfId="1957"/>
    <cellStyle name="SAPBEXexcGood1 41" xfId="1908"/>
    <cellStyle name="SAPBEXexcGood1 42" xfId="1948"/>
    <cellStyle name="SAPBEXexcGood1 43" xfId="2076"/>
    <cellStyle name="SAPBEXexcGood1 44" xfId="2116"/>
    <cellStyle name="SAPBEXexcGood1 45" xfId="2153"/>
    <cellStyle name="SAPBEXexcGood1 46" xfId="2184"/>
    <cellStyle name="SAPBEXexcGood1 47" xfId="2214"/>
    <cellStyle name="SAPBEXexcGood1 48" xfId="2250"/>
    <cellStyle name="SAPBEXexcGood1 5" xfId="326"/>
    <cellStyle name="SAPBEXexcGood1 6" xfId="369"/>
    <cellStyle name="SAPBEXexcGood1 7" xfId="412"/>
    <cellStyle name="SAPBEXexcGood1 8" xfId="455"/>
    <cellStyle name="SAPBEXexcGood1 9" xfId="498"/>
    <cellStyle name="SAPBEXexcGood2" xfId="67"/>
    <cellStyle name="SAPBEXexcGood2 10" xfId="539"/>
    <cellStyle name="SAPBEXexcGood2 11" xfId="563"/>
    <cellStyle name="SAPBEXexcGood2 12" xfId="536"/>
    <cellStyle name="SAPBEXexcGood2 13" xfId="679"/>
    <cellStyle name="SAPBEXexcGood2 14" xfId="630"/>
    <cellStyle name="SAPBEXexcGood2 15" xfId="730"/>
    <cellStyle name="SAPBEXexcGood2 16" xfId="699"/>
    <cellStyle name="SAPBEXexcGood2 17" xfId="716"/>
    <cellStyle name="SAPBEXexcGood2 18" xfId="861"/>
    <cellStyle name="SAPBEXexcGood2 19" xfId="1016"/>
    <cellStyle name="SAPBEXexcGood2 2" xfId="189"/>
    <cellStyle name="SAPBEXexcGood2 20" xfId="1059"/>
    <cellStyle name="SAPBEXexcGood2 21" xfId="1055"/>
    <cellStyle name="SAPBEXexcGood2 22" xfId="1092"/>
    <cellStyle name="SAPBEXexcGood2 23" xfId="1094"/>
    <cellStyle name="SAPBEXexcGood2 24" xfId="1250"/>
    <cellStyle name="SAPBEXexcGood2 25" xfId="1293"/>
    <cellStyle name="SAPBEXexcGood2 26" xfId="1338"/>
    <cellStyle name="SAPBEXexcGood2 27" xfId="1378"/>
    <cellStyle name="SAPBEXexcGood2 28" xfId="1421"/>
    <cellStyle name="SAPBEXexcGood2 29" xfId="1464"/>
    <cellStyle name="SAPBEXexcGood2 3" xfId="144"/>
    <cellStyle name="SAPBEXexcGood2 30" xfId="1507"/>
    <cellStyle name="SAPBEXexcGood2 31" xfId="1550"/>
    <cellStyle name="SAPBEXexcGood2 32" xfId="1545"/>
    <cellStyle name="SAPBEXexcGood2 33" xfId="1542"/>
    <cellStyle name="SAPBEXexcGood2 34" xfId="1584"/>
    <cellStyle name="SAPBEXexcGood2 35" xfId="1722"/>
    <cellStyle name="SAPBEXexcGood2 36" xfId="1765"/>
    <cellStyle name="SAPBEXexcGood2 37" xfId="1807"/>
    <cellStyle name="SAPBEXexcGood2 38" xfId="1803"/>
    <cellStyle name="SAPBEXexcGood2 39" xfId="1912"/>
    <cellStyle name="SAPBEXexcGood2 4" xfId="281"/>
    <cellStyle name="SAPBEXexcGood2 40" xfId="1955"/>
    <cellStyle name="SAPBEXexcGood2 41" xfId="1950"/>
    <cellStyle name="SAPBEXexcGood2 42" xfId="1947"/>
    <cellStyle name="SAPBEXexcGood2 43" xfId="2063"/>
    <cellStyle name="SAPBEXexcGood2 44" xfId="2114"/>
    <cellStyle name="SAPBEXexcGood2 45" xfId="2151"/>
    <cellStyle name="SAPBEXexcGood2 46" xfId="2182"/>
    <cellStyle name="SAPBEXexcGood2 47" xfId="2212"/>
    <cellStyle name="SAPBEXexcGood2 48" xfId="2251"/>
    <cellStyle name="SAPBEXexcGood2 5" xfId="324"/>
    <cellStyle name="SAPBEXexcGood2 6" xfId="367"/>
    <cellStyle name="SAPBEXexcGood2 7" xfId="410"/>
    <cellStyle name="SAPBEXexcGood2 8" xfId="453"/>
    <cellStyle name="SAPBEXexcGood2 9" xfId="496"/>
    <cellStyle name="SAPBEXexcGood3" xfId="68"/>
    <cellStyle name="SAPBEXexcGood3 10" xfId="526"/>
    <cellStyle name="SAPBEXexcGood3 11" xfId="633"/>
    <cellStyle name="SAPBEXexcGood3 12" xfId="590"/>
    <cellStyle name="SAPBEXexcGood3 13" xfId="684"/>
    <cellStyle name="SAPBEXexcGood3 14" xfId="524"/>
    <cellStyle name="SAPBEXexcGood3 15" xfId="599"/>
    <cellStyle name="SAPBEXexcGood3 16" xfId="581"/>
    <cellStyle name="SAPBEXexcGood3 17" xfId="908"/>
    <cellStyle name="SAPBEXexcGood3 18" xfId="895"/>
    <cellStyle name="SAPBEXexcGood3 19" xfId="932"/>
    <cellStyle name="SAPBEXexcGood3 2" xfId="190"/>
    <cellStyle name="SAPBEXexcGood3 20" xfId="1046"/>
    <cellStyle name="SAPBEXexcGood3 21" xfId="980"/>
    <cellStyle name="SAPBEXexcGood3 22" xfId="1051"/>
    <cellStyle name="SAPBEXexcGood3 23" xfId="1171"/>
    <cellStyle name="SAPBEXexcGood3 24" xfId="1237"/>
    <cellStyle name="SAPBEXexcGood3 25" xfId="1280"/>
    <cellStyle name="SAPBEXexcGood3 26" xfId="1336"/>
    <cellStyle name="SAPBEXexcGood3 27" xfId="1365"/>
    <cellStyle name="SAPBEXexcGood3 28" xfId="1408"/>
    <cellStyle name="SAPBEXexcGood3 29" xfId="1451"/>
    <cellStyle name="SAPBEXexcGood3 3" xfId="143"/>
    <cellStyle name="SAPBEXexcGood3 30" xfId="1494"/>
    <cellStyle name="SAPBEXexcGood3 31" xfId="1537"/>
    <cellStyle name="SAPBEXexcGood3 32" xfId="1574"/>
    <cellStyle name="SAPBEXexcGood3 33" xfId="1600"/>
    <cellStyle name="SAPBEXexcGood3 34" xfId="1523"/>
    <cellStyle name="SAPBEXexcGood3 35" xfId="1709"/>
    <cellStyle name="SAPBEXexcGood3 36" xfId="1752"/>
    <cellStyle name="SAPBEXexcGood3 37" xfId="1795"/>
    <cellStyle name="SAPBEXexcGood3 38" xfId="1705"/>
    <cellStyle name="SAPBEXexcGood3 39" xfId="1793"/>
    <cellStyle name="SAPBEXexcGood3 4" xfId="268"/>
    <cellStyle name="SAPBEXexcGood3 40" xfId="1942"/>
    <cellStyle name="SAPBEXexcGood3 41" xfId="1979"/>
    <cellStyle name="SAPBEXexcGood3 42" xfId="2005"/>
    <cellStyle name="SAPBEXexcGood3 43" xfId="1989"/>
    <cellStyle name="SAPBEXexcGood3 44" xfId="2102"/>
    <cellStyle name="SAPBEXexcGood3 45" xfId="2140"/>
    <cellStyle name="SAPBEXexcGood3 46" xfId="2175"/>
    <cellStyle name="SAPBEXexcGood3 47" xfId="2205"/>
    <cellStyle name="SAPBEXexcGood3 48" xfId="2252"/>
    <cellStyle name="SAPBEXexcGood3 5" xfId="311"/>
    <cellStyle name="SAPBEXexcGood3 6" xfId="354"/>
    <cellStyle name="SAPBEXexcGood3 7" xfId="397"/>
    <cellStyle name="SAPBEXexcGood3 8" xfId="440"/>
    <cellStyle name="SAPBEXexcGood3 9" xfId="483"/>
    <cellStyle name="SAPBEXfilterDrill" xfId="69"/>
    <cellStyle name="SAPBEXfilterDrill 10" xfId="294"/>
    <cellStyle name="SAPBEXfilterDrill 11" xfId="632"/>
    <cellStyle name="SAPBEXfilterDrill 12" xfId="287"/>
    <cellStyle name="SAPBEXfilterDrill 13" xfId="580"/>
    <cellStyle name="SAPBEXfilterDrill 14" xfId="703"/>
    <cellStyle name="SAPBEXfilterDrill 15" xfId="694"/>
    <cellStyle name="SAPBEXfilterDrill 16" xfId="709"/>
    <cellStyle name="SAPBEXfilterDrill 17" xfId="696"/>
    <cellStyle name="SAPBEXfilterDrill 18" xfId="815"/>
    <cellStyle name="SAPBEXfilterDrill 19" xfId="611"/>
    <cellStyle name="SAPBEXfilterDrill 2" xfId="191"/>
    <cellStyle name="SAPBEXfilterDrill 20" xfId="877"/>
    <cellStyle name="SAPBEXfilterDrill 21" xfId="829"/>
    <cellStyle name="SAPBEXfilterDrill 22" xfId="855"/>
    <cellStyle name="SAPBEXfilterDrill 23" xfId="742"/>
    <cellStyle name="SAPBEXfilterDrill 24" xfId="989"/>
    <cellStyle name="SAPBEXfilterDrill 25" xfId="906"/>
    <cellStyle name="SAPBEXfilterDrill 26" xfId="866"/>
    <cellStyle name="SAPBEXfilterDrill 27" xfId="1001"/>
    <cellStyle name="SAPBEXfilterDrill 28" xfId="1137"/>
    <cellStyle name="SAPBEXfilterDrill 29" xfId="1216"/>
    <cellStyle name="SAPBEXfilterDrill 3" xfId="142"/>
    <cellStyle name="SAPBEXfilterDrill 30" xfId="1104"/>
    <cellStyle name="SAPBEXfilterDrill 31" xfId="1155"/>
    <cellStyle name="SAPBEXfilterDrill 32" xfId="1164"/>
    <cellStyle name="SAPBEXfilterDrill 33" xfId="1323"/>
    <cellStyle name="SAPBEXfilterDrill 34" xfId="1184"/>
    <cellStyle name="SAPBEXfilterDrill 35" xfId="1329"/>
    <cellStyle name="SAPBEXfilterDrill 36" xfId="1341"/>
    <cellStyle name="SAPBEXfilterDrill 37" xfId="1299"/>
    <cellStyle name="SAPBEXfilterDrill 38" xfId="1306"/>
    <cellStyle name="SAPBEXfilterDrill 39" xfId="1645"/>
    <cellStyle name="SAPBEXfilterDrill 4" xfId="170"/>
    <cellStyle name="SAPBEXfilterDrill 40" xfId="1497"/>
    <cellStyle name="SAPBEXfilterDrill 41" xfId="1437"/>
    <cellStyle name="SAPBEXfilterDrill 42" xfId="1636"/>
    <cellStyle name="SAPBEXfilterDrill 43" xfId="1612"/>
    <cellStyle name="SAPBEXfilterDrill 44" xfId="1637"/>
    <cellStyle name="SAPBEXfilterDrill 45" xfId="1611"/>
    <cellStyle name="SAPBEXfilterDrill 46" xfId="1885"/>
    <cellStyle name="SAPBEXfilterDrill 47" xfId="1746"/>
    <cellStyle name="SAPBEXfilterDrill 48" xfId="1802"/>
    <cellStyle name="SAPBEXfilterDrill 49" xfId="2045"/>
    <cellStyle name="SAPBEXfilterDrill 5" xfId="154"/>
    <cellStyle name="SAPBEXfilterDrill 50" xfId="1798"/>
    <cellStyle name="SAPBEXfilterDrill 51" xfId="1928"/>
    <cellStyle name="SAPBEXfilterDrill 52" xfId="1936"/>
    <cellStyle name="SAPBEXfilterDrill 53" xfId="2017"/>
    <cellStyle name="SAPBEXfilterDrill 54" xfId="2011"/>
    <cellStyle name="SAPBEXfilterDrill 55" xfId="1951"/>
    <cellStyle name="SAPBEXfilterDrill 56" xfId="2253"/>
    <cellStyle name="SAPBEXfilterDrill 6" xfId="129"/>
    <cellStyle name="SAPBEXfilterDrill 7" xfId="126"/>
    <cellStyle name="SAPBEXfilterDrill 8" xfId="205"/>
    <cellStyle name="SAPBEXfilterDrill 9" xfId="251"/>
    <cellStyle name="SAPBEXfilterItem" xfId="70"/>
    <cellStyle name="SAPBEXfilterItem 10" xfId="445"/>
    <cellStyle name="SAPBEXfilterItem 11" xfId="631"/>
    <cellStyle name="SAPBEXfilterItem 12" xfId="568"/>
    <cellStyle name="SAPBEXfilterItem 13" xfId="426"/>
    <cellStyle name="SAPBEXfilterItem 14" xfId="708"/>
    <cellStyle name="SAPBEXfilterItem 15" xfId="602"/>
    <cellStyle name="SAPBEXfilterItem 16" xfId="605"/>
    <cellStyle name="SAPBEXfilterItem 17" xfId="692"/>
    <cellStyle name="SAPBEXfilterItem 18" xfId="820"/>
    <cellStyle name="SAPBEXfilterItem 19" xfId="768"/>
    <cellStyle name="SAPBEXfilterItem 2" xfId="192"/>
    <cellStyle name="SAPBEXfilterItem 20" xfId="882"/>
    <cellStyle name="SAPBEXfilterItem 21" xfId="672"/>
    <cellStyle name="SAPBEXfilterItem 22" xfId="687"/>
    <cellStyle name="SAPBEXfilterItem 23" xfId="871"/>
    <cellStyle name="SAPBEXfilterItem 24" xfId="994"/>
    <cellStyle name="SAPBEXfilterItem 25" xfId="835"/>
    <cellStyle name="SAPBEXfilterItem 26" xfId="770"/>
    <cellStyle name="SAPBEXfilterItem 27" xfId="1008"/>
    <cellStyle name="SAPBEXfilterItem 28" xfId="1142"/>
    <cellStyle name="SAPBEXfilterItem 29" xfId="1215"/>
    <cellStyle name="SAPBEXfilterItem 3" xfId="238"/>
    <cellStyle name="SAPBEXfilterItem 30" xfId="1102"/>
    <cellStyle name="SAPBEXfilterItem 31" xfId="1126"/>
    <cellStyle name="SAPBEXfilterItem 32" xfId="1099"/>
    <cellStyle name="SAPBEXfilterItem 33" xfId="1181"/>
    <cellStyle name="SAPBEXfilterItem 34" xfId="1290"/>
    <cellStyle name="SAPBEXfilterItem 35" xfId="1191"/>
    <cellStyle name="SAPBEXfilterItem 36" xfId="1370"/>
    <cellStyle name="SAPBEXfilterItem 37" xfId="1413"/>
    <cellStyle name="SAPBEXfilterItem 38" xfId="1456"/>
    <cellStyle name="SAPBEXfilterItem 39" xfId="1644"/>
    <cellStyle name="SAPBEXfilterItem 4" xfId="167"/>
    <cellStyle name="SAPBEXfilterItem 40" xfId="1492"/>
    <cellStyle name="SAPBEXfilterItem 41" xfId="1480"/>
    <cellStyle name="SAPBEXfilterItem 42" xfId="1582"/>
    <cellStyle name="SAPBEXfilterItem 43" xfId="1670"/>
    <cellStyle name="SAPBEXfilterItem 44" xfId="1714"/>
    <cellStyle name="SAPBEXfilterItem 45" xfId="1757"/>
    <cellStyle name="SAPBEXfilterItem 46" xfId="1890"/>
    <cellStyle name="SAPBEXfilterItem 47" xfId="1838"/>
    <cellStyle name="SAPBEXfilterItem 48" xfId="1842"/>
    <cellStyle name="SAPBEXfilterItem 49" xfId="2044"/>
    <cellStyle name="SAPBEXfilterItem 5" xfId="153"/>
    <cellStyle name="SAPBEXfilterItem 50" xfId="1894"/>
    <cellStyle name="SAPBEXfilterItem 51" xfId="1874"/>
    <cellStyle name="SAPBEXfilterItem 52" xfId="1813"/>
    <cellStyle name="SAPBEXfilterItem 53" xfId="2073"/>
    <cellStyle name="SAPBEXfilterItem 54" xfId="2107"/>
    <cellStyle name="SAPBEXfilterItem 55" xfId="2145"/>
    <cellStyle name="SAPBEXfilterItem 56" xfId="2254"/>
    <cellStyle name="SAPBEXfilterItem 6" xfId="273"/>
    <cellStyle name="SAPBEXfilterItem 7" xfId="316"/>
    <cellStyle name="SAPBEXfilterItem 8" xfId="359"/>
    <cellStyle name="SAPBEXfilterItem 9" xfId="402"/>
    <cellStyle name="SAPBEXfilterText" xfId="71"/>
    <cellStyle name="SAPBEXfilterText 10" xfId="450"/>
    <cellStyle name="SAPBEXfilterText 11" xfId="629"/>
    <cellStyle name="SAPBEXfilterText 12" xfId="481"/>
    <cellStyle name="SAPBEXfilterText 13" xfId="469"/>
    <cellStyle name="SAPBEXfilterText 14" xfId="704"/>
    <cellStyle name="SAPBEXfilterText 15" xfId="600"/>
    <cellStyle name="SAPBEXfilterText 16" xfId="595"/>
    <cellStyle name="SAPBEXfilterText 17" xfId="655"/>
    <cellStyle name="SAPBEXfilterText 18" xfId="816"/>
    <cellStyle name="SAPBEXfilterText 19" xfId="779"/>
    <cellStyle name="SAPBEXfilterText 2" xfId="193"/>
    <cellStyle name="SAPBEXfilterText 20" xfId="878"/>
    <cellStyle name="SAPBEXfilterText 21" xfId="841"/>
    <cellStyle name="SAPBEXfilterText 22" xfId="649"/>
    <cellStyle name="SAPBEXfilterText 23" xfId="842"/>
    <cellStyle name="SAPBEXfilterText 24" xfId="990"/>
    <cellStyle name="SAPBEXfilterText 25" xfId="870"/>
    <cellStyle name="SAPBEXfilterText 26" xfId="804"/>
    <cellStyle name="SAPBEXfilterText 27" xfId="1013"/>
    <cellStyle name="SAPBEXfilterText 28" xfId="1138"/>
    <cellStyle name="SAPBEXfilterText 29" xfId="1214"/>
    <cellStyle name="SAPBEXfilterText 3" xfId="236"/>
    <cellStyle name="SAPBEXfilterText 30" xfId="947"/>
    <cellStyle name="SAPBEXfilterText 31" xfId="1121"/>
    <cellStyle name="SAPBEXfilterText 32" xfId="1207"/>
    <cellStyle name="SAPBEXfilterText 33" xfId="1242"/>
    <cellStyle name="SAPBEXfilterText 34" xfId="1286"/>
    <cellStyle name="SAPBEXfilterText 35" xfId="1328"/>
    <cellStyle name="SAPBEXfilterText 36" xfId="1375"/>
    <cellStyle name="SAPBEXfilterText 37" xfId="1418"/>
    <cellStyle name="SAPBEXfilterText 38" xfId="1461"/>
    <cellStyle name="SAPBEXfilterText 39" xfId="1643"/>
    <cellStyle name="SAPBEXfilterText 4" xfId="168"/>
    <cellStyle name="SAPBEXfilterText 40" xfId="1223"/>
    <cellStyle name="SAPBEXfilterText 41" xfId="1680"/>
    <cellStyle name="SAPBEXfilterText 42" xfId="1319"/>
    <cellStyle name="SAPBEXfilterText 43" xfId="1610"/>
    <cellStyle name="SAPBEXfilterText 44" xfId="1719"/>
    <cellStyle name="SAPBEXfilterText 45" xfId="1762"/>
    <cellStyle name="SAPBEXfilterText 46" xfId="1886"/>
    <cellStyle name="SAPBEXfilterText 47" xfId="1849"/>
    <cellStyle name="SAPBEXfilterText 48" xfId="1652"/>
    <cellStyle name="SAPBEXfilterText 49" xfId="2043"/>
    <cellStyle name="SAPBEXfilterText 5" xfId="156"/>
    <cellStyle name="SAPBEXfilterText 50" xfId="1823"/>
    <cellStyle name="SAPBEXfilterText 51" xfId="1638"/>
    <cellStyle name="SAPBEXfilterText 52" xfId="1609"/>
    <cellStyle name="SAPBEXfilterText 53" xfId="2069"/>
    <cellStyle name="SAPBEXfilterText 54" xfId="2111"/>
    <cellStyle name="SAPBEXfilterText 55" xfId="2148"/>
    <cellStyle name="SAPBEXfilterText 56" xfId="2255"/>
    <cellStyle name="SAPBEXfilterText 6" xfId="278"/>
    <cellStyle name="SAPBEXfilterText 7" xfId="321"/>
    <cellStyle name="SAPBEXfilterText 8" xfId="364"/>
    <cellStyle name="SAPBEXfilterText 9" xfId="407"/>
    <cellStyle name="SAPBEXformats" xfId="72"/>
    <cellStyle name="SAPBEXformats 10" xfId="446"/>
    <cellStyle name="SAPBEXformats 11" xfId="509"/>
    <cellStyle name="SAPBEXformats 12" xfId="208"/>
    <cellStyle name="SAPBEXformats 13" xfId="596"/>
    <cellStyle name="SAPBEXformats 14" xfId="701"/>
    <cellStyle name="SAPBEXformats 15" xfId="698"/>
    <cellStyle name="SAPBEXformats 16" xfId="717"/>
    <cellStyle name="SAPBEXformats 17" xfId="898"/>
    <cellStyle name="SAPBEXformats 18" xfId="920"/>
    <cellStyle name="SAPBEXformats 19" xfId="949"/>
    <cellStyle name="SAPBEXformats 2" xfId="194"/>
    <cellStyle name="SAPBEXformats 20" xfId="953"/>
    <cellStyle name="SAPBEXformats 21" xfId="985"/>
    <cellStyle name="SAPBEXformats 22" xfId="1212"/>
    <cellStyle name="SAPBEXformats 23" xfId="839"/>
    <cellStyle name="SAPBEXformats 24" xfId="1088"/>
    <cellStyle name="SAPBEXformats 25" xfId="1127"/>
    <cellStyle name="SAPBEXformats 26" xfId="1247"/>
    <cellStyle name="SAPBEXformats 27" xfId="1188"/>
    <cellStyle name="SAPBEXformats 28" xfId="1333"/>
    <cellStyle name="SAPBEXformats 29" xfId="1371"/>
    <cellStyle name="SAPBEXformats 3" xfId="221"/>
    <cellStyle name="SAPBEXformats 30" xfId="1414"/>
    <cellStyle name="SAPBEXformats 31" xfId="1457"/>
    <cellStyle name="SAPBEXformats 32" xfId="1641"/>
    <cellStyle name="SAPBEXformats 33" xfId="1340"/>
    <cellStyle name="SAPBEXformats 34" xfId="1678"/>
    <cellStyle name="SAPBEXformats 35" xfId="1361"/>
    <cellStyle name="SAPBEXformats 36" xfId="1614"/>
    <cellStyle name="SAPBEXformats 37" xfId="1715"/>
    <cellStyle name="SAPBEXformats 38" xfId="1735"/>
    <cellStyle name="SAPBEXformats 39" xfId="1839"/>
    <cellStyle name="SAPBEXformats 4" xfId="169"/>
    <cellStyle name="SAPBEXformats 40" xfId="1761"/>
    <cellStyle name="SAPBEXformats 41" xfId="2041"/>
    <cellStyle name="SAPBEXformats 42" xfId="1856"/>
    <cellStyle name="SAPBEXformats 43" xfId="2079"/>
    <cellStyle name="SAPBEXformats 44" xfId="2036"/>
    <cellStyle name="SAPBEXformats 45" xfId="2014"/>
    <cellStyle name="SAPBEXformats 46" xfId="2108"/>
    <cellStyle name="SAPBEXformats 47" xfId="2146"/>
    <cellStyle name="SAPBEXformats 48" xfId="2256"/>
    <cellStyle name="SAPBEXformats 5" xfId="155"/>
    <cellStyle name="SAPBEXformats 6" xfId="274"/>
    <cellStyle name="SAPBEXformats 7" xfId="317"/>
    <cellStyle name="SAPBEXformats 8" xfId="360"/>
    <cellStyle name="SAPBEXformats 9" xfId="403"/>
    <cellStyle name="SAPBEXheaderItem" xfId="73"/>
    <cellStyle name="SAPBEXheaderItem 10" xfId="542"/>
    <cellStyle name="SAPBEXheaderItem 11" xfId="459"/>
    <cellStyle name="SAPBEXheaderItem 12" xfId="625"/>
    <cellStyle name="SAPBEXheaderItem 13" xfId="671"/>
    <cellStyle name="SAPBEXheaderItem 14" xfId="601"/>
    <cellStyle name="SAPBEXheaderItem 15" xfId="724"/>
    <cellStyle name="SAPBEXheaderItem 16" xfId="740"/>
    <cellStyle name="SAPBEXheaderItem 17" xfId="783"/>
    <cellStyle name="SAPBEXheaderItem 18" xfId="570"/>
    <cellStyle name="SAPBEXheaderItem 19" xfId="845"/>
    <cellStyle name="SAPBEXheaderItem 2" xfId="195"/>
    <cellStyle name="SAPBEXheaderItem 20" xfId="796"/>
    <cellStyle name="SAPBEXheaderItem 21" xfId="907"/>
    <cellStyle name="SAPBEXheaderItem 22" xfId="900"/>
    <cellStyle name="SAPBEXheaderItem 23" xfId="957"/>
    <cellStyle name="SAPBEXheaderItem 24" xfId="924"/>
    <cellStyle name="SAPBEXheaderItem 25" xfId="1019"/>
    <cellStyle name="SAPBEXheaderItem 26" xfId="1062"/>
    <cellStyle name="SAPBEXheaderItem 27" xfId="1105"/>
    <cellStyle name="SAPBEXheaderItem 28" xfId="973"/>
    <cellStyle name="SAPBEXheaderItem 29" xfId="1123"/>
    <cellStyle name="SAPBEXheaderItem 3" xfId="137"/>
    <cellStyle name="SAPBEXheaderItem 30" xfId="1210"/>
    <cellStyle name="SAPBEXheaderItem 31" xfId="1253"/>
    <cellStyle name="SAPBEXheaderItem 32" xfId="1296"/>
    <cellStyle name="SAPBEXheaderItem 33" xfId="1243"/>
    <cellStyle name="SAPBEXheaderItem 34" xfId="1381"/>
    <cellStyle name="SAPBEXheaderItem 35" xfId="1424"/>
    <cellStyle name="SAPBEXheaderItem 36" xfId="1467"/>
    <cellStyle name="SAPBEXheaderItem 37" xfId="1510"/>
    <cellStyle name="SAPBEXheaderItem 38" xfId="1553"/>
    <cellStyle name="SAPBEXheaderItem 39" xfId="1520"/>
    <cellStyle name="SAPBEXheaderItem 4" xfId="284"/>
    <cellStyle name="SAPBEXheaderItem 40" xfId="1639"/>
    <cellStyle name="SAPBEXheaderItem 41" xfId="1663"/>
    <cellStyle name="SAPBEXheaderItem 42" xfId="1725"/>
    <cellStyle name="SAPBEXheaderItem 43" xfId="1768"/>
    <cellStyle name="SAPBEXheaderItem 44" xfId="1810"/>
    <cellStyle name="SAPBEXheaderItem 45" xfId="1853"/>
    <cellStyle name="SAPBEXheaderItem 46" xfId="1616"/>
    <cellStyle name="SAPBEXheaderItem 47" xfId="1915"/>
    <cellStyle name="SAPBEXheaderItem 48" xfId="1958"/>
    <cellStyle name="SAPBEXheaderItem 49" xfId="1925"/>
    <cellStyle name="SAPBEXheaderItem 5" xfId="327"/>
    <cellStyle name="SAPBEXheaderItem 50" xfId="2039"/>
    <cellStyle name="SAPBEXheaderItem 51" xfId="2077"/>
    <cellStyle name="SAPBEXheaderItem 52" xfId="2117"/>
    <cellStyle name="SAPBEXheaderItem 53" xfId="2154"/>
    <cellStyle name="SAPBEXheaderItem 54" xfId="2185"/>
    <cellStyle name="SAPBEXheaderItem 55" xfId="2215"/>
    <cellStyle name="SAPBEXheaderItem 56" xfId="2257"/>
    <cellStyle name="SAPBEXheaderItem 6" xfId="370"/>
    <cellStyle name="SAPBEXheaderItem 7" xfId="413"/>
    <cellStyle name="SAPBEXheaderItem 8" xfId="456"/>
    <cellStyle name="SAPBEXheaderItem 9" xfId="499"/>
    <cellStyle name="SAPBEXheaderText" xfId="74"/>
    <cellStyle name="SAPBEXheaderText 10" xfId="540"/>
    <cellStyle name="SAPBEXheaderText 11" xfId="586"/>
    <cellStyle name="SAPBEXheaderText 12" xfId="532"/>
    <cellStyle name="SAPBEXheaderText 13" xfId="669"/>
    <cellStyle name="SAPBEXheaderText 14" xfId="610"/>
    <cellStyle name="SAPBEXheaderText 15" xfId="725"/>
    <cellStyle name="SAPBEXheaderText 16" xfId="670"/>
    <cellStyle name="SAPBEXheaderText 17" xfId="781"/>
    <cellStyle name="SAPBEXheaderText 18" xfId="741"/>
    <cellStyle name="SAPBEXheaderText 19" xfId="843"/>
    <cellStyle name="SAPBEXheaderText 2" xfId="196"/>
    <cellStyle name="SAPBEXheaderText 20" xfId="791"/>
    <cellStyle name="SAPBEXheaderText 21" xfId="905"/>
    <cellStyle name="SAPBEXheaderText 22" xfId="942"/>
    <cellStyle name="SAPBEXheaderText 23" xfId="893"/>
    <cellStyle name="SAPBEXheaderText 24" xfId="922"/>
    <cellStyle name="SAPBEXheaderText 25" xfId="1017"/>
    <cellStyle name="SAPBEXheaderText 26" xfId="1060"/>
    <cellStyle name="SAPBEXheaderText 27" xfId="1103"/>
    <cellStyle name="SAPBEXheaderText 28" xfId="1063"/>
    <cellStyle name="SAPBEXheaderText 29" xfId="1089"/>
    <cellStyle name="SAPBEXheaderText 3" xfId="140"/>
    <cellStyle name="SAPBEXheaderText 30" xfId="921"/>
    <cellStyle name="SAPBEXheaderText 31" xfId="1251"/>
    <cellStyle name="SAPBEXheaderText 32" xfId="1294"/>
    <cellStyle name="SAPBEXheaderText 33" xfId="1339"/>
    <cellStyle name="SAPBEXheaderText 34" xfId="1379"/>
    <cellStyle name="SAPBEXheaderText 35" xfId="1422"/>
    <cellStyle name="SAPBEXheaderText 36" xfId="1465"/>
    <cellStyle name="SAPBEXheaderText 37" xfId="1508"/>
    <cellStyle name="SAPBEXheaderText 38" xfId="1551"/>
    <cellStyle name="SAPBEXheaderText 39" xfId="1470"/>
    <cellStyle name="SAPBEXheaderText 4" xfId="282"/>
    <cellStyle name="SAPBEXheaderText 40" xfId="1547"/>
    <cellStyle name="SAPBEXheaderText 41" xfId="1621"/>
    <cellStyle name="SAPBEXheaderText 42" xfId="1723"/>
    <cellStyle name="SAPBEXheaderText 43" xfId="1766"/>
    <cellStyle name="SAPBEXheaderText 44" xfId="1808"/>
    <cellStyle name="SAPBEXheaderText 45" xfId="1851"/>
    <cellStyle name="SAPBEXheaderText 46" xfId="1811"/>
    <cellStyle name="SAPBEXheaderText 47" xfId="1913"/>
    <cellStyle name="SAPBEXheaderText 48" xfId="1956"/>
    <cellStyle name="SAPBEXheaderText 49" xfId="1870"/>
    <cellStyle name="SAPBEXheaderText 5" xfId="325"/>
    <cellStyle name="SAPBEXheaderText 50" xfId="1952"/>
    <cellStyle name="SAPBEXheaderText 51" xfId="2062"/>
    <cellStyle name="SAPBEXheaderText 52" xfId="2115"/>
    <cellStyle name="SAPBEXheaderText 53" xfId="2152"/>
    <cellStyle name="SAPBEXheaderText 54" xfId="2183"/>
    <cellStyle name="SAPBEXheaderText 55" xfId="2213"/>
    <cellStyle name="SAPBEXheaderText 56" xfId="2258"/>
    <cellStyle name="SAPBEXheaderText 6" xfId="368"/>
    <cellStyle name="SAPBEXheaderText 7" xfId="411"/>
    <cellStyle name="SAPBEXheaderText 8" xfId="454"/>
    <cellStyle name="SAPBEXheaderText 9" xfId="497"/>
    <cellStyle name="SAPBEXHLevel0" xfId="75"/>
    <cellStyle name="SAPBEXHLevel0 10" xfId="525"/>
    <cellStyle name="SAPBEXHLevel0 11" xfId="383"/>
    <cellStyle name="SAPBEXHLevel0 12" xfId="589"/>
    <cellStyle name="SAPBEXHLevel0 13" xfId="723"/>
    <cellStyle name="SAPBEXHLevel0 14" xfId="634"/>
    <cellStyle name="SAPBEXHLevel0 15" xfId="676"/>
    <cellStyle name="SAPBEXHLevel0 16" xfId="555"/>
    <cellStyle name="SAPBEXHLevel0 17" xfId="943"/>
    <cellStyle name="SAPBEXHLevel0 18" xfId="918"/>
    <cellStyle name="SAPBEXHLevel0 19" xfId="983"/>
    <cellStyle name="SAPBEXHLevel0 2" xfId="197"/>
    <cellStyle name="SAPBEXHLevel0 20" xfId="1045"/>
    <cellStyle name="SAPBEXHLevel0 21" xfId="915"/>
    <cellStyle name="SAPBEXHLevel0 22" xfId="1168"/>
    <cellStyle name="SAPBEXHLevel0 23" xfId="1169"/>
    <cellStyle name="SAPBEXHLevel0 24" xfId="1236"/>
    <cellStyle name="SAPBEXHLevel0 25" xfId="1279"/>
    <cellStyle name="SAPBEXHLevel0 26" xfId="1337"/>
    <cellStyle name="SAPBEXHLevel0 27" xfId="1364"/>
    <cellStyle name="SAPBEXHLevel0 28" xfId="1407"/>
    <cellStyle name="SAPBEXHLevel0 29" xfId="1450"/>
    <cellStyle name="SAPBEXHLevel0 3" xfId="139"/>
    <cellStyle name="SAPBEXHLevel0 30" xfId="1493"/>
    <cellStyle name="SAPBEXHLevel0 31" xfId="1536"/>
    <cellStyle name="SAPBEXHLevel0 32" xfId="1597"/>
    <cellStyle name="SAPBEXHLevel0 33" xfId="1598"/>
    <cellStyle name="SAPBEXHLevel0 34" xfId="1591"/>
    <cellStyle name="SAPBEXHLevel0 35" xfId="1708"/>
    <cellStyle name="SAPBEXHLevel0 36" xfId="1751"/>
    <cellStyle name="SAPBEXHLevel0 37" xfId="1794"/>
    <cellStyle name="SAPBEXHLevel0 38" xfId="1615"/>
    <cellStyle name="SAPBEXHLevel0 39" xfId="1879"/>
    <cellStyle name="SAPBEXHLevel0 4" xfId="267"/>
    <cellStyle name="SAPBEXHLevel0 40" xfId="1941"/>
    <cellStyle name="SAPBEXHLevel0 41" xfId="2002"/>
    <cellStyle name="SAPBEXHLevel0 42" xfId="2003"/>
    <cellStyle name="SAPBEXHLevel0 43" xfId="2022"/>
    <cellStyle name="SAPBEXHLevel0 44" xfId="2101"/>
    <cellStyle name="SAPBEXHLevel0 45" xfId="2139"/>
    <cellStyle name="SAPBEXHLevel0 46" xfId="2174"/>
    <cellStyle name="SAPBEXHLevel0 47" xfId="2204"/>
    <cellStyle name="SAPBEXHLevel0 48" xfId="2259"/>
    <cellStyle name="SAPBEXHLevel0 5" xfId="310"/>
    <cellStyle name="SAPBEXHLevel0 6" xfId="353"/>
    <cellStyle name="SAPBEXHLevel0 7" xfId="396"/>
    <cellStyle name="SAPBEXHLevel0 8" xfId="439"/>
    <cellStyle name="SAPBEXHLevel0 9" xfId="482"/>
    <cellStyle name="SAPBEXHLevel0X" xfId="76"/>
    <cellStyle name="SAPBEXHLevel0X 10" xfId="438"/>
    <cellStyle name="SAPBEXHLevel0X 11" xfId="565"/>
    <cellStyle name="SAPBEXHLevel0X 12" xfId="594"/>
    <cellStyle name="SAPBEXHLevel0X 13" xfId="609"/>
    <cellStyle name="SAPBEXHLevel0X 14" xfId="604"/>
    <cellStyle name="SAPBEXHLevel0X 15" xfId="675"/>
    <cellStyle name="SAPBEXHLevel0X 16" xfId="713"/>
    <cellStyle name="SAPBEXHLevel0X 17" xfId="813"/>
    <cellStyle name="SAPBEXHLevel0X 18" xfId="780"/>
    <cellStyle name="SAPBEXHLevel0X 19" xfId="875"/>
    <cellStyle name="SAPBEXHLevel0X 2" xfId="198"/>
    <cellStyle name="SAPBEXHLevel0X 20" xfId="941"/>
    <cellStyle name="SAPBEXHLevel0X 21" xfId="916"/>
    <cellStyle name="SAPBEXHLevel0X 22" xfId="987"/>
    <cellStyle name="SAPBEXHLevel0X 23" xfId="656"/>
    <cellStyle name="SAPBEXHLevel0X 24" xfId="982"/>
    <cellStyle name="SAPBEXHLevel0X 25" xfId="998"/>
    <cellStyle name="SAPBEXHLevel0X 26" xfId="1135"/>
    <cellStyle name="SAPBEXHLevel0X 27" xfId="1115"/>
    <cellStyle name="SAPBEXHLevel0X 28" xfId="1177"/>
    <cellStyle name="SAPBEXHLevel0X 29" xfId="1192"/>
    <cellStyle name="SAPBEXHLevel0X 3" xfId="138"/>
    <cellStyle name="SAPBEXHLevel0X 30" xfId="1173"/>
    <cellStyle name="SAPBEXHLevel0X 31" xfId="1322"/>
    <cellStyle name="SAPBEXHLevel0X 32" xfId="1256"/>
    <cellStyle name="SAPBEXHLevel0X 33" xfId="1321"/>
    <cellStyle name="SAPBEXHLevel0X 34" xfId="1363"/>
    <cellStyle name="SAPBEXHLevel0X 35" xfId="1406"/>
    <cellStyle name="SAPBEXHLevel0X 36" xfId="1449"/>
    <cellStyle name="SAPBEXHLevel0X 37" xfId="1394"/>
    <cellStyle name="SAPBEXHLevel0X 38" xfId="1606"/>
    <cellStyle name="SAPBEXHLevel0X 39" xfId="1599"/>
    <cellStyle name="SAPBEXHLevel0X 4" xfId="122"/>
    <cellStyle name="SAPBEXHLevel0X 40" xfId="1595"/>
    <cellStyle name="SAPBEXHLevel0X 41" xfId="1660"/>
    <cellStyle name="SAPBEXHLevel0X 42" xfId="1707"/>
    <cellStyle name="SAPBEXHLevel0X 43" xfId="1750"/>
    <cellStyle name="SAPBEXHLevel0X 44" xfId="1883"/>
    <cellStyle name="SAPBEXHLevel0X 45" xfId="1850"/>
    <cellStyle name="SAPBEXHLevel0X 46" xfId="1878"/>
    <cellStyle name="SAPBEXHLevel0X 47" xfId="1836"/>
    <cellStyle name="SAPBEXHLevel0X 48" xfId="2010"/>
    <cellStyle name="SAPBEXHLevel0X 49" xfId="1996"/>
    <cellStyle name="SAPBEXHLevel0X 5" xfId="220"/>
    <cellStyle name="SAPBEXHLevel0X 50" xfId="2035"/>
    <cellStyle name="SAPBEXHLevel0X 51" xfId="2060"/>
    <cellStyle name="SAPBEXHLevel0X 52" xfId="2100"/>
    <cellStyle name="SAPBEXHLevel0X 53" xfId="2138"/>
    <cellStyle name="SAPBEXHLevel0X 54" xfId="2260"/>
    <cellStyle name="SAPBEXHLevel0X 6" xfId="266"/>
    <cellStyle name="SAPBEXHLevel0X 7" xfId="309"/>
    <cellStyle name="SAPBEXHLevel0X 8" xfId="352"/>
    <cellStyle name="SAPBEXHLevel0X 9" xfId="395"/>
    <cellStyle name="SAPBEXHLevel1" xfId="77"/>
    <cellStyle name="SAPBEXHLevel1 10" xfId="125"/>
    <cellStyle name="SAPBEXHLevel1 11" xfId="479"/>
    <cellStyle name="SAPBEXHLevel1 12" xfId="486"/>
    <cellStyle name="SAPBEXHLevel1 13" xfId="658"/>
    <cellStyle name="SAPBEXHLevel1 14" xfId="702"/>
    <cellStyle name="SAPBEXHLevel1 15" xfId="821"/>
    <cellStyle name="SAPBEXHLevel1 16" xfId="883"/>
    <cellStyle name="SAPBEXHLevel1 17" xfId="868"/>
    <cellStyle name="SAPBEXHLevel1 18" xfId="995"/>
    <cellStyle name="SAPBEXHLevel1 19" xfId="904"/>
    <cellStyle name="SAPBEXHLevel1 2" xfId="199"/>
    <cellStyle name="SAPBEXHLevel1 20" xfId="912"/>
    <cellStyle name="SAPBEXHLevel1 21" xfId="1143"/>
    <cellStyle name="SAPBEXHLevel1 22" xfId="1052"/>
    <cellStyle name="SAPBEXHLevel1 23" xfId="1174"/>
    <cellStyle name="SAPBEXHLevel1 24" xfId="1162"/>
    <cellStyle name="SAPBEXHLevel1 25" xfId="1068"/>
    <cellStyle name="SAPBEXHLevel1 26" xfId="1235"/>
    <cellStyle name="SAPBEXHLevel1 27" xfId="1178"/>
    <cellStyle name="SAPBEXHLevel1 28" xfId="1201"/>
    <cellStyle name="SAPBEXHLevel1 29" xfId="1297"/>
    <cellStyle name="SAPBEXHLevel1 3" xfId="245"/>
    <cellStyle name="SAPBEXHLevel1 30" xfId="1189"/>
    <cellStyle name="SAPBEXHLevel1 31" xfId="827"/>
    <cellStyle name="SAPBEXHLevel1 32" xfId="1576"/>
    <cellStyle name="SAPBEXHLevel1 33" xfId="1603"/>
    <cellStyle name="SAPBEXHLevel1 34" xfId="1563"/>
    <cellStyle name="SAPBEXHLevel1 35" xfId="1531"/>
    <cellStyle name="SAPBEXHLevel1 36" xfId="1608"/>
    <cellStyle name="SAPBEXHLevel1 37" xfId="1488"/>
    <cellStyle name="SAPBEXHLevel1 38" xfId="1891"/>
    <cellStyle name="SAPBEXHLevel1 39" xfId="1717"/>
    <cellStyle name="SAPBEXHLevel1 4" xfId="171"/>
    <cellStyle name="SAPBEXHLevel1 40" xfId="1831"/>
    <cellStyle name="SAPBEXHLevel1 41" xfId="1981"/>
    <cellStyle name="SAPBEXHLevel1 42" xfId="2007"/>
    <cellStyle name="SAPBEXHLevel1 43" xfId="2004"/>
    <cellStyle name="SAPBEXHLevel1 44" xfId="1998"/>
    <cellStyle name="SAPBEXHLevel1 45" xfId="2015"/>
    <cellStyle name="SAPBEXHLevel1 46" xfId="2034"/>
    <cellStyle name="SAPBEXHLevel1 47" xfId="2013"/>
    <cellStyle name="SAPBEXHLevel1 48" xfId="2261"/>
    <cellStyle name="SAPBEXHLevel1 5" xfId="225"/>
    <cellStyle name="SAPBEXHLevel1 6" xfId="161"/>
    <cellStyle name="SAPBEXHLevel1 7" xfId="130"/>
    <cellStyle name="SAPBEXHLevel1 8" xfId="128"/>
    <cellStyle name="SAPBEXHLevel1 9" xfId="134"/>
    <cellStyle name="SAPBEXHLevel1X" xfId="78"/>
    <cellStyle name="SAPBEXHLevel1X 10" xfId="241"/>
    <cellStyle name="SAPBEXHLevel1X 11" xfId="576"/>
    <cellStyle name="SAPBEXHLevel1X 12" xfId="592"/>
    <cellStyle name="SAPBEXHLevel1X 13" xfId="552"/>
    <cellStyle name="SAPBEXHLevel1X 14" xfId="653"/>
    <cellStyle name="SAPBEXHLevel1X 15" xfId="677"/>
    <cellStyle name="SAPBEXHLevel1X 16" xfId="719"/>
    <cellStyle name="SAPBEXHLevel1X 17" xfId="814"/>
    <cellStyle name="SAPBEXHLevel1X 18" xfId="688"/>
    <cellStyle name="SAPBEXHLevel1X 19" xfId="876"/>
    <cellStyle name="SAPBEXHLevel1X 2" xfId="200"/>
    <cellStyle name="SAPBEXHLevel1X 20" xfId="899"/>
    <cellStyle name="SAPBEXHLevel1X 21" xfId="914"/>
    <cellStyle name="SAPBEXHLevel1X 22" xfId="988"/>
    <cellStyle name="SAPBEXHLevel1X 23" xfId="808"/>
    <cellStyle name="SAPBEXHLevel1X 24" xfId="1005"/>
    <cellStyle name="SAPBEXHLevel1X 25" xfId="960"/>
    <cellStyle name="SAPBEXHLevel1X 26" xfId="1136"/>
    <cellStyle name="SAPBEXHLevel1X 27" xfId="1022"/>
    <cellStyle name="SAPBEXHLevel1X 28" xfId="1175"/>
    <cellStyle name="SAPBEXHLevel1X 29" xfId="1170"/>
    <cellStyle name="SAPBEXHLevel1X 3" xfId="246"/>
    <cellStyle name="SAPBEXHLevel1X 30" xfId="1166"/>
    <cellStyle name="SAPBEXHLevel1X 31" xfId="1185"/>
    <cellStyle name="SAPBEXHLevel1X 32" xfId="1283"/>
    <cellStyle name="SAPBEXHLevel1X 33" xfId="1254"/>
    <cellStyle name="SAPBEXHLevel1X 34" xfId="1220"/>
    <cellStyle name="SAPBEXHLevel1X 35" xfId="1266"/>
    <cellStyle name="SAPBEXHLevel1X 36" xfId="1130"/>
    <cellStyle name="SAPBEXHLevel1X 37" xfId="1490"/>
    <cellStyle name="SAPBEXHLevel1X 38" xfId="1604"/>
    <cellStyle name="SAPBEXHLevel1X 39" xfId="1687"/>
    <cellStyle name="SAPBEXHLevel1X 4" xfId="173"/>
    <cellStyle name="SAPBEXHLevel1X 40" xfId="1593"/>
    <cellStyle name="SAPBEXHLevel1X 41" xfId="1675"/>
    <cellStyle name="SAPBEXHLevel1X 42" xfId="1613"/>
    <cellStyle name="SAPBEXHLevel1X 43" xfId="1602"/>
    <cellStyle name="SAPBEXHLevel1X 44" xfId="1884"/>
    <cellStyle name="SAPBEXHLevel1X 45" xfId="1620"/>
    <cellStyle name="SAPBEXHLevel1X 46" xfId="1901"/>
    <cellStyle name="SAPBEXHLevel1X 47" xfId="1800"/>
    <cellStyle name="SAPBEXHLevel1X 48" xfId="2008"/>
    <cellStyle name="SAPBEXHLevel1X 49" xfId="1968"/>
    <cellStyle name="SAPBEXHLevel1X 5" xfId="226"/>
    <cellStyle name="SAPBEXHLevel1X 50" xfId="1840"/>
    <cellStyle name="SAPBEXHLevel1X 51" xfId="2066"/>
    <cellStyle name="SAPBEXHLevel1X 52" xfId="2037"/>
    <cellStyle name="SAPBEXHLevel1X 53" xfId="2018"/>
    <cellStyle name="SAPBEXHLevel1X 54" xfId="2262"/>
    <cellStyle name="SAPBEXHLevel1X 6" xfId="123"/>
    <cellStyle name="SAPBEXHLevel1X 7" xfId="136"/>
    <cellStyle name="SAPBEXHLevel1X 8" xfId="132"/>
    <cellStyle name="SAPBEXHLevel1X 9" xfId="127"/>
    <cellStyle name="SAPBEXHLevel2" xfId="79"/>
    <cellStyle name="SAPBEXHLevel2 10" xfId="443"/>
    <cellStyle name="SAPBEXHLevel2 11" xfId="578"/>
    <cellStyle name="SAPBEXHLevel2 12" xfId="593"/>
    <cellStyle name="SAPBEXHLevel2 13" xfId="254"/>
    <cellStyle name="SAPBEXHLevel2 14" xfId="673"/>
    <cellStyle name="SAPBEXHLevel2 15" xfId="789"/>
    <cellStyle name="SAPBEXHLevel2 16" xfId="851"/>
    <cellStyle name="SAPBEXHLevel2 17" xfId="786"/>
    <cellStyle name="SAPBEXHLevel2 18" xfId="963"/>
    <cellStyle name="SAPBEXHLevel2 19" xfId="892"/>
    <cellStyle name="SAPBEXHLevel2 2" xfId="201"/>
    <cellStyle name="SAPBEXHLevel2 20" xfId="1004"/>
    <cellStyle name="SAPBEXHLevel2 21" xfId="1111"/>
    <cellStyle name="SAPBEXHLevel2 22" xfId="1158"/>
    <cellStyle name="SAPBEXHLevel2 23" xfId="1176"/>
    <cellStyle name="SAPBEXHLevel2 24" xfId="1133"/>
    <cellStyle name="SAPBEXHLevel2 25" xfId="1206"/>
    <cellStyle name="SAPBEXHLevel2 26" xfId="1179"/>
    <cellStyle name="SAPBEXHLevel2 27" xfId="1278"/>
    <cellStyle name="SAPBEXHLevel2 28" xfId="1182"/>
    <cellStyle name="SAPBEXHLevel2 29" xfId="1368"/>
    <cellStyle name="SAPBEXHLevel2 3" xfId="247"/>
    <cellStyle name="SAPBEXHLevel2 30" xfId="1411"/>
    <cellStyle name="SAPBEXHLevel2 31" xfId="1454"/>
    <cellStyle name="SAPBEXHLevel2 32" xfId="1587"/>
    <cellStyle name="SAPBEXHLevel2 33" xfId="1605"/>
    <cellStyle name="SAPBEXHLevel2 34" xfId="1688"/>
    <cellStyle name="SAPBEXHLevel2 35" xfId="1459"/>
    <cellStyle name="SAPBEXHLevel2 36" xfId="1668"/>
    <cellStyle name="SAPBEXHLevel2 37" xfId="1712"/>
    <cellStyle name="SAPBEXHLevel2 38" xfId="1859"/>
    <cellStyle name="SAPBEXHLevel2 39" xfId="1852"/>
    <cellStyle name="SAPBEXHLevel2 4" xfId="174"/>
    <cellStyle name="SAPBEXHLevel2 40" xfId="1900"/>
    <cellStyle name="SAPBEXHLevel2 41" xfId="1992"/>
    <cellStyle name="SAPBEXHLevel2 42" xfId="2009"/>
    <cellStyle name="SAPBEXHLevel2 43" xfId="2084"/>
    <cellStyle name="SAPBEXHLevel2 44" xfId="2000"/>
    <cellStyle name="SAPBEXHLevel2 45" xfId="2074"/>
    <cellStyle name="SAPBEXHLevel2 46" xfId="2105"/>
    <cellStyle name="SAPBEXHLevel2 47" xfId="2143"/>
    <cellStyle name="SAPBEXHLevel2 48" xfId="2263"/>
    <cellStyle name="SAPBEXHLevel2 5" xfId="149"/>
    <cellStyle name="SAPBEXHLevel2 6" xfId="271"/>
    <cellStyle name="SAPBEXHLevel2 7" xfId="314"/>
    <cellStyle name="SAPBEXHLevel2 8" xfId="357"/>
    <cellStyle name="SAPBEXHLevel2 9" xfId="400"/>
    <cellStyle name="SAPBEXHLevel2X" xfId="80"/>
    <cellStyle name="SAPBEXHLevel2X 10" xfId="549"/>
    <cellStyle name="SAPBEXHLevel2X 11" xfId="619"/>
    <cellStyle name="SAPBEXHLevel2X 12" xfId="635"/>
    <cellStyle name="SAPBEXHLevel2X 13" xfId="678"/>
    <cellStyle name="SAPBEXHLevel2X 14" xfId="721"/>
    <cellStyle name="SAPBEXHLevel2X 15" xfId="747"/>
    <cellStyle name="SAPBEXHLevel2X 16" xfId="790"/>
    <cellStyle name="SAPBEXHLevel2X 17" xfId="785"/>
    <cellStyle name="SAPBEXHLevel2X 18" xfId="852"/>
    <cellStyle name="SAPBEXHLevel2X 19" xfId="847"/>
    <cellStyle name="SAPBEXHLevel2X 2" xfId="202"/>
    <cellStyle name="SAPBEXHLevel2X 20" xfId="753"/>
    <cellStyle name="SAPBEXHLevel2X 21" xfId="964"/>
    <cellStyle name="SAPBEXHLevel2X 22" xfId="959"/>
    <cellStyle name="SAPBEXHLevel2X 23" xfId="1026"/>
    <cellStyle name="SAPBEXHLevel2X 24" xfId="1069"/>
    <cellStyle name="SAPBEXHLevel2X 25" xfId="1112"/>
    <cellStyle name="SAPBEXHLevel2X 26" xfId="1107"/>
    <cellStyle name="SAPBEXHLevel2X 27" xfId="1160"/>
    <cellStyle name="SAPBEXHLevel2X 28" xfId="1217"/>
    <cellStyle name="SAPBEXHLevel2X 29" xfId="1260"/>
    <cellStyle name="SAPBEXHLevel2X 3" xfId="248"/>
    <cellStyle name="SAPBEXHLevel2X 30" xfId="1303"/>
    <cellStyle name="SAPBEXHLevel2X 31" xfId="1240"/>
    <cellStyle name="SAPBEXHLevel2X 32" xfId="1388"/>
    <cellStyle name="SAPBEXHLevel2X 33" xfId="1431"/>
    <cellStyle name="SAPBEXHLevel2X 34" xfId="1474"/>
    <cellStyle name="SAPBEXHLevel2X 35" xfId="1517"/>
    <cellStyle name="SAPBEXHLevel2X 36" xfId="1560"/>
    <cellStyle name="SAPBEXHLevel2X 37" xfId="1589"/>
    <cellStyle name="SAPBEXHLevel2X 38" xfId="1646"/>
    <cellStyle name="SAPBEXHLevel2X 39" xfId="1689"/>
    <cellStyle name="SAPBEXHLevel2X 4" xfId="291"/>
    <cellStyle name="SAPBEXHLevel2X 40" xfId="1732"/>
    <cellStyle name="SAPBEXHLevel2X 41" xfId="1775"/>
    <cellStyle name="SAPBEXHLevel2X 42" xfId="1817"/>
    <cellStyle name="SAPBEXHLevel2X 43" xfId="1860"/>
    <cellStyle name="SAPBEXHLevel2X 44" xfId="1855"/>
    <cellStyle name="SAPBEXHLevel2X 45" xfId="1922"/>
    <cellStyle name="SAPBEXHLevel2X 46" xfId="1965"/>
    <cellStyle name="SAPBEXHLevel2X 47" xfId="1994"/>
    <cellStyle name="SAPBEXHLevel2X 48" xfId="2046"/>
    <cellStyle name="SAPBEXHLevel2X 49" xfId="2085"/>
    <cellStyle name="SAPBEXHLevel2X 5" xfId="334"/>
    <cellStyle name="SAPBEXHLevel2X 50" xfId="2123"/>
    <cellStyle name="SAPBEXHLevel2X 51" xfId="2160"/>
    <cellStyle name="SAPBEXHLevel2X 52" xfId="2190"/>
    <cellStyle name="SAPBEXHLevel2X 53" xfId="2216"/>
    <cellStyle name="SAPBEXHLevel2X 54" xfId="2264"/>
    <cellStyle name="SAPBEXHLevel2X 6" xfId="377"/>
    <cellStyle name="SAPBEXHLevel2X 7" xfId="420"/>
    <cellStyle name="SAPBEXHLevel2X 8" xfId="463"/>
    <cellStyle name="SAPBEXHLevel2X 9" xfId="506"/>
    <cellStyle name="SAPBEXHLevel3" xfId="81"/>
    <cellStyle name="SAPBEXHLevel3 10" xfId="550"/>
    <cellStyle name="SAPBEXHLevel3 11" xfId="620"/>
    <cellStyle name="SAPBEXHLevel3 12" xfId="636"/>
    <cellStyle name="SAPBEXHLevel3 13" xfId="726"/>
    <cellStyle name="SAPBEXHLevel3 14" xfId="748"/>
    <cellStyle name="SAPBEXHLevel3 15" xfId="787"/>
    <cellStyle name="SAPBEXHLevel3 16" xfId="849"/>
    <cellStyle name="SAPBEXHLevel3 17" xfId="939"/>
    <cellStyle name="SAPBEXHLevel3 18" xfId="961"/>
    <cellStyle name="SAPBEXHLevel3 19" xfId="1027"/>
    <cellStyle name="SAPBEXHLevel3 2" xfId="203"/>
    <cellStyle name="SAPBEXHLevel3 20" xfId="1070"/>
    <cellStyle name="SAPBEXHLevel3 21" xfId="1109"/>
    <cellStyle name="SAPBEXHLevel3 22" xfId="1202"/>
    <cellStyle name="SAPBEXHLevel3 23" xfId="1218"/>
    <cellStyle name="SAPBEXHLevel3 24" xfId="1261"/>
    <cellStyle name="SAPBEXHLevel3 25" xfId="1304"/>
    <cellStyle name="SAPBEXHLevel3 26" xfId="1346"/>
    <cellStyle name="SAPBEXHLevel3 27" xfId="1389"/>
    <cellStyle name="SAPBEXHLevel3 28" xfId="1432"/>
    <cellStyle name="SAPBEXHLevel3 29" xfId="1475"/>
    <cellStyle name="SAPBEXHLevel3 3" xfId="249"/>
    <cellStyle name="SAPBEXHLevel3 30" xfId="1518"/>
    <cellStyle name="SAPBEXHLevel3 31" xfId="1561"/>
    <cellStyle name="SAPBEXHLevel3 32" xfId="1631"/>
    <cellStyle name="SAPBEXHLevel3 33" xfId="1647"/>
    <cellStyle name="SAPBEXHLevel3 34" xfId="1690"/>
    <cellStyle name="SAPBEXHLevel3 35" xfId="1733"/>
    <cellStyle name="SAPBEXHLevel3 36" xfId="1776"/>
    <cellStyle name="SAPBEXHLevel3 37" xfId="1818"/>
    <cellStyle name="SAPBEXHLevel3 38" xfId="1857"/>
    <cellStyle name="SAPBEXHLevel3 39" xfId="1923"/>
    <cellStyle name="SAPBEXHLevel3 4" xfId="292"/>
    <cellStyle name="SAPBEXHLevel3 40" xfId="1966"/>
    <cellStyle name="SAPBEXHLevel3 41" xfId="2031"/>
    <cellStyle name="SAPBEXHLevel3 42" xfId="2047"/>
    <cellStyle name="SAPBEXHLevel3 43" xfId="2086"/>
    <cellStyle name="SAPBEXHLevel3 44" xfId="2124"/>
    <cellStyle name="SAPBEXHLevel3 45" xfId="2161"/>
    <cellStyle name="SAPBEXHLevel3 46" xfId="2191"/>
    <cellStyle name="SAPBEXHLevel3 47" xfId="2217"/>
    <cellStyle name="SAPBEXHLevel3 48" xfId="2265"/>
    <cellStyle name="SAPBEXHLevel3 5" xfId="335"/>
    <cellStyle name="SAPBEXHLevel3 6" xfId="378"/>
    <cellStyle name="SAPBEXHLevel3 7" xfId="421"/>
    <cellStyle name="SAPBEXHLevel3 8" xfId="464"/>
    <cellStyle name="SAPBEXHLevel3 9" xfId="507"/>
    <cellStyle name="SAPBEXHLevel3X" xfId="82"/>
    <cellStyle name="SAPBEXHLevel3X 10" xfId="551"/>
    <cellStyle name="SAPBEXHLevel3X 11" xfId="618"/>
    <cellStyle name="SAPBEXHLevel3X 12" xfId="637"/>
    <cellStyle name="SAPBEXHLevel3X 13" xfId="680"/>
    <cellStyle name="SAPBEXHLevel3X 14" xfId="722"/>
    <cellStyle name="SAPBEXHLevel3X 15" xfId="749"/>
    <cellStyle name="SAPBEXHLevel3X 16" xfId="792"/>
    <cellStyle name="SAPBEXHLevel3X 17" xfId="788"/>
    <cellStyle name="SAPBEXHLevel3X 18" xfId="854"/>
    <cellStyle name="SAPBEXHLevel3X 19" xfId="850"/>
    <cellStyle name="SAPBEXHLevel3X 2" xfId="204"/>
    <cellStyle name="SAPBEXHLevel3X 20" xfId="944"/>
    <cellStyle name="SAPBEXHLevel3X 21" xfId="966"/>
    <cellStyle name="SAPBEXHLevel3X 22" xfId="962"/>
    <cellStyle name="SAPBEXHLevel3X 23" xfId="1028"/>
    <cellStyle name="SAPBEXHLevel3X 24" xfId="1071"/>
    <cellStyle name="SAPBEXHLevel3X 25" xfId="1114"/>
    <cellStyle name="SAPBEXHLevel3X 26" xfId="1110"/>
    <cellStyle name="SAPBEXHLevel3X 27" xfId="1203"/>
    <cellStyle name="SAPBEXHLevel3X 28" xfId="1219"/>
    <cellStyle name="SAPBEXHLevel3X 29" xfId="1262"/>
    <cellStyle name="SAPBEXHLevel3X 3" xfId="250"/>
    <cellStyle name="SAPBEXHLevel3X 30" xfId="1305"/>
    <cellStyle name="SAPBEXHLevel3X 31" xfId="1347"/>
    <cellStyle name="SAPBEXHLevel3X 32" xfId="1390"/>
    <cellStyle name="SAPBEXHLevel3X 33" xfId="1433"/>
    <cellStyle name="SAPBEXHLevel3X 34" xfId="1476"/>
    <cellStyle name="SAPBEXHLevel3X 35" xfId="1519"/>
    <cellStyle name="SAPBEXHLevel3X 36" xfId="1562"/>
    <cellStyle name="SAPBEXHLevel3X 37" xfId="1632"/>
    <cellStyle name="SAPBEXHLevel3X 38" xfId="1648"/>
    <cellStyle name="SAPBEXHLevel3X 39" xfId="1691"/>
    <cellStyle name="SAPBEXHLevel3X 4" xfId="293"/>
    <cellStyle name="SAPBEXHLevel3X 40" xfId="1734"/>
    <cellStyle name="SAPBEXHLevel3X 41" xfId="1777"/>
    <cellStyle name="SAPBEXHLevel3X 42" xfId="1819"/>
    <cellStyle name="SAPBEXHLevel3X 43" xfId="1862"/>
    <cellStyle name="SAPBEXHLevel3X 44" xfId="1858"/>
    <cellStyle name="SAPBEXHLevel3X 45" xfId="1924"/>
    <cellStyle name="SAPBEXHLevel3X 46" xfId="1967"/>
    <cellStyle name="SAPBEXHLevel3X 47" xfId="2032"/>
    <cellStyle name="SAPBEXHLevel3X 48" xfId="2048"/>
    <cellStyle name="SAPBEXHLevel3X 49" xfId="2087"/>
    <cellStyle name="SAPBEXHLevel3X 5" xfId="336"/>
    <cellStyle name="SAPBEXHLevel3X 50" xfId="2125"/>
    <cellStyle name="SAPBEXHLevel3X 51" xfId="2162"/>
    <cellStyle name="SAPBEXHLevel3X 52" xfId="2192"/>
    <cellStyle name="SAPBEXHLevel3X 53" xfId="2218"/>
    <cellStyle name="SAPBEXHLevel3X 54" xfId="2266"/>
    <cellStyle name="SAPBEXHLevel3X 6" xfId="379"/>
    <cellStyle name="SAPBEXHLevel3X 7" xfId="422"/>
    <cellStyle name="SAPBEXHLevel3X 8" xfId="465"/>
    <cellStyle name="SAPBEXHLevel3X 9" xfId="508"/>
    <cellStyle name="SAPBEXinputData" xfId="83"/>
    <cellStyle name="SAPBEXItemHeader" xfId="84"/>
    <cellStyle name="SAPBEXItemHeader 10" xfId="553"/>
    <cellStyle name="SAPBEXItemHeader 11" xfId="577"/>
    <cellStyle name="SAPBEXItemHeader 12" xfId="639"/>
    <cellStyle name="SAPBEXItemHeader 13" xfId="682"/>
    <cellStyle name="SAPBEXItemHeader 14" xfId="641"/>
    <cellStyle name="SAPBEXItemHeader 15" xfId="751"/>
    <cellStyle name="SAPBEXItemHeader 16" xfId="794"/>
    <cellStyle name="SAPBEXItemHeader 17" xfId="822"/>
    <cellStyle name="SAPBEXItemHeader 18" xfId="856"/>
    <cellStyle name="SAPBEXItemHeader 19" xfId="884"/>
    <cellStyle name="SAPBEXItemHeader 2" xfId="206"/>
    <cellStyle name="SAPBEXItemHeader 20" xfId="733"/>
    <cellStyle name="SAPBEXItemHeader 21" xfId="968"/>
    <cellStyle name="SAPBEXItemHeader 22" xfId="996"/>
    <cellStyle name="SAPBEXItemHeader 23" xfId="1030"/>
    <cellStyle name="SAPBEXItemHeader 24" xfId="1073"/>
    <cellStyle name="SAPBEXItemHeader 25" xfId="1116"/>
    <cellStyle name="SAPBEXItemHeader 26" xfId="1144"/>
    <cellStyle name="SAPBEXItemHeader 27" xfId="1128"/>
    <cellStyle name="SAPBEXItemHeader 28" xfId="1221"/>
    <cellStyle name="SAPBEXItemHeader 29" xfId="1264"/>
    <cellStyle name="SAPBEXItemHeader 3" xfId="252"/>
    <cellStyle name="SAPBEXItemHeader 30" xfId="1307"/>
    <cellStyle name="SAPBEXItemHeader 31" xfId="1349"/>
    <cellStyle name="SAPBEXItemHeader 32" xfId="1392"/>
    <cellStyle name="SAPBEXItemHeader 33" xfId="1435"/>
    <cellStyle name="SAPBEXItemHeader 34" xfId="1478"/>
    <cellStyle name="SAPBEXItemHeader 35" xfId="1521"/>
    <cellStyle name="SAPBEXItemHeader 36" xfId="1564"/>
    <cellStyle name="SAPBEXItemHeader 37" xfId="1533"/>
    <cellStyle name="SAPBEXItemHeader 38" xfId="1650"/>
    <cellStyle name="SAPBEXItemHeader 39" xfId="1693"/>
    <cellStyle name="SAPBEXItemHeader 4" xfId="295"/>
    <cellStyle name="SAPBEXItemHeader 40" xfId="1736"/>
    <cellStyle name="SAPBEXItemHeader 41" xfId="1779"/>
    <cellStyle name="SAPBEXItemHeader 42" xfId="1821"/>
    <cellStyle name="SAPBEXItemHeader 43" xfId="1864"/>
    <cellStyle name="SAPBEXItemHeader 44" xfId="1892"/>
    <cellStyle name="SAPBEXItemHeader 45" xfId="1926"/>
    <cellStyle name="SAPBEXItemHeader 46" xfId="1969"/>
    <cellStyle name="SAPBEXItemHeader 47" xfId="1938"/>
    <cellStyle name="SAPBEXItemHeader 48" xfId="2049"/>
    <cellStyle name="SAPBEXItemHeader 49" xfId="2088"/>
    <cellStyle name="SAPBEXItemHeader 5" xfId="338"/>
    <cellStyle name="SAPBEXItemHeader 50" xfId="2126"/>
    <cellStyle name="SAPBEXItemHeader 51" xfId="2163"/>
    <cellStyle name="SAPBEXItemHeader 52" xfId="2193"/>
    <cellStyle name="SAPBEXItemHeader 53" xfId="2219"/>
    <cellStyle name="SAPBEXItemHeader 54" xfId="2267"/>
    <cellStyle name="SAPBEXItemHeader 6" xfId="381"/>
    <cellStyle name="SAPBEXItemHeader 7" xfId="424"/>
    <cellStyle name="SAPBEXItemHeader 8" xfId="467"/>
    <cellStyle name="SAPBEXItemHeader 9" xfId="510"/>
    <cellStyle name="SAPBEXresData" xfId="85"/>
    <cellStyle name="SAPBEXresData 10" xfId="554"/>
    <cellStyle name="SAPBEXresData 11" xfId="535"/>
    <cellStyle name="SAPBEXresData 12" xfId="640"/>
    <cellStyle name="SAPBEXresData 13" xfId="683"/>
    <cellStyle name="SAPBEXresData 14" xfId="638"/>
    <cellStyle name="SAPBEXresData 15" xfId="752"/>
    <cellStyle name="SAPBEXresData 16" xfId="795"/>
    <cellStyle name="SAPBEXresData 17" xfId="812"/>
    <cellStyle name="SAPBEXresData 18" xfId="857"/>
    <cellStyle name="SAPBEXresData 19" xfId="874"/>
    <cellStyle name="SAPBEXresData 2" xfId="207"/>
    <cellStyle name="SAPBEXresData 20" xfId="858"/>
    <cellStyle name="SAPBEXresData 21" xfId="969"/>
    <cellStyle name="SAPBEXresData 22" xfId="986"/>
    <cellStyle name="SAPBEXresData 23" xfId="1031"/>
    <cellStyle name="SAPBEXresData 24" xfId="1074"/>
    <cellStyle name="SAPBEXresData 25" xfId="1117"/>
    <cellStyle name="SAPBEXresData 26" xfId="1134"/>
    <cellStyle name="SAPBEXresData 27" xfId="1159"/>
    <cellStyle name="SAPBEXresData 28" xfId="1222"/>
    <cellStyle name="SAPBEXresData 29" xfId="1265"/>
    <cellStyle name="SAPBEXresData 3" xfId="253"/>
    <cellStyle name="SAPBEXresData 30" xfId="1308"/>
    <cellStyle name="SAPBEXresData 31" xfId="1350"/>
    <cellStyle name="SAPBEXresData 32" xfId="1393"/>
    <cellStyle name="SAPBEXresData 33" xfId="1436"/>
    <cellStyle name="SAPBEXresData 34" xfId="1479"/>
    <cellStyle name="SAPBEXresData 35" xfId="1522"/>
    <cellStyle name="SAPBEXresData 36" xfId="1565"/>
    <cellStyle name="SAPBEXresData 37" xfId="1588"/>
    <cellStyle name="SAPBEXresData 38" xfId="1651"/>
    <cellStyle name="SAPBEXresData 39" xfId="1694"/>
    <cellStyle name="SAPBEXresData 4" xfId="296"/>
    <cellStyle name="SAPBEXresData 40" xfId="1737"/>
    <cellStyle name="SAPBEXresData 41" xfId="1780"/>
    <cellStyle name="SAPBEXresData 42" xfId="1822"/>
    <cellStyle name="SAPBEXresData 43" xfId="1865"/>
    <cellStyle name="SAPBEXresData 44" xfId="1882"/>
    <cellStyle name="SAPBEXresData 45" xfId="1927"/>
    <cellStyle name="SAPBEXresData 46" xfId="1970"/>
    <cellStyle name="SAPBEXresData 47" xfId="1993"/>
    <cellStyle name="SAPBEXresData 48" xfId="2050"/>
    <cellStyle name="SAPBEXresData 49" xfId="2089"/>
    <cellStyle name="SAPBEXresData 5" xfId="339"/>
    <cellStyle name="SAPBEXresData 50" xfId="2127"/>
    <cellStyle name="SAPBEXresData 51" xfId="2164"/>
    <cellStyle name="SAPBEXresData 52" xfId="2194"/>
    <cellStyle name="SAPBEXresData 53" xfId="2220"/>
    <cellStyle name="SAPBEXresData 54" xfId="2268"/>
    <cellStyle name="SAPBEXresData 6" xfId="382"/>
    <cellStyle name="SAPBEXresData 7" xfId="425"/>
    <cellStyle name="SAPBEXresData 8" xfId="468"/>
    <cellStyle name="SAPBEXresData 9" xfId="511"/>
    <cellStyle name="SAPBEXresDataEmph" xfId="86"/>
    <cellStyle name="SAPBEXresItem" xfId="87"/>
    <cellStyle name="SAPBEXresItem 10" xfId="556"/>
    <cellStyle name="SAPBEXresItem 11" xfId="616"/>
    <cellStyle name="SAPBEXresItem 12" xfId="642"/>
    <cellStyle name="SAPBEXresItem 13" xfId="685"/>
    <cellStyle name="SAPBEXresItem 14" xfId="613"/>
    <cellStyle name="SAPBEXresItem 15" xfId="754"/>
    <cellStyle name="SAPBEXresItem 16" xfId="797"/>
    <cellStyle name="SAPBEXresItem 17" xfId="477"/>
    <cellStyle name="SAPBEXresItem 18" xfId="859"/>
    <cellStyle name="SAPBEXresItem 19" xfId="805"/>
    <cellStyle name="SAPBEXresItem 2" xfId="209"/>
    <cellStyle name="SAPBEXresItem 20" xfId="769"/>
    <cellStyle name="SAPBEXresItem 21" xfId="971"/>
    <cellStyle name="SAPBEXresItem 22" xfId="930"/>
    <cellStyle name="SAPBEXresItem 23" xfId="1033"/>
    <cellStyle name="SAPBEXresItem 24" xfId="1076"/>
    <cellStyle name="SAPBEXresItem 25" xfId="1119"/>
    <cellStyle name="SAPBEXresItem 26" xfId="1040"/>
    <cellStyle name="SAPBEXresItem 27" xfId="967"/>
    <cellStyle name="SAPBEXresItem 28" xfId="1224"/>
    <cellStyle name="SAPBEXresItem 29" xfId="1267"/>
    <cellStyle name="SAPBEXresItem 3" xfId="255"/>
    <cellStyle name="SAPBEXresItem 30" xfId="1310"/>
    <cellStyle name="SAPBEXresItem 31" xfId="1352"/>
    <cellStyle name="SAPBEXresItem 32" xfId="1395"/>
    <cellStyle name="SAPBEXresItem 33" xfId="1438"/>
    <cellStyle name="SAPBEXresItem 34" xfId="1481"/>
    <cellStyle name="SAPBEXresItem 35" xfId="1524"/>
    <cellStyle name="SAPBEXresItem 36" xfId="1567"/>
    <cellStyle name="SAPBEXresItem 37" xfId="1447"/>
    <cellStyle name="SAPBEXresItem 38" xfId="1653"/>
    <cellStyle name="SAPBEXresItem 39" xfId="1696"/>
    <cellStyle name="SAPBEXresItem 4" xfId="298"/>
    <cellStyle name="SAPBEXresItem 40" xfId="1739"/>
    <cellStyle name="SAPBEXresItem 41" xfId="1782"/>
    <cellStyle name="SAPBEXresItem 42" xfId="1824"/>
    <cellStyle name="SAPBEXresItem 43" xfId="1867"/>
    <cellStyle name="SAPBEXresItem 44" xfId="1789"/>
    <cellStyle name="SAPBEXresItem 45" xfId="1929"/>
    <cellStyle name="SAPBEXresItem 46" xfId="1972"/>
    <cellStyle name="SAPBEXresItem 47" xfId="1876"/>
    <cellStyle name="SAPBEXresItem 48" xfId="2052"/>
    <cellStyle name="SAPBEXresItem 49" xfId="2090"/>
    <cellStyle name="SAPBEXresItem 5" xfId="341"/>
    <cellStyle name="SAPBEXresItem 50" xfId="2128"/>
    <cellStyle name="SAPBEXresItem 51" xfId="2165"/>
    <cellStyle name="SAPBEXresItem 52" xfId="2195"/>
    <cellStyle name="SAPBEXresItem 53" xfId="2221"/>
    <cellStyle name="SAPBEXresItem 54" xfId="2269"/>
    <cellStyle name="SAPBEXresItem 6" xfId="384"/>
    <cellStyle name="SAPBEXresItem 7" xfId="427"/>
    <cellStyle name="SAPBEXresItem 8" xfId="470"/>
    <cellStyle name="SAPBEXresItem 9" xfId="513"/>
    <cellStyle name="SAPBEXresItemX" xfId="88"/>
    <cellStyle name="SAPBEXresItemX 10" xfId="557"/>
    <cellStyle name="SAPBEXresItemX 11" xfId="621"/>
    <cellStyle name="SAPBEXresItemX 12" xfId="643"/>
    <cellStyle name="SAPBEXresItemX 13" xfId="686"/>
    <cellStyle name="SAPBEXresItemX 14" xfId="727"/>
    <cellStyle name="SAPBEXresItemX 15" xfId="755"/>
    <cellStyle name="SAPBEXresItemX 16" xfId="798"/>
    <cellStyle name="SAPBEXresItemX 17" xfId="681"/>
    <cellStyle name="SAPBEXresItemX 18" xfId="860"/>
    <cellStyle name="SAPBEXresItemX 19" xfId="700"/>
    <cellStyle name="SAPBEXresItemX 2" xfId="210"/>
    <cellStyle name="SAPBEXresItemX 20" xfId="937"/>
    <cellStyle name="SAPBEXresItemX 21" xfId="972"/>
    <cellStyle name="SAPBEXresItemX 22" xfId="902"/>
    <cellStyle name="SAPBEXresItemX 23" xfId="1034"/>
    <cellStyle name="SAPBEXresItemX 24" xfId="1077"/>
    <cellStyle name="SAPBEXresItemX 25" xfId="1120"/>
    <cellStyle name="SAPBEXresItemX 26" xfId="1011"/>
    <cellStyle name="SAPBEXresItemX 27" xfId="1199"/>
    <cellStyle name="SAPBEXresItemX 28" xfId="1225"/>
    <cellStyle name="SAPBEXresItemX 29" xfId="1268"/>
    <cellStyle name="SAPBEXresItemX 3" xfId="256"/>
    <cellStyle name="SAPBEXresItemX 30" xfId="1311"/>
    <cellStyle name="SAPBEXresItemX 31" xfId="1353"/>
    <cellStyle name="SAPBEXresItemX 32" xfId="1396"/>
    <cellStyle name="SAPBEXresItemX 33" xfId="1439"/>
    <cellStyle name="SAPBEXresItemX 34" xfId="1482"/>
    <cellStyle name="SAPBEXresItemX 35" xfId="1525"/>
    <cellStyle name="SAPBEXresItemX 36" xfId="1568"/>
    <cellStyle name="SAPBEXresItemX 37" xfId="1628"/>
    <cellStyle name="SAPBEXresItemX 38" xfId="1654"/>
    <cellStyle name="SAPBEXresItemX 39" xfId="1697"/>
    <cellStyle name="SAPBEXresItemX 4" xfId="299"/>
    <cellStyle name="SAPBEXresItemX 40" xfId="1740"/>
    <cellStyle name="SAPBEXresItemX 41" xfId="1783"/>
    <cellStyle name="SAPBEXresItemX 42" xfId="1825"/>
    <cellStyle name="SAPBEXresItemX 43" xfId="1868"/>
    <cellStyle name="SAPBEXresItemX 44" xfId="1760"/>
    <cellStyle name="SAPBEXresItemX 45" xfId="1930"/>
    <cellStyle name="SAPBEXresItemX 46" xfId="1973"/>
    <cellStyle name="SAPBEXresItemX 47" xfId="2029"/>
    <cellStyle name="SAPBEXresItemX 48" xfId="2053"/>
    <cellStyle name="SAPBEXresItemX 49" xfId="2091"/>
    <cellStyle name="SAPBEXresItemX 5" xfId="342"/>
    <cellStyle name="SAPBEXresItemX 50" xfId="2129"/>
    <cellStyle name="SAPBEXresItemX 51" xfId="2166"/>
    <cellStyle name="SAPBEXresItemX 52" xfId="2196"/>
    <cellStyle name="SAPBEXresItemX 53" xfId="2222"/>
    <cellStyle name="SAPBEXresItemX 54" xfId="2270"/>
    <cellStyle name="SAPBEXresItemX 6" xfId="385"/>
    <cellStyle name="SAPBEXresItemX 7" xfId="428"/>
    <cellStyle name="SAPBEXresItemX 8" xfId="471"/>
    <cellStyle name="SAPBEXresItemX 9" xfId="514"/>
    <cellStyle name="SAPBEXstdData" xfId="89"/>
    <cellStyle name="SAPBEXstdData 10" xfId="558"/>
    <cellStyle name="SAPBEXstdData 11" xfId="617"/>
    <cellStyle name="SAPBEXstdData 12" xfId="644"/>
    <cellStyle name="SAPBEXstdData 13" xfId="720"/>
    <cellStyle name="SAPBEXstdData 14" xfId="756"/>
    <cellStyle name="SAPBEXstdData 15" xfId="654"/>
    <cellStyle name="SAPBEXstdData 16" xfId="773"/>
    <cellStyle name="SAPBEXstdData 17" xfId="945"/>
    <cellStyle name="SAPBEXstdData 18" xfId="951"/>
    <cellStyle name="SAPBEXstdData 19" xfId="1035"/>
    <cellStyle name="SAPBEXstdData 2" xfId="211"/>
    <cellStyle name="SAPBEXstdData 20" xfId="1078"/>
    <cellStyle name="SAPBEXstdData 21" xfId="761"/>
    <cellStyle name="SAPBEXstdData 22" xfId="1204"/>
    <cellStyle name="SAPBEXstdData 23" xfId="1226"/>
    <cellStyle name="SAPBEXstdData 24" xfId="1269"/>
    <cellStyle name="SAPBEXstdData 25" xfId="1312"/>
    <cellStyle name="SAPBEXstdData 26" xfId="1354"/>
    <cellStyle name="SAPBEXstdData 27" xfId="1397"/>
    <cellStyle name="SAPBEXstdData 28" xfId="1440"/>
    <cellStyle name="SAPBEXstdData 29" xfId="1483"/>
    <cellStyle name="SAPBEXstdData 3" xfId="257"/>
    <cellStyle name="SAPBEXstdData 30" xfId="1526"/>
    <cellStyle name="SAPBEXstdData 31" xfId="1569"/>
    <cellStyle name="SAPBEXstdData 32" xfId="1633"/>
    <cellStyle name="SAPBEXstdData 33" xfId="1655"/>
    <cellStyle name="SAPBEXstdData 34" xfId="1698"/>
    <cellStyle name="SAPBEXstdData 35" xfId="1741"/>
    <cellStyle name="SAPBEXstdData 36" xfId="1784"/>
    <cellStyle name="SAPBEXstdData 37" xfId="1826"/>
    <cellStyle name="SAPBEXstdData 38" xfId="1718"/>
    <cellStyle name="SAPBEXstdData 39" xfId="1931"/>
    <cellStyle name="SAPBEXstdData 4" xfId="300"/>
    <cellStyle name="SAPBEXstdData 40" xfId="1974"/>
    <cellStyle name="SAPBEXstdData 41" xfId="2033"/>
    <cellStyle name="SAPBEXstdData 42" xfId="2054"/>
    <cellStyle name="SAPBEXstdData 43" xfId="2092"/>
    <cellStyle name="SAPBEXstdData 44" xfId="2130"/>
    <cellStyle name="SAPBEXstdData 45" xfId="2167"/>
    <cellStyle name="SAPBEXstdData 46" xfId="2197"/>
    <cellStyle name="SAPBEXstdData 47" xfId="2223"/>
    <cellStyle name="SAPBEXstdData 48" xfId="2271"/>
    <cellStyle name="SAPBEXstdData 5" xfId="343"/>
    <cellStyle name="SAPBEXstdData 6" xfId="386"/>
    <cellStyle name="SAPBEXstdData 7" xfId="429"/>
    <cellStyle name="SAPBEXstdData 8" xfId="472"/>
    <cellStyle name="SAPBEXstdData 9" xfId="515"/>
    <cellStyle name="SAPBEXstdDataEmph" xfId="90"/>
    <cellStyle name="SAPBEXstdDataEmph 10" xfId="559"/>
    <cellStyle name="SAPBEXstdDataEmph 11" xfId="466"/>
    <cellStyle name="SAPBEXstdDataEmph 12" xfId="645"/>
    <cellStyle name="SAPBEXstdDataEmph 13" xfId="436"/>
    <cellStyle name="SAPBEXstdDataEmph 14" xfId="757"/>
    <cellStyle name="SAPBEXstdDataEmph 15" xfId="825"/>
    <cellStyle name="SAPBEXstdDataEmph 16" xfId="887"/>
    <cellStyle name="SAPBEXstdDataEmph 17" xfId="938"/>
    <cellStyle name="SAPBEXstdDataEmph 18" xfId="999"/>
    <cellStyle name="SAPBEXstdDataEmph 19" xfId="1036"/>
    <cellStyle name="SAPBEXstdDataEmph 2" xfId="212"/>
    <cellStyle name="SAPBEXstdDataEmph 20" xfId="1079"/>
    <cellStyle name="SAPBEXstdDataEmph 21" xfId="1147"/>
    <cellStyle name="SAPBEXstdDataEmph 22" xfId="1200"/>
    <cellStyle name="SAPBEXstdDataEmph 23" xfId="1227"/>
    <cellStyle name="SAPBEXstdDataEmph 24" xfId="1270"/>
    <cellStyle name="SAPBEXstdDataEmph 25" xfId="1313"/>
    <cellStyle name="SAPBEXstdDataEmph 26" xfId="1355"/>
    <cellStyle name="SAPBEXstdDataEmph 27" xfId="1398"/>
    <cellStyle name="SAPBEXstdDataEmph 28" xfId="1441"/>
    <cellStyle name="SAPBEXstdDataEmph 29" xfId="1484"/>
    <cellStyle name="SAPBEXstdDataEmph 3" xfId="258"/>
    <cellStyle name="SAPBEXstdDataEmph 30" xfId="1527"/>
    <cellStyle name="SAPBEXstdDataEmph 31" xfId="1570"/>
    <cellStyle name="SAPBEXstdDataEmph 32" xfId="1629"/>
    <cellStyle name="SAPBEXstdDataEmph 33" xfId="1656"/>
    <cellStyle name="SAPBEXstdDataEmph 34" xfId="1699"/>
    <cellStyle name="SAPBEXstdDataEmph 35" xfId="1742"/>
    <cellStyle name="SAPBEXstdDataEmph 36" xfId="1785"/>
    <cellStyle name="SAPBEXstdDataEmph 37" xfId="1827"/>
    <cellStyle name="SAPBEXstdDataEmph 38" xfId="1895"/>
    <cellStyle name="SAPBEXstdDataEmph 39" xfId="1932"/>
    <cellStyle name="SAPBEXstdDataEmph 4" xfId="301"/>
    <cellStyle name="SAPBEXstdDataEmph 40" xfId="1975"/>
    <cellStyle name="SAPBEXstdDataEmph 41" xfId="2030"/>
    <cellStyle name="SAPBEXstdDataEmph 42" xfId="2055"/>
    <cellStyle name="SAPBEXstdDataEmph 43" xfId="2093"/>
    <cellStyle name="SAPBEXstdDataEmph 44" xfId="2131"/>
    <cellStyle name="SAPBEXstdDataEmph 45" xfId="2168"/>
    <cellStyle name="SAPBEXstdDataEmph 46" xfId="2198"/>
    <cellStyle name="SAPBEXstdDataEmph 47" xfId="2224"/>
    <cellStyle name="SAPBEXstdDataEmph 48" xfId="2272"/>
    <cellStyle name="SAPBEXstdDataEmph 5" xfId="344"/>
    <cellStyle name="SAPBEXstdDataEmph 6" xfId="387"/>
    <cellStyle name="SAPBEXstdDataEmph 7" xfId="430"/>
    <cellStyle name="SAPBEXstdDataEmph 8" xfId="473"/>
    <cellStyle name="SAPBEXstdDataEmph 9" xfId="516"/>
    <cellStyle name="SAPBEXstdItem" xfId="91"/>
    <cellStyle name="SAPBEXstdItem 10" xfId="560"/>
    <cellStyle name="SAPBEXstdItem 11" xfId="340"/>
    <cellStyle name="SAPBEXstdItem 12" xfId="646"/>
    <cellStyle name="SAPBEXstdItem 13" xfId="666"/>
    <cellStyle name="SAPBEXstdItem 14" xfId="758"/>
    <cellStyle name="SAPBEXstdItem 15" xfId="823"/>
    <cellStyle name="SAPBEXstdItem 16" xfId="885"/>
    <cellStyle name="SAPBEXstdItem 17" xfId="913"/>
    <cellStyle name="SAPBEXstdItem 18" xfId="997"/>
    <cellStyle name="SAPBEXstdItem 19" xfId="1037"/>
    <cellStyle name="SAPBEXstdItem 2" xfId="213"/>
    <cellStyle name="SAPBEXstdItem 20" xfId="1080"/>
    <cellStyle name="SAPBEXstdItem 21" xfId="1145"/>
    <cellStyle name="SAPBEXstdItem 22" xfId="853"/>
    <cellStyle name="SAPBEXstdItem 23" xfId="1228"/>
    <cellStyle name="SAPBEXstdItem 24" xfId="1271"/>
    <cellStyle name="SAPBEXstdItem 25" xfId="1314"/>
    <cellStyle name="SAPBEXstdItem 26" xfId="1356"/>
    <cellStyle name="SAPBEXstdItem 27" xfId="1399"/>
    <cellStyle name="SAPBEXstdItem 28" xfId="1442"/>
    <cellStyle name="SAPBEXstdItem 29" xfId="1485"/>
    <cellStyle name="SAPBEXstdItem 3" xfId="259"/>
    <cellStyle name="SAPBEXstdItem 30" xfId="1528"/>
    <cellStyle name="SAPBEXstdItem 31" xfId="1571"/>
    <cellStyle name="SAPBEXstdItem 32" xfId="1477"/>
    <cellStyle name="SAPBEXstdItem 33" xfId="1657"/>
    <cellStyle name="SAPBEXstdItem 34" xfId="1700"/>
    <cellStyle name="SAPBEXstdItem 35" xfId="1743"/>
    <cellStyle name="SAPBEXstdItem 36" xfId="1786"/>
    <cellStyle name="SAPBEXstdItem 37" xfId="1828"/>
    <cellStyle name="SAPBEXstdItem 38" xfId="1893"/>
    <cellStyle name="SAPBEXstdItem 39" xfId="1933"/>
    <cellStyle name="SAPBEXstdItem 4" xfId="302"/>
    <cellStyle name="SAPBEXstdItem 40" xfId="1976"/>
    <cellStyle name="SAPBEXstdItem 41" xfId="1881"/>
    <cellStyle name="SAPBEXstdItem 42" xfId="2056"/>
    <cellStyle name="SAPBEXstdItem 43" xfId="2094"/>
    <cellStyle name="SAPBEXstdItem 44" xfId="2132"/>
    <cellStyle name="SAPBEXstdItem 45" xfId="2169"/>
    <cellStyle name="SAPBEXstdItem 46" xfId="2199"/>
    <cellStyle name="SAPBEXstdItem 47" xfId="2225"/>
    <cellStyle name="SAPBEXstdItem 48" xfId="2273"/>
    <cellStyle name="SAPBEXstdItem 5" xfId="345"/>
    <cellStyle name="SAPBEXstdItem 6" xfId="388"/>
    <cellStyle name="SAPBEXstdItem 7" xfId="431"/>
    <cellStyle name="SAPBEXstdItem 8" xfId="474"/>
    <cellStyle name="SAPBEXstdItem 9" xfId="517"/>
    <cellStyle name="SAPBEXstdItemX" xfId="92"/>
    <cellStyle name="SAPBEXstdItemX 10" xfId="561"/>
    <cellStyle name="SAPBEXstdItemX 11" xfId="543"/>
    <cellStyle name="SAPBEXstdItemX 12" xfId="647"/>
    <cellStyle name="SAPBEXstdItemX 13" xfId="690"/>
    <cellStyle name="SAPBEXstdItemX 14" xfId="606"/>
    <cellStyle name="SAPBEXstdItemX 15" xfId="759"/>
    <cellStyle name="SAPBEXstdItemX 16" xfId="802"/>
    <cellStyle name="SAPBEXstdItemX 17" xfId="810"/>
    <cellStyle name="SAPBEXstdItemX 18" xfId="864"/>
    <cellStyle name="SAPBEXstdItemX 19" xfId="872"/>
    <cellStyle name="SAPBEXstdItemX 2" xfId="214"/>
    <cellStyle name="SAPBEXstdItemX 20" xfId="909"/>
    <cellStyle name="SAPBEXstdItemX 21" xfId="976"/>
    <cellStyle name="SAPBEXstdItemX 22" xfId="984"/>
    <cellStyle name="SAPBEXstdItemX 23" xfId="1038"/>
    <cellStyle name="SAPBEXstdItemX 24" xfId="1081"/>
    <cellStyle name="SAPBEXstdItemX 25" xfId="1124"/>
    <cellStyle name="SAPBEXstdItemX 26" xfId="1132"/>
    <cellStyle name="SAPBEXstdItemX 27" xfId="1118"/>
    <cellStyle name="SAPBEXstdItemX 28" xfId="1229"/>
    <cellStyle name="SAPBEXstdItemX 29" xfId="1272"/>
    <cellStyle name="SAPBEXstdItemX 3" xfId="260"/>
    <cellStyle name="SAPBEXstdItemX 30" xfId="1315"/>
    <cellStyle name="SAPBEXstdItemX 31" xfId="1357"/>
    <cellStyle name="SAPBEXstdItemX 32" xfId="1400"/>
    <cellStyle name="SAPBEXstdItemX 33" xfId="1443"/>
    <cellStyle name="SAPBEXstdItemX 34" xfId="1486"/>
    <cellStyle name="SAPBEXstdItemX 35" xfId="1529"/>
    <cellStyle name="SAPBEXstdItemX 36" xfId="1572"/>
    <cellStyle name="SAPBEXstdItemX 37" xfId="1351"/>
    <cellStyle name="SAPBEXstdItemX 38" xfId="1658"/>
    <cellStyle name="SAPBEXstdItemX 39" xfId="1701"/>
    <cellStyle name="SAPBEXstdItemX 4" xfId="303"/>
    <cellStyle name="SAPBEXstdItemX 40" xfId="1744"/>
    <cellStyle name="SAPBEXstdItemX 41" xfId="1787"/>
    <cellStyle name="SAPBEXstdItemX 42" xfId="1829"/>
    <cellStyle name="SAPBEXstdItemX 43" xfId="1872"/>
    <cellStyle name="SAPBEXstdItemX 44" xfId="1880"/>
    <cellStyle name="SAPBEXstdItemX 45" xfId="1934"/>
    <cellStyle name="SAPBEXstdItemX 46" xfId="1977"/>
    <cellStyle name="SAPBEXstdItemX 47" xfId="1869"/>
    <cellStyle name="SAPBEXstdItemX 48" xfId="2057"/>
    <cellStyle name="SAPBEXstdItemX 49" xfId="2095"/>
    <cellStyle name="SAPBEXstdItemX 5" xfId="346"/>
    <cellStyle name="SAPBEXstdItemX 50" xfId="2133"/>
    <cellStyle name="SAPBEXstdItemX 51" xfId="2170"/>
    <cellStyle name="SAPBEXstdItemX 52" xfId="2200"/>
    <cellStyle name="SAPBEXstdItemX 53" xfId="2226"/>
    <cellStyle name="SAPBEXstdItemX 54" xfId="2274"/>
    <cellStyle name="SAPBEXstdItemX 6" xfId="389"/>
    <cellStyle name="SAPBEXstdItemX 7" xfId="432"/>
    <cellStyle name="SAPBEXstdItemX 8" xfId="475"/>
    <cellStyle name="SAPBEXstdItemX 9" xfId="518"/>
    <cellStyle name="SAPBEXtitle" xfId="93"/>
    <cellStyle name="SAPBEXtitle 10" xfId="562"/>
    <cellStyle name="SAPBEXtitle 11" xfId="416"/>
    <cellStyle name="SAPBEXtitle 12" xfId="648"/>
    <cellStyle name="SAPBEXtitle 13" xfId="691"/>
    <cellStyle name="SAPBEXtitle 14" xfId="584"/>
    <cellStyle name="SAPBEXtitle 15" xfId="597"/>
    <cellStyle name="SAPBEXtitle 16" xfId="760"/>
    <cellStyle name="SAPBEXtitle 17" xfId="803"/>
    <cellStyle name="SAPBEXtitle 18" xfId="608"/>
    <cellStyle name="SAPBEXtitle 19" xfId="865"/>
    <cellStyle name="SAPBEXtitle 2" xfId="215"/>
    <cellStyle name="SAPBEXtitle 20" xfId="732"/>
    <cellStyle name="SAPBEXtitle 21" xfId="927"/>
    <cellStyle name="SAPBEXtitle 22" xfId="911"/>
    <cellStyle name="SAPBEXtitle 23" xfId="977"/>
    <cellStyle name="SAPBEXtitle 24" xfId="862"/>
    <cellStyle name="SAPBEXtitle 25" xfId="1039"/>
    <cellStyle name="SAPBEXtitle 26" xfId="1082"/>
    <cellStyle name="SAPBEXtitle 27" xfId="1125"/>
    <cellStyle name="SAPBEXtitle 28" xfId="844"/>
    <cellStyle name="SAPBEXtitle 29" xfId="1113"/>
    <cellStyle name="SAPBEXtitle 3" xfId="261"/>
    <cellStyle name="SAPBEXtitle 30" xfId="1230"/>
    <cellStyle name="SAPBEXtitle 31" xfId="1273"/>
    <cellStyle name="SAPBEXtitle 32" xfId="1316"/>
    <cellStyle name="SAPBEXtitle 33" xfId="1358"/>
    <cellStyle name="SAPBEXtitle 34" xfId="1401"/>
    <cellStyle name="SAPBEXtitle 35" xfId="1444"/>
    <cellStyle name="SAPBEXtitle 36" xfId="1487"/>
    <cellStyle name="SAPBEXtitle 37" xfId="1530"/>
    <cellStyle name="SAPBEXtitle 38" xfId="1573"/>
    <cellStyle name="SAPBEXtitle 39" xfId="1554"/>
    <cellStyle name="SAPBEXtitle 4" xfId="304"/>
    <cellStyle name="SAPBEXtitle 40" xfId="1659"/>
    <cellStyle name="SAPBEXtitle 41" xfId="1702"/>
    <cellStyle name="SAPBEXtitle 42" xfId="1745"/>
    <cellStyle name="SAPBEXtitle 43" xfId="1788"/>
    <cellStyle name="SAPBEXtitle 44" xfId="1830"/>
    <cellStyle name="SAPBEXtitle 45" xfId="1873"/>
    <cellStyle name="SAPBEXtitle 46" xfId="1618"/>
    <cellStyle name="SAPBEXtitle 47" xfId="1935"/>
    <cellStyle name="SAPBEXtitle 48" xfId="1978"/>
    <cellStyle name="SAPBEXtitle 49" xfId="1959"/>
    <cellStyle name="SAPBEXtitle 5" xfId="347"/>
    <cellStyle name="SAPBEXtitle 50" xfId="2058"/>
    <cellStyle name="SAPBEXtitle 51" xfId="2096"/>
    <cellStyle name="SAPBEXtitle 52" xfId="2134"/>
    <cellStyle name="SAPBEXtitle 53" xfId="2171"/>
    <cellStyle name="SAPBEXtitle 54" xfId="2201"/>
    <cellStyle name="SAPBEXtitle 55" xfId="2227"/>
    <cellStyle name="SAPBEXtitle 56" xfId="2275"/>
    <cellStyle name="SAPBEXtitle 6" xfId="390"/>
    <cellStyle name="SAPBEXtitle 7" xfId="433"/>
    <cellStyle name="SAPBEXtitle 8" xfId="476"/>
    <cellStyle name="SAPBEXtitle 9" xfId="519"/>
    <cellStyle name="SAPBEXunassignedItem" xfId="94"/>
    <cellStyle name="SAPBEXundefined" xfId="95"/>
    <cellStyle name="SAPBEXundefined 10" xfId="564"/>
    <cellStyle name="SAPBEXundefined 11" xfId="622"/>
    <cellStyle name="SAPBEXundefined 12" xfId="650"/>
    <cellStyle name="SAPBEXundefined 13" xfId="728"/>
    <cellStyle name="SAPBEXundefined 14" xfId="762"/>
    <cellStyle name="SAPBEXundefined 15" xfId="697"/>
    <cellStyle name="SAPBEXundefined 16" xfId="715"/>
    <cellStyle name="SAPBEXundefined 17" xfId="935"/>
    <cellStyle name="SAPBEXundefined 18" xfId="777"/>
    <cellStyle name="SAPBEXundefined 19" xfId="1041"/>
    <cellStyle name="SAPBEXundefined 2" xfId="217"/>
    <cellStyle name="SAPBEXundefined 20" xfId="1084"/>
    <cellStyle name="SAPBEXundefined 21" xfId="1056"/>
    <cellStyle name="SAPBEXundefined 22" xfId="1197"/>
    <cellStyle name="SAPBEXundefined 23" xfId="1232"/>
    <cellStyle name="SAPBEXundefined 24" xfId="1275"/>
    <cellStyle name="SAPBEXundefined 25" xfId="1318"/>
    <cellStyle name="SAPBEXundefined 26" xfId="1360"/>
    <cellStyle name="SAPBEXundefined 27" xfId="1403"/>
    <cellStyle name="SAPBEXundefined 28" xfId="1446"/>
    <cellStyle name="SAPBEXundefined 29" xfId="1489"/>
    <cellStyle name="SAPBEXundefined 3" xfId="263"/>
    <cellStyle name="SAPBEXundefined 30" xfId="1532"/>
    <cellStyle name="SAPBEXundefined 31" xfId="1575"/>
    <cellStyle name="SAPBEXundefined 32" xfId="1626"/>
    <cellStyle name="SAPBEXundefined 33" xfId="1661"/>
    <cellStyle name="SAPBEXundefined 34" xfId="1704"/>
    <cellStyle name="SAPBEXundefined 35" xfId="1747"/>
    <cellStyle name="SAPBEXundefined 36" xfId="1790"/>
    <cellStyle name="SAPBEXundefined 37" xfId="1832"/>
    <cellStyle name="SAPBEXundefined 38" xfId="1804"/>
    <cellStyle name="SAPBEXundefined 39" xfId="1937"/>
    <cellStyle name="SAPBEXundefined 4" xfId="306"/>
    <cellStyle name="SAPBEXundefined 40" xfId="1980"/>
    <cellStyle name="SAPBEXundefined 41" xfId="2027"/>
    <cellStyle name="SAPBEXundefined 42" xfId="2059"/>
    <cellStyle name="SAPBEXundefined 43" xfId="2098"/>
    <cellStyle name="SAPBEXundefined 44" xfId="2136"/>
    <cellStyle name="SAPBEXundefined 45" xfId="2172"/>
    <cellStyle name="SAPBEXundefined 46" xfId="2202"/>
    <cellStyle name="SAPBEXundefined 47" xfId="2228"/>
    <cellStyle name="SAPBEXundefined 48" xfId="2276"/>
    <cellStyle name="SAPBEXundefined 5" xfId="349"/>
    <cellStyle name="SAPBEXundefined 6" xfId="392"/>
    <cellStyle name="SAPBEXundefined 7" xfId="435"/>
    <cellStyle name="SAPBEXundefined 8" xfId="478"/>
    <cellStyle name="SAPBEXundefined 9" xfId="521"/>
    <cellStyle name="Sheet Title" xfId="96"/>
    <cellStyle name="Total 2" xfId="97"/>
    <cellStyle name="Total 2 10" xfId="566"/>
    <cellStyle name="Total 2 11" xfId="591"/>
    <cellStyle name="Total 2 12" xfId="652"/>
    <cellStyle name="Total 2 13" xfId="695"/>
    <cellStyle name="Total 2 14" xfId="330"/>
    <cellStyle name="Total 2 15" xfId="764"/>
    <cellStyle name="Total 2 16" xfId="807"/>
    <cellStyle name="Total 2 17" xfId="826"/>
    <cellStyle name="Total 2 18" xfId="869"/>
    <cellStyle name="Total 2 19" xfId="888"/>
    <cellStyle name="Total 2 2" xfId="219"/>
    <cellStyle name="Total 2 20" xfId="936"/>
    <cellStyle name="Total 2 21" xfId="981"/>
    <cellStyle name="Total 2 22" xfId="1000"/>
    <cellStyle name="Total 2 23" xfId="1043"/>
    <cellStyle name="Total 2 24" xfId="1086"/>
    <cellStyle name="Total 2 25" xfId="1129"/>
    <cellStyle name="Total 2 26" xfId="1148"/>
    <cellStyle name="Total 2 27" xfId="1198"/>
    <cellStyle name="Total 2 28" xfId="1234"/>
    <cellStyle name="Total 2 29" xfId="1277"/>
    <cellStyle name="Total 2 3" xfId="265"/>
    <cellStyle name="Total 2 30" xfId="1320"/>
    <cellStyle name="Total 2 31" xfId="1362"/>
    <cellStyle name="Total 2 32" xfId="1405"/>
    <cellStyle name="Total 2 33" xfId="1448"/>
    <cellStyle name="Total 2 34" xfId="1491"/>
    <cellStyle name="Total 2 35" xfId="1534"/>
    <cellStyle name="Total 2 36" xfId="1577"/>
    <cellStyle name="Total 2 37" xfId="1627"/>
    <cellStyle name="Total 2 38" xfId="1662"/>
    <cellStyle name="Total 2 39" xfId="1706"/>
    <cellStyle name="Total 2 4" xfId="308"/>
    <cellStyle name="Total 2 40" xfId="1749"/>
    <cellStyle name="Total 2 41" xfId="1792"/>
    <cellStyle name="Total 2 42" xfId="1834"/>
    <cellStyle name="Total 2 43" xfId="1877"/>
    <cellStyle name="Total 2 44" xfId="1896"/>
    <cellStyle name="Total 2 45" xfId="1939"/>
    <cellStyle name="Total 2 46" xfId="1982"/>
    <cellStyle name="Total 2 47" xfId="2028"/>
    <cellStyle name="Total 2 48" xfId="2061"/>
    <cellStyle name="Total 2 49" xfId="2099"/>
    <cellStyle name="Total 2 5" xfId="351"/>
    <cellStyle name="Total 2 50" xfId="2137"/>
    <cellStyle name="Total 2 51" xfId="2173"/>
    <cellStyle name="Total 2 52" xfId="2203"/>
    <cellStyle name="Total 2 53" xfId="2229"/>
    <cellStyle name="Total 2 54" xfId="2277"/>
    <cellStyle name="Total 2 6" xfId="394"/>
    <cellStyle name="Total 2 7" xfId="437"/>
    <cellStyle name="Total 2 8" xfId="480"/>
    <cellStyle name="Total 2 9" xfId="523"/>
    <cellStyle name="Warning Text 2" xfId="98"/>
  </cellStyles>
  <dxfs count="0"/>
  <tableStyles count="0" defaultTableStyle="TableStyleMedium9" defaultPivotStyle="PivotStyleLight16"/>
  <colors>
    <mruColors>
      <color rgb="FFFFFF99"/>
      <color rgb="FFFFFFCC"/>
      <color rgb="FFFFFF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34"/>
  <dimension ref="A1:HT319"/>
  <sheetViews>
    <sheetView tabSelected="1" view="pageBreakPreview" zoomScale="70" zoomScaleNormal="40" zoomScaleSheetLayoutView="70" zoomScalePageLayoutView="50" workbookViewId="0"/>
  </sheetViews>
  <sheetFormatPr defaultColWidth="9.125" defaultRowHeight="15.65"/>
  <cols>
    <col min="1" max="1" width="7.375" style="53" customWidth="1"/>
    <col min="2" max="2" width="5.75" style="31" customWidth="1"/>
    <col min="3" max="3" width="59.375" style="31" customWidth="1"/>
    <col min="4" max="4" width="36" style="31" customWidth="1"/>
    <col min="5" max="5" width="27.75" style="62" customWidth="1"/>
    <col min="6" max="6" width="44.625" style="49" customWidth="1"/>
    <col min="7" max="7" width="1.75" style="49" customWidth="1"/>
    <col min="8" max="8" width="21.625" style="49" customWidth="1"/>
    <col min="9" max="16384" width="9.125" style="49"/>
  </cols>
  <sheetData>
    <row r="1" spans="1:8" ht="21.1">
      <c r="A1" s="135"/>
      <c r="B1" s="9"/>
      <c r="C1" s="9"/>
      <c r="D1" s="9"/>
      <c r="E1" s="63"/>
      <c r="F1" s="34"/>
      <c r="G1" s="361"/>
      <c r="H1" s="362"/>
    </row>
    <row r="2" spans="1:8" ht="23.8">
      <c r="A2" s="135"/>
      <c r="B2" s="9"/>
      <c r="C2" s="9"/>
      <c r="D2" s="197"/>
      <c r="E2" s="63"/>
      <c r="F2" s="34"/>
      <c r="G2" s="361"/>
      <c r="H2" s="362"/>
    </row>
    <row r="3" spans="1:8" ht="25.5" customHeight="1" thickBot="1">
      <c r="A3" s="214"/>
      <c r="B3" s="9"/>
      <c r="C3" s="9"/>
      <c r="D3" s="202"/>
      <c r="E3" s="63"/>
      <c r="F3" s="34"/>
      <c r="G3" s="34"/>
      <c r="H3" s="34"/>
    </row>
    <row r="4" spans="1:8" ht="27.7" customHeight="1">
      <c r="A4" s="493" t="s">
        <v>101</v>
      </c>
      <c r="B4" s="196"/>
      <c r="C4" s="196"/>
      <c r="D4" s="363"/>
      <c r="E4" s="364"/>
      <c r="F4" s="365"/>
      <c r="G4" s="34"/>
      <c r="H4" s="34"/>
    </row>
    <row r="5" spans="1:8" ht="23.3" customHeight="1" thickBot="1">
      <c r="A5" s="490" t="s">
        <v>880</v>
      </c>
      <c r="B5" s="489"/>
      <c r="C5" s="489"/>
      <c r="D5" s="489"/>
      <c r="E5" s="489"/>
      <c r="F5" s="491" t="s">
        <v>879</v>
      </c>
      <c r="G5" s="34"/>
      <c r="H5" s="34"/>
    </row>
    <row r="6" spans="1:8" s="54" customFormat="1" ht="61.15" customHeight="1" thickBot="1">
      <c r="A6" s="154" t="s">
        <v>878</v>
      </c>
      <c r="B6" s="366"/>
      <c r="C6" s="366"/>
      <c r="D6" s="366"/>
      <c r="E6" s="367" t="s">
        <v>847</v>
      </c>
      <c r="F6" s="492" t="s">
        <v>824</v>
      </c>
      <c r="G6" s="368"/>
      <c r="H6" s="495" t="s">
        <v>1762</v>
      </c>
    </row>
    <row r="7" spans="1:8" s="143" customFormat="1" ht="23.3" customHeight="1">
      <c r="A7" s="141" t="s">
        <v>458</v>
      </c>
      <c r="B7" s="369"/>
      <c r="C7" s="369"/>
      <c r="D7" s="369"/>
      <c r="E7" s="342"/>
      <c r="G7" s="116"/>
      <c r="H7" s="142" t="s">
        <v>722</v>
      </c>
    </row>
    <row r="8" spans="1:8" s="50" customFormat="1">
      <c r="A8" s="841" t="s">
        <v>670</v>
      </c>
      <c r="B8" s="370"/>
      <c r="C8" s="370"/>
      <c r="D8" s="370"/>
      <c r="E8" s="371"/>
      <c r="F8" s="372"/>
      <c r="G8" s="372"/>
      <c r="H8" s="385"/>
    </row>
    <row r="9" spans="1:8" s="50" customFormat="1">
      <c r="A9" s="150"/>
      <c r="B9" s="35"/>
      <c r="C9" s="35"/>
      <c r="D9" s="35"/>
      <c r="E9" s="342"/>
      <c r="F9" s="52"/>
      <c r="G9" s="52"/>
      <c r="H9" s="373"/>
    </row>
    <row r="10" spans="1:8">
      <c r="A10" s="44"/>
      <c r="B10" s="24" t="s">
        <v>677</v>
      </c>
      <c r="C10" s="9"/>
      <c r="D10" s="9"/>
      <c r="E10" s="19"/>
      <c r="F10" s="5"/>
      <c r="G10" s="5"/>
      <c r="H10" s="5"/>
    </row>
    <row r="11" spans="1:8">
      <c r="A11" s="6">
        <v>1</v>
      </c>
      <c r="B11" s="6"/>
      <c r="C11" s="52" t="s">
        <v>627</v>
      </c>
      <c r="D11" s="114"/>
      <c r="E11" s="374"/>
      <c r="F11" s="5" t="s">
        <v>182</v>
      </c>
      <c r="G11" s="9"/>
      <c r="H11" s="473">
        <f>'ATT5 - Cost Support 1'!T51</f>
        <v>33644.592990991281</v>
      </c>
    </row>
    <row r="12" spans="1:8">
      <c r="A12" s="6">
        <f>A11+1</f>
        <v>2</v>
      </c>
      <c r="B12" s="375"/>
      <c r="C12" s="52" t="s">
        <v>544</v>
      </c>
      <c r="D12" s="376"/>
      <c r="E12" s="374"/>
      <c r="F12" s="377" t="s">
        <v>657</v>
      </c>
      <c r="G12" s="224"/>
      <c r="H12" s="95">
        <f>'ATT5 - Cost Support 1'!T52</f>
        <v>7</v>
      </c>
    </row>
    <row r="13" spans="1:8">
      <c r="A13" s="6">
        <f>A12+1</f>
        <v>3</v>
      </c>
      <c r="B13" s="9"/>
      <c r="C13" s="9" t="s">
        <v>545</v>
      </c>
      <c r="D13" s="9"/>
      <c r="E13" s="63"/>
      <c r="F13" s="25" t="str">
        <f>"(Line "&amp;A11&amp;" - "&amp;A12&amp;")"</f>
        <v>(Line 1 - 2)</v>
      </c>
      <c r="G13" s="34"/>
      <c r="H13" s="378">
        <f>H11-H12</f>
        <v>33637.592990991281</v>
      </c>
    </row>
    <row r="14" spans="1:8">
      <c r="A14" s="6">
        <f>A13+1</f>
        <v>4</v>
      </c>
      <c r="B14" s="6"/>
      <c r="C14" s="52" t="s">
        <v>628</v>
      </c>
      <c r="D14" s="52"/>
      <c r="E14" s="106"/>
      <c r="F14" s="52" t="s">
        <v>187</v>
      </c>
      <c r="G14" s="9"/>
      <c r="H14" s="95">
        <f>'ATT5 - Cost Support 1'!T49</f>
        <v>550567.19764400192</v>
      </c>
    </row>
    <row r="15" spans="1:8">
      <c r="A15" s="6">
        <f>A14+1</f>
        <v>5</v>
      </c>
      <c r="B15" s="6"/>
      <c r="C15" s="52" t="s">
        <v>671</v>
      </c>
      <c r="D15" s="52"/>
      <c r="E15" s="63"/>
      <c r="F15" s="52" t="s">
        <v>188</v>
      </c>
      <c r="G15" s="9"/>
      <c r="H15" s="95">
        <f>'ATT5 - Cost Support 1'!T50</f>
        <v>99725</v>
      </c>
    </row>
    <row r="16" spans="1:8">
      <c r="A16" s="6">
        <f>A15+1</f>
        <v>6</v>
      </c>
      <c r="B16" s="6"/>
      <c r="C16" s="39" t="s">
        <v>813</v>
      </c>
      <c r="D16" s="33"/>
      <c r="E16" s="100"/>
      <c r="F16" s="33" t="str">
        <f>"(Line "&amp;A14&amp;" - "&amp;A15&amp;")"</f>
        <v>(Line 4 - 5)</v>
      </c>
      <c r="G16" s="379"/>
      <c r="H16" s="239">
        <f>+H14-H15</f>
        <v>450842.19764400192</v>
      </c>
    </row>
    <row r="17" spans="1:8" ht="16.3" thickBot="1">
      <c r="A17" s="6"/>
      <c r="B17" s="6"/>
      <c r="C17" s="3"/>
      <c r="D17" s="9"/>
      <c r="E17" s="20"/>
      <c r="F17" s="9"/>
      <c r="G17" s="9"/>
      <c r="H17" s="5"/>
    </row>
    <row r="18" spans="1:8" s="56" customFormat="1" ht="16.3" thickBot="1">
      <c r="A18" s="442">
        <f>A16+1</f>
        <v>7</v>
      </c>
      <c r="B18" s="443" t="s">
        <v>723</v>
      </c>
      <c r="C18" s="443"/>
      <c r="D18" s="444"/>
      <c r="E18" s="445" t="str">
        <f>"(Note B)"</f>
        <v>(Note B)</v>
      </c>
      <c r="F18" s="446" t="str">
        <f>"(Line "&amp;A13&amp;" / "&amp;A16&amp;")"</f>
        <v>(Line 3 / 6)</v>
      </c>
      <c r="G18" s="447"/>
      <c r="H18" s="465">
        <f>(H13/H16)</f>
        <v>7.4610569211962935E-2</v>
      </c>
    </row>
    <row r="19" spans="1:8">
      <c r="A19" s="6"/>
      <c r="B19" s="6"/>
      <c r="C19" s="24"/>
      <c r="D19" s="27"/>
      <c r="E19" s="28"/>
      <c r="F19" s="9"/>
      <c r="G19" s="9"/>
      <c r="H19" s="40"/>
    </row>
    <row r="20" spans="1:8">
      <c r="A20" s="63"/>
      <c r="B20" s="24" t="s">
        <v>808</v>
      </c>
      <c r="C20" s="9"/>
      <c r="D20" s="34"/>
      <c r="E20" s="63"/>
      <c r="F20" s="34"/>
      <c r="G20" s="34"/>
      <c r="H20" s="34"/>
    </row>
    <row r="21" spans="1:8">
      <c r="A21" s="29">
        <f>+A18+1</f>
        <v>8</v>
      </c>
      <c r="B21" s="34"/>
      <c r="C21" s="52" t="s">
        <v>818</v>
      </c>
      <c r="D21" s="9"/>
      <c r="E21" s="102" t="str">
        <f>"(Notes A&amp; Q)"</f>
        <v>(Notes A&amp; Q)</v>
      </c>
      <c r="F21" s="52" t="s">
        <v>195</v>
      </c>
      <c r="G21" s="34"/>
      <c r="H21" s="473">
        <f>'ATT5 - Cost Support 1'!T9</f>
        <v>33400288.759774659</v>
      </c>
    </row>
    <row r="22" spans="1:8">
      <c r="A22" s="29">
        <f>+A21+1</f>
        <v>9</v>
      </c>
      <c r="B22" s="34"/>
      <c r="C22" s="52" t="s">
        <v>672</v>
      </c>
      <c r="D22" s="9"/>
      <c r="E22" s="102"/>
      <c r="F22" s="68" t="str">
        <f>"(Line "&amp;A$48&amp;")"</f>
        <v>(Line 26)</v>
      </c>
      <c r="G22" s="34"/>
      <c r="H22" s="10">
        <f>H48</f>
        <v>0</v>
      </c>
    </row>
    <row r="23" spans="1:8">
      <c r="A23" s="29">
        <f>+A22+1</f>
        <v>10</v>
      </c>
      <c r="B23" s="34"/>
      <c r="C23" s="47" t="s">
        <v>676</v>
      </c>
      <c r="D23" s="379"/>
      <c r="E23" s="103"/>
      <c r="F23" s="51" t="str">
        <f>"(Sum Lines "&amp;A21&amp;" &amp; "&amp;A22&amp;")"</f>
        <v>(Sum Lines 8 &amp; 9)</v>
      </c>
      <c r="G23" s="380"/>
      <c r="H23" s="242">
        <f>SUM(H21:H22)</f>
        <v>33400288.759774659</v>
      </c>
    </row>
    <row r="24" spans="1:8">
      <c r="A24" s="64"/>
      <c r="B24" s="34"/>
      <c r="C24" s="52"/>
      <c r="D24" s="9"/>
      <c r="E24" s="102"/>
      <c r="F24" s="52"/>
      <c r="G24" s="34"/>
      <c r="H24" s="10"/>
    </row>
    <row r="25" spans="1:8">
      <c r="A25" s="29">
        <f>+A23+1</f>
        <v>11</v>
      </c>
      <c r="B25" s="34"/>
      <c r="C25" s="52" t="s">
        <v>625</v>
      </c>
      <c r="D25" s="9"/>
      <c r="E25" s="102" t="str">
        <f>"(Notes "&amp;B$278&amp;" &amp; "&amp;B$306&amp;")"</f>
        <v>(Notes A &amp; Q)</v>
      </c>
      <c r="F25" s="25" t="str">
        <f>"(Line "&amp;A29&amp;" - "&amp;A28&amp;" - "&amp;A27&amp;" -"&amp;A26&amp;" )"</f>
        <v>(Line 15 - 14 - 13 -12 )</v>
      </c>
      <c r="G25" s="34"/>
      <c r="H25" s="474">
        <f>H29-H26</f>
        <v>12345040.065832091</v>
      </c>
    </row>
    <row r="26" spans="1:8">
      <c r="A26" s="29">
        <f>+A25+1</f>
        <v>12</v>
      </c>
      <c r="B26" s="34"/>
      <c r="C26" s="52" t="s">
        <v>848</v>
      </c>
      <c r="D26" s="9"/>
      <c r="E26" s="102" t="str">
        <f>"(Notes "&amp;B$278&amp;" &amp; "&amp;B$306&amp;")"</f>
        <v>(Notes A &amp; Q)</v>
      </c>
      <c r="F26" s="52" t="s">
        <v>192</v>
      </c>
      <c r="G26" s="34"/>
      <c r="H26" s="95">
        <f>'ATT5 - Cost Support 1'!T11</f>
        <v>105096.40000000004</v>
      </c>
    </row>
    <row r="27" spans="1:8">
      <c r="A27" s="29">
        <f>+A26+1</f>
        <v>13</v>
      </c>
      <c r="B27" s="34"/>
      <c r="C27" s="52" t="s">
        <v>805</v>
      </c>
      <c r="D27" s="9"/>
      <c r="E27" s="102" t="str">
        <f>"(Notes "&amp;B$278&amp;" &amp; "&amp;B$306&amp;")"</f>
        <v>(Notes A &amp; Q)</v>
      </c>
      <c r="F27" s="52" t="s">
        <v>193</v>
      </c>
      <c r="G27" s="34"/>
      <c r="H27" s="10">
        <f>'ATT5 - Cost Support 1'!T12</f>
        <v>0</v>
      </c>
    </row>
    <row r="28" spans="1:8">
      <c r="A28" s="29">
        <f>+A27+1</f>
        <v>14</v>
      </c>
      <c r="B28" s="9"/>
      <c r="C28" s="35" t="s">
        <v>849</v>
      </c>
      <c r="D28" s="9"/>
      <c r="E28" s="102" t="str">
        <f>"(Notes "&amp;B$278&amp;" &amp; "&amp;B$306&amp;")"</f>
        <v>(Notes A &amp; Q)</v>
      </c>
      <c r="F28" s="238" t="s">
        <v>193</v>
      </c>
      <c r="G28" s="34"/>
      <c r="H28" s="10">
        <f>'ATT5 - Cost Support 1'!T13</f>
        <v>0</v>
      </c>
    </row>
    <row r="29" spans="1:8">
      <c r="A29" s="29">
        <f>+A28+1</f>
        <v>15</v>
      </c>
      <c r="B29" s="9"/>
      <c r="C29" s="47" t="s">
        <v>675</v>
      </c>
      <c r="D29" s="379"/>
      <c r="E29" s="381"/>
      <c r="F29" s="52" t="s">
        <v>191</v>
      </c>
      <c r="G29" s="380"/>
      <c r="H29" s="242">
        <f>'ATT5 - Cost Support 1'!T10</f>
        <v>12450136.465832092</v>
      </c>
    </row>
    <row r="30" spans="1:8" ht="17.5" customHeight="1">
      <c r="A30" s="63"/>
      <c r="B30" s="9"/>
      <c r="C30" s="35"/>
      <c r="D30" s="9"/>
      <c r="E30" s="63"/>
      <c r="F30" s="5"/>
      <c r="G30" s="34"/>
      <c r="H30" s="7"/>
    </row>
    <row r="31" spans="1:8">
      <c r="A31" s="6">
        <f>+A29+1</f>
        <v>16</v>
      </c>
      <c r="B31" s="34"/>
      <c r="C31" s="380" t="s">
        <v>801</v>
      </c>
      <c r="D31" s="380"/>
      <c r="E31" s="381"/>
      <c r="F31" s="33" t="str">
        <f>"(Line "&amp;A23&amp;" - "&amp;A29&amp;")"</f>
        <v>(Line 10 - 15)</v>
      </c>
      <c r="G31" s="380"/>
      <c r="H31" s="243">
        <f>+H23-H29</f>
        <v>20950152.293942567</v>
      </c>
    </row>
    <row r="32" spans="1:8">
      <c r="A32" s="63"/>
      <c r="B32" s="34"/>
      <c r="C32" s="34"/>
      <c r="D32" s="34"/>
      <c r="E32" s="63"/>
      <c r="F32" s="34"/>
      <c r="G32" s="34"/>
      <c r="H32" s="34"/>
    </row>
    <row r="33" spans="1:8" ht="16.3" thickBot="1">
      <c r="A33" s="29">
        <f>+A31+1</f>
        <v>17</v>
      </c>
      <c r="B33" s="34"/>
      <c r="C33" s="34" t="s">
        <v>673</v>
      </c>
      <c r="D33" s="34"/>
      <c r="E33" s="63"/>
      <c r="F33" s="25" t="str">
        <f>"(Line "&amp;A55&amp;" - "&amp;A53&amp;")"</f>
        <v>(Line 31 - 30)</v>
      </c>
      <c r="G33" s="34"/>
      <c r="H33" s="378">
        <f>H55-H53</f>
        <v>5927358.672702346</v>
      </c>
    </row>
    <row r="34" spans="1:8" s="56" customFormat="1" ht="16.3" thickBot="1">
      <c r="A34" s="442">
        <f>+A33+1</f>
        <v>18</v>
      </c>
      <c r="B34" s="448" t="s">
        <v>612</v>
      </c>
      <c r="C34" s="448"/>
      <c r="D34" s="449"/>
      <c r="E34" s="445" t="str">
        <f>"(Note B)"</f>
        <v>(Note B)</v>
      </c>
      <c r="F34" s="446" t="str">
        <f>"(Line "&amp;A33&amp;" / "&amp;A23&amp;")"</f>
        <v>(Line 17 / 10)</v>
      </c>
      <c r="G34" s="449"/>
      <c r="H34" s="465">
        <f>H33/H23</f>
        <v>0.17746429425606966</v>
      </c>
    </row>
    <row r="35" spans="1:8">
      <c r="A35" s="63"/>
      <c r="B35" s="9"/>
      <c r="C35" s="9"/>
      <c r="D35" s="9"/>
      <c r="E35" s="63"/>
      <c r="F35" s="34"/>
      <c r="G35" s="34"/>
      <c r="H35" s="34"/>
    </row>
    <row r="36" spans="1:8" s="34" customFormat="1" ht="16.3" thickBot="1">
      <c r="A36" s="29">
        <f>+A34+1</f>
        <v>19</v>
      </c>
      <c r="B36" s="6"/>
      <c r="C36" s="26" t="s">
        <v>674</v>
      </c>
      <c r="D36" s="27"/>
      <c r="E36" s="28"/>
      <c r="F36" s="25" t="str">
        <f>"(Line "&amp;A73&amp;" - "&amp;A53&amp;")"</f>
        <v>(Line 44 - 30)</v>
      </c>
      <c r="G36" s="9"/>
      <c r="H36" s="240">
        <f>+H73-H53</f>
        <v>4871095.0281158909</v>
      </c>
    </row>
    <row r="37" spans="1:8" s="56" customFormat="1" ht="16.3" thickBot="1">
      <c r="A37" s="442">
        <f>+A36+1</f>
        <v>20</v>
      </c>
      <c r="B37" s="448" t="s">
        <v>802</v>
      </c>
      <c r="C37" s="448"/>
      <c r="D37" s="449"/>
      <c r="E37" s="445" t="str">
        <f>"(Note B)"</f>
        <v>(Note B)</v>
      </c>
      <c r="F37" s="446" t="str">
        <f>"(Line "&amp;A36&amp;" / "&amp;A31&amp;")"</f>
        <v>(Line 19 / 16)</v>
      </c>
      <c r="G37" s="449"/>
      <c r="H37" s="465">
        <f>+H36/H31</f>
        <v>0.23250881233566487</v>
      </c>
    </row>
    <row r="38" spans="1:8">
      <c r="A38" s="4"/>
      <c r="B38" s="6"/>
      <c r="C38" s="24"/>
      <c r="D38" s="27"/>
      <c r="E38" s="28"/>
      <c r="F38" s="9"/>
      <c r="G38" s="9"/>
      <c r="H38" s="40"/>
    </row>
    <row r="39" spans="1:8" s="50" customFormat="1">
      <c r="A39" s="841" t="s">
        <v>800</v>
      </c>
      <c r="B39" s="370"/>
      <c r="C39" s="370"/>
      <c r="D39" s="370"/>
      <c r="E39" s="371"/>
      <c r="F39" s="372"/>
      <c r="G39" s="372"/>
      <c r="H39" s="385"/>
    </row>
    <row r="40" spans="1:8" s="50" customFormat="1">
      <c r="A40" s="73"/>
      <c r="B40" s="74"/>
      <c r="C40" s="35"/>
      <c r="D40" s="35"/>
      <c r="E40" s="342"/>
      <c r="F40" s="52"/>
      <c r="G40" s="52"/>
      <c r="H40" s="373"/>
    </row>
    <row r="41" spans="1:8">
      <c r="A41" s="63"/>
      <c r="B41" s="24" t="s">
        <v>683</v>
      </c>
      <c r="C41" s="9"/>
      <c r="D41" s="9"/>
      <c r="E41" s="28"/>
      <c r="F41" s="10"/>
      <c r="G41" s="44"/>
      <c r="H41" s="5"/>
    </row>
    <row r="42" spans="1:8">
      <c r="A42" s="29">
        <f>+A37+1</f>
        <v>21</v>
      </c>
      <c r="B42" s="6"/>
      <c r="C42" s="3" t="s">
        <v>728</v>
      </c>
      <c r="D42" s="9"/>
      <c r="E42" s="102" t="s">
        <v>17</v>
      </c>
      <c r="F42" s="10" t="s">
        <v>194</v>
      </c>
      <c r="G42" s="9"/>
      <c r="H42" s="473">
        <f>'ATT5 - Cost Support 1'!T15</f>
        <v>6163135.2458451483</v>
      </c>
    </row>
    <row r="43" spans="1:8">
      <c r="A43" s="29">
        <f>+A42+1</f>
        <v>22</v>
      </c>
      <c r="B43" s="6"/>
      <c r="C43" s="3" t="s">
        <v>546</v>
      </c>
      <c r="D43" s="9"/>
      <c r="E43" s="102" t="s">
        <v>17</v>
      </c>
      <c r="F43" s="235" t="s">
        <v>657</v>
      </c>
      <c r="G43" s="224"/>
      <c r="H43" s="244">
        <f>'ATT5 - Cost Support 1'!T16</f>
        <v>263628.61855999997</v>
      </c>
    </row>
    <row r="44" spans="1:8">
      <c r="A44" s="29">
        <f>+A43+1</f>
        <v>23</v>
      </c>
      <c r="B44" s="6"/>
      <c r="C44" s="98" t="s">
        <v>146</v>
      </c>
      <c r="D44" s="199"/>
      <c r="E44" s="265" t="s">
        <v>17</v>
      </c>
      <c r="F44" s="236" t="s">
        <v>657</v>
      </c>
      <c r="G44" s="199"/>
      <c r="H44" s="237">
        <f>'ATT5 - Cost Support 1'!T17</f>
        <v>39630.05365999999</v>
      </c>
    </row>
    <row r="45" spans="1:8">
      <c r="A45" s="29">
        <f>+A44+1</f>
        <v>24</v>
      </c>
      <c r="B45" s="6"/>
      <c r="C45" s="13" t="s">
        <v>436</v>
      </c>
      <c r="D45" s="9"/>
      <c r="E45" s="102"/>
      <c r="F45" s="25" t="str">
        <f>"(Lines "&amp;A42&amp;" - "&amp;A43&amp;" - "&amp;A44&amp;" )"</f>
        <v>(Lines 21 - 22 - 23 )</v>
      </c>
      <c r="G45" s="9"/>
      <c r="H45" s="146">
        <f>H42-H43-H44</f>
        <v>5859876.5736251483</v>
      </c>
    </row>
    <row r="46" spans="1:8" s="50" customFormat="1">
      <c r="A46" s="29"/>
      <c r="B46" s="29"/>
      <c r="C46" s="26"/>
      <c r="D46" s="27"/>
      <c r="E46" s="64"/>
      <c r="F46" s="10"/>
      <c r="G46" s="27"/>
      <c r="H46" s="10"/>
    </row>
    <row r="47" spans="1:8">
      <c r="A47" s="29">
        <f>+A45+1</f>
        <v>25</v>
      </c>
      <c r="B47" s="6"/>
      <c r="C47" s="3" t="s">
        <v>727</v>
      </c>
      <c r="D47" s="9"/>
      <c r="E47" s="102" t="str">
        <f>"(Notes "&amp;B$278&amp;" &amp; "&amp;B$306&amp;")"</f>
        <v>(Notes A &amp; Q)</v>
      </c>
      <c r="F47" s="10" t="s">
        <v>196</v>
      </c>
      <c r="G47" s="9"/>
      <c r="H47" s="95">
        <f>'ATT5 - Cost Support 1'!T18</f>
        <v>904457.63636363624</v>
      </c>
    </row>
    <row r="48" spans="1:8">
      <c r="A48" s="29">
        <f>+A47+1</f>
        <v>26</v>
      </c>
      <c r="B48" s="6"/>
      <c r="C48" s="3" t="s">
        <v>679</v>
      </c>
      <c r="D48" s="9"/>
      <c r="E48" s="63"/>
      <c r="F48" s="70" t="s">
        <v>193</v>
      </c>
      <c r="G48" s="9"/>
      <c r="H48" s="43">
        <f>'ATT5 - Cost Support 1'!T19</f>
        <v>0</v>
      </c>
    </row>
    <row r="49" spans="1:8">
      <c r="A49" s="29">
        <f>+A48+1</f>
        <v>27</v>
      </c>
      <c r="B49" s="6"/>
      <c r="C49" s="39" t="s">
        <v>729</v>
      </c>
      <c r="D49" s="379"/>
      <c r="E49" s="381"/>
      <c r="F49" s="25" t="str">
        <f>"(Line "&amp;A47&amp;" + "&amp;A48&amp;")"</f>
        <v>(Line 25 + 26)</v>
      </c>
      <c r="G49" s="379"/>
      <c r="H49" s="243">
        <f>SUM(H47:H48)</f>
        <v>904457.63636363624</v>
      </c>
    </row>
    <row r="50" spans="1:8">
      <c r="A50" s="29">
        <f>+A49+1</f>
        <v>28</v>
      </c>
      <c r="B50" s="6"/>
      <c r="C50" s="92" t="s">
        <v>809</v>
      </c>
      <c r="D50" s="26"/>
      <c r="E50" s="28"/>
      <c r="F50" s="68" t="str">
        <f>"(Line "&amp;A$18&amp;")"</f>
        <v>(Line 7)</v>
      </c>
      <c r="G50" s="23"/>
      <c r="H50" s="263">
        <f>+H18</f>
        <v>7.4610569211962935E-2</v>
      </c>
    </row>
    <row r="51" spans="1:8">
      <c r="A51" s="29">
        <f>+A50+1</f>
        <v>29</v>
      </c>
      <c r="B51" s="34"/>
      <c r="C51" s="245" t="s">
        <v>681</v>
      </c>
      <c r="D51" s="383"/>
      <c r="E51" s="246"/>
      <c r="F51" s="247" t="str">
        <f>"(Line "&amp;A49&amp;" * "&amp;A50&amp;")"</f>
        <v>(Line 27 * 28)</v>
      </c>
      <c r="G51" s="384"/>
      <c r="H51" s="248">
        <f>+H50*H49</f>
        <v>67482.09907719749</v>
      </c>
    </row>
    <row r="52" spans="1:8">
      <c r="A52" s="64"/>
      <c r="B52" s="34"/>
      <c r="C52" s="24"/>
      <c r="D52" s="158"/>
      <c r="E52" s="265"/>
      <c r="F52" s="34"/>
      <c r="G52" s="34"/>
      <c r="H52" s="25"/>
    </row>
    <row r="53" spans="1:8">
      <c r="A53" s="29">
        <f>+A51+1</f>
        <v>30</v>
      </c>
      <c r="B53" s="6"/>
      <c r="C53" s="41" t="s">
        <v>343</v>
      </c>
      <c r="D53" s="110"/>
      <c r="E53" s="102" t="str">
        <f>"(Notes "&amp;B$280&amp;" &amp; "&amp;B$306&amp;")"</f>
        <v>(Notes C &amp; Q)</v>
      </c>
      <c r="F53" s="33" t="s">
        <v>197</v>
      </c>
      <c r="G53" s="379"/>
      <c r="H53" s="252">
        <f>'ATT5 - Cost Support 1'!T59</f>
        <v>12058.643164615389</v>
      </c>
    </row>
    <row r="54" spans="1:8" ht="16.3" thickBot="1">
      <c r="A54" s="64"/>
      <c r="B54" s="34"/>
      <c r="C54" s="24"/>
      <c r="D54" s="158"/>
      <c r="E54" s="64"/>
      <c r="F54" s="34"/>
      <c r="G54" s="34"/>
      <c r="H54" s="25"/>
    </row>
    <row r="55" spans="1:8" s="340" customFormat="1" ht="16.3" thickBot="1">
      <c r="A55" s="450">
        <f>+A53+1</f>
        <v>31</v>
      </c>
      <c r="B55" s="448" t="s">
        <v>678</v>
      </c>
      <c r="C55" s="448"/>
      <c r="D55" s="448"/>
      <c r="E55" s="451"/>
      <c r="F55" s="452" t="str">
        <f>"(Line "&amp;A45&amp;" + "&amp;A51&amp;" + "&amp;A53&amp;")"</f>
        <v>(Line 24 + 29 + 30)</v>
      </c>
      <c r="G55" s="448"/>
      <c r="H55" s="466">
        <f>SUM(H45,H51,H53)</f>
        <v>5939417.3158669611</v>
      </c>
    </row>
    <row r="56" spans="1:8">
      <c r="A56" s="64"/>
      <c r="B56" s="34"/>
      <c r="C56" s="34"/>
      <c r="D56" s="34"/>
      <c r="E56" s="63"/>
      <c r="F56" s="34"/>
      <c r="G56" s="34"/>
      <c r="H56" s="34"/>
    </row>
    <row r="57" spans="1:8">
      <c r="A57" s="29"/>
      <c r="B57" s="24" t="s">
        <v>667</v>
      </c>
      <c r="C57" s="24"/>
      <c r="D57" s="10"/>
      <c r="E57" s="19"/>
      <c r="F57" s="5"/>
      <c r="G57" s="14"/>
      <c r="H57" s="5"/>
    </row>
    <row r="58" spans="1:8">
      <c r="A58" s="64"/>
      <c r="B58" s="27"/>
      <c r="C58" s="27"/>
      <c r="D58" s="27"/>
      <c r="E58" s="63"/>
      <c r="F58" s="5"/>
      <c r="G58" s="5"/>
      <c r="H58" s="5"/>
    </row>
    <row r="59" spans="1:8">
      <c r="A59" s="29">
        <f>+A55+1</f>
        <v>32</v>
      </c>
      <c r="B59" s="6"/>
      <c r="C59" s="3" t="s">
        <v>817</v>
      </c>
      <c r="D59" s="9"/>
      <c r="E59" s="102" t="str">
        <f>"(Notes "&amp;B$278&amp;" &amp; "&amp;B$306&amp;")"</f>
        <v>(Notes A &amp; Q)</v>
      </c>
      <c r="F59" s="10" t="s">
        <v>199</v>
      </c>
      <c r="G59" s="9"/>
      <c r="H59" s="249">
        <f>'ATT5 - Cost Support 1'!T21</f>
        <v>1088519.727726094</v>
      </c>
    </row>
    <row r="60" spans="1:8">
      <c r="A60" s="29">
        <f>+A59+1</f>
        <v>33</v>
      </c>
      <c r="B60" s="6"/>
      <c r="C60" s="3" t="s">
        <v>480</v>
      </c>
      <c r="D60" s="224"/>
      <c r="E60" s="102" t="str">
        <f>"(Notes "&amp;B$278&amp;" &amp; "&amp;B$306&amp;")"</f>
        <v>(Notes A &amp; Q)</v>
      </c>
      <c r="F60" s="234" t="s">
        <v>657</v>
      </c>
      <c r="G60" s="224"/>
      <c r="H60" s="234">
        <f>'ATT5 - Cost Support 1'!T22</f>
        <v>58242.888633651186</v>
      </c>
    </row>
    <row r="61" spans="1:8" s="50" customFormat="1">
      <c r="A61" s="29">
        <f>+A60+1</f>
        <v>34</v>
      </c>
      <c r="B61" s="29"/>
      <c r="C61" s="27" t="s">
        <v>481</v>
      </c>
      <c r="D61" s="32"/>
      <c r="E61" s="102" t="str">
        <f>"(Notes "&amp;B$278&amp;" &amp; "&amp;B$306&amp;")"</f>
        <v>(Notes A &amp; Q)</v>
      </c>
      <c r="F61" s="234" t="s">
        <v>657</v>
      </c>
      <c r="G61" s="225"/>
      <c r="H61" s="234">
        <f>'ATT5 - Cost Support 1'!T23</f>
        <v>7651.4740899981252</v>
      </c>
    </row>
    <row r="62" spans="1:8" s="50" customFormat="1">
      <c r="A62" s="29">
        <f>+A61+1</f>
        <v>35</v>
      </c>
      <c r="B62" s="29"/>
      <c r="C62" s="27" t="s">
        <v>459</v>
      </c>
      <c r="D62" s="32"/>
      <c r="E62" s="64"/>
      <c r="F62" s="25" t="str">
        <f>"(Line "&amp;A59&amp;" - "&amp;A60&amp;" - "&amp;A61&amp;")"</f>
        <v>(Line 32 - 33 - 34)</v>
      </c>
      <c r="G62" s="225"/>
      <c r="H62" s="234">
        <f>H59-H60-H61</f>
        <v>1022625.3650024446</v>
      </c>
    </row>
    <row r="63" spans="1:8">
      <c r="A63" s="29">
        <f t="shared" ref="A63:A69" si="0">+A62+1</f>
        <v>36</v>
      </c>
      <c r="B63" s="6"/>
      <c r="C63" s="3" t="s">
        <v>42</v>
      </c>
      <c r="D63" s="9"/>
      <c r="E63" s="102" t="str">
        <f>"(Notes "&amp;B$278&amp;" &amp; "&amp;B$306&amp;")"</f>
        <v>(Notes A &amp; Q)</v>
      </c>
      <c r="F63" s="10" t="s">
        <v>200</v>
      </c>
      <c r="G63" s="9"/>
      <c r="H63" s="10">
        <f>'ATT5 - Cost Support 1'!T24</f>
        <v>345755</v>
      </c>
    </row>
    <row r="64" spans="1:8">
      <c r="A64" s="29">
        <f t="shared" si="0"/>
        <v>37</v>
      </c>
      <c r="B64" s="6"/>
      <c r="C64" s="3" t="str">
        <f>+C26</f>
        <v>Accumulated Intangible Amortization</v>
      </c>
      <c r="D64" s="9"/>
      <c r="E64" s="102" t="str">
        <f>"(Notes "&amp;B$278&amp;" &amp; "&amp;B$306&amp;")"</f>
        <v>(Notes A &amp; Q)</v>
      </c>
      <c r="F64" s="25" t="str">
        <f>"(Line "&amp;A$26&amp;")"</f>
        <v>(Line 12)</v>
      </c>
      <c r="G64" s="9"/>
      <c r="H64" s="10">
        <f>+H26</f>
        <v>105096.40000000004</v>
      </c>
    </row>
    <row r="65" spans="1:8">
      <c r="A65" s="29">
        <f t="shared" si="0"/>
        <v>38</v>
      </c>
      <c r="B65" s="6"/>
      <c r="C65" s="3" t="str">
        <f>+C27</f>
        <v>Accumulated Common Amortization - Electric</v>
      </c>
      <c r="D65" s="9"/>
      <c r="E65" s="102"/>
      <c r="F65" s="25" t="str">
        <f>"(Line "&amp;A$27&amp;")"</f>
        <v>(Line 13)</v>
      </c>
      <c r="G65" s="9"/>
      <c r="H65" s="10">
        <f>+H27</f>
        <v>0</v>
      </c>
    </row>
    <row r="66" spans="1:8">
      <c r="A66" s="29">
        <f t="shared" si="0"/>
        <v>39</v>
      </c>
      <c r="B66" s="6"/>
      <c r="C66" s="98" t="s">
        <v>680</v>
      </c>
      <c r="D66" s="210"/>
      <c r="E66" s="265"/>
      <c r="F66" s="68" t="str">
        <f>"(Line "&amp;A$28&amp;")"</f>
        <v>(Line 14)</v>
      </c>
      <c r="G66" s="210"/>
      <c r="H66" s="70">
        <f>+H28</f>
        <v>0</v>
      </c>
    </row>
    <row r="67" spans="1:8">
      <c r="A67" s="29">
        <f t="shared" si="0"/>
        <v>40</v>
      </c>
      <c r="B67" s="6"/>
      <c r="C67" s="109" t="s">
        <v>675</v>
      </c>
      <c r="D67" s="37"/>
      <c r="E67" s="20"/>
      <c r="F67" s="25" t="str">
        <f>"(Sum Lines "&amp;A63&amp;" to "&amp;A66&amp;")"</f>
        <v>(Sum Lines 36 to 39)</v>
      </c>
      <c r="G67" s="25"/>
      <c r="H67" s="25">
        <f>SUM(H63:H66)</f>
        <v>450851.4</v>
      </c>
    </row>
    <row r="68" spans="1:8">
      <c r="A68" s="29">
        <f t="shared" si="0"/>
        <v>41</v>
      </c>
      <c r="B68" s="6"/>
      <c r="C68" s="109" t="str">
        <f>+C50</f>
        <v>Wage &amp; Salary Allocation Factor</v>
      </c>
      <c r="D68" s="37"/>
      <c r="E68" s="20"/>
      <c r="F68" s="68" t="str">
        <f>"(Line "&amp;A$18&amp;")"</f>
        <v>(Line 7)</v>
      </c>
      <c r="G68" s="25"/>
      <c r="H68" s="344">
        <f>+H18</f>
        <v>7.4610569211962935E-2</v>
      </c>
    </row>
    <row r="69" spans="1:8">
      <c r="A69" s="29">
        <f t="shared" si="0"/>
        <v>42</v>
      </c>
      <c r="B69" s="34"/>
      <c r="C69" s="61" t="s">
        <v>715</v>
      </c>
      <c r="D69" s="380"/>
      <c r="E69" s="381"/>
      <c r="F69" s="25" t="str">
        <f>"(Line "&amp;A67&amp;" * "&amp;A68&amp;")"</f>
        <v>(Line 40 * 41)</v>
      </c>
      <c r="G69" s="380"/>
      <c r="H69" s="145">
        <f>+H68*H67</f>
        <v>33638.279584010386</v>
      </c>
    </row>
    <row r="70" spans="1:8" ht="16.3" thickBot="1">
      <c r="A70" s="64"/>
      <c r="B70" s="34"/>
      <c r="C70" s="34"/>
      <c r="D70" s="34"/>
      <c r="E70" s="63"/>
      <c r="F70" s="34"/>
      <c r="G70" s="34"/>
      <c r="H70" s="34"/>
    </row>
    <row r="71" spans="1:8" s="56" customFormat="1" ht="16.3" thickBot="1">
      <c r="A71" s="450">
        <f>+A69+1</f>
        <v>43</v>
      </c>
      <c r="B71" s="448" t="s">
        <v>797</v>
      </c>
      <c r="C71" s="448"/>
      <c r="D71" s="448"/>
      <c r="E71" s="451"/>
      <c r="F71" s="452" t="str">
        <f>"(Line "&amp;A62&amp;" + "&amp;A69&amp;")"</f>
        <v>(Line 35 + 42)</v>
      </c>
      <c r="G71" s="448"/>
      <c r="H71" s="466">
        <f>H62+H69</f>
        <v>1056263.6445864551</v>
      </c>
    </row>
    <row r="72" spans="1:8" ht="16.3" thickBot="1">
      <c r="A72" s="64"/>
      <c r="B72" s="34"/>
      <c r="C72" s="34"/>
      <c r="D72" s="34"/>
      <c r="E72" s="63"/>
      <c r="F72" s="34"/>
      <c r="G72" s="34"/>
      <c r="H72" s="34"/>
    </row>
    <row r="73" spans="1:8" s="56" customFormat="1" ht="16.3" thickBot="1">
      <c r="A73" s="450">
        <f>+A71+1</f>
        <v>44</v>
      </c>
      <c r="B73" s="448" t="s">
        <v>798</v>
      </c>
      <c r="C73" s="448"/>
      <c r="D73" s="448"/>
      <c r="E73" s="451"/>
      <c r="F73" s="452" t="str">
        <f>"(Line "&amp;A55&amp;" - "&amp;A71&amp;")"</f>
        <v>(Line 31 - 43)</v>
      </c>
      <c r="G73" s="448"/>
      <c r="H73" s="466">
        <f>+H55-H71</f>
        <v>4883153.6712805061</v>
      </c>
    </row>
    <row r="74" spans="1:8">
      <c r="A74" s="63"/>
      <c r="B74" s="34"/>
      <c r="C74" s="34"/>
      <c r="D74" s="34"/>
      <c r="E74" s="63"/>
      <c r="F74" s="34"/>
      <c r="G74" s="34"/>
      <c r="H74" s="34"/>
    </row>
    <row r="75" spans="1:8">
      <c r="A75" s="841" t="s">
        <v>682</v>
      </c>
      <c r="B75" s="370"/>
      <c r="C75" s="370"/>
      <c r="D75" s="370"/>
      <c r="E75" s="371"/>
      <c r="F75" s="372"/>
      <c r="G75" s="372"/>
      <c r="H75" s="385"/>
    </row>
    <row r="76" spans="1:8">
      <c r="A76" s="129"/>
      <c r="B76" s="130"/>
      <c r="C76" s="130"/>
      <c r="D76" s="130"/>
      <c r="E76" s="63"/>
      <c r="F76" s="34"/>
      <c r="G76" s="34"/>
      <c r="H76" s="34"/>
    </row>
    <row r="77" spans="1:8">
      <c r="A77" s="64"/>
      <c r="B77" s="151" t="s">
        <v>316</v>
      </c>
      <c r="C77" s="9"/>
      <c r="D77" s="158"/>
      <c r="E77" s="386"/>
      <c r="F77" s="34"/>
      <c r="G77" s="34"/>
      <c r="H77" s="5"/>
    </row>
    <row r="78" spans="1:8">
      <c r="A78" s="64">
        <f>+A73+1</f>
        <v>45</v>
      </c>
      <c r="B78" s="151"/>
      <c r="C78" s="9" t="s">
        <v>338</v>
      </c>
      <c r="D78" s="158"/>
      <c r="E78" s="63"/>
      <c r="F78" s="397" t="s">
        <v>464</v>
      </c>
      <c r="G78" s="34"/>
      <c r="H78" s="249">
        <f>('ATT1 - ADIT'!E25)</f>
        <v>-855047.73915891699</v>
      </c>
    </row>
    <row r="79" spans="1:8" s="50" customFormat="1">
      <c r="A79" s="29">
        <f>A78+1</f>
        <v>46</v>
      </c>
      <c r="B79" s="158"/>
      <c r="C79" s="387" t="s">
        <v>716</v>
      </c>
      <c r="D79" s="47"/>
      <c r="E79" s="103"/>
      <c r="F79" s="43" t="str">
        <f>"(Line "&amp;A78&amp;")"</f>
        <v>(Line 45)</v>
      </c>
      <c r="G79" s="47"/>
      <c r="H79" s="250">
        <f>+H78</f>
        <v>-855047.73915891699</v>
      </c>
    </row>
    <row r="80" spans="1:8">
      <c r="A80" s="64"/>
      <c r="B80" s="158"/>
      <c r="C80" s="151"/>
      <c r="D80" s="52"/>
      <c r="E80" s="102"/>
      <c r="F80" s="52"/>
      <c r="G80" s="38"/>
      <c r="H80" s="388"/>
    </row>
    <row r="81" spans="1:8" s="50" customFormat="1">
      <c r="A81" s="29"/>
      <c r="B81" s="115" t="s">
        <v>511</v>
      </c>
      <c r="C81" s="151"/>
      <c r="D81" s="52"/>
      <c r="E81" s="102"/>
      <c r="F81" s="43"/>
      <c r="G81" s="52"/>
      <c r="H81" s="174"/>
    </row>
    <row r="82" spans="1:8">
      <c r="A82" s="64">
        <f>+A79+1</f>
        <v>47</v>
      </c>
      <c r="B82" s="158"/>
      <c r="C82" s="389" t="s">
        <v>60</v>
      </c>
      <c r="D82" s="390"/>
      <c r="E82" s="265" t="s">
        <v>512</v>
      </c>
      <c r="F82" s="238" t="s">
        <v>657</v>
      </c>
      <c r="G82" s="391"/>
      <c r="H82" s="392">
        <f>-'ATT5 - Cost Support 1'!K119</f>
        <v>-7046.8137139510527</v>
      </c>
    </row>
    <row r="83" spans="1:8">
      <c r="A83" s="29"/>
      <c r="B83" s="354"/>
      <c r="C83" s="27"/>
      <c r="D83" s="27"/>
      <c r="E83" s="64"/>
      <c r="F83" s="388"/>
      <c r="G83" s="360"/>
      <c r="H83" s="34"/>
    </row>
    <row r="84" spans="1:8">
      <c r="A84" s="29"/>
      <c r="B84" s="353" t="s">
        <v>668</v>
      </c>
      <c r="C84" s="92"/>
      <c r="D84" s="27"/>
      <c r="E84" s="64"/>
      <c r="F84" s="393"/>
      <c r="G84" s="351"/>
      <c r="H84" s="34"/>
    </row>
    <row r="85" spans="1:8">
      <c r="A85" s="29">
        <f>+A82+1</f>
        <v>48</v>
      </c>
      <c r="B85" s="394"/>
      <c r="C85" s="171" t="s">
        <v>513</v>
      </c>
      <c r="D85" s="112"/>
      <c r="E85" s="102" t="str">
        <f>"(Notes "&amp;B$278&amp;" &amp;  "&amp;B$307&amp;")"</f>
        <v>(Notes A &amp;  R)</v>
      </c>
      <c r="F85" s="171" t="s">
        <v>657</v>
      </c>
      <c r="G85" s="349"/>
      <c r="H85" s="350">
        <f>'ATT5 - Cost Support 1'!K129+'ATT5 - Cost Support 1'!K130+'ATT5 - Cost Support 1'!K126</f>
        <v>2799.2393543470671</v>
      </c>
    </row>
    <row r="86" spans="1:8">
      <c r="A86" s="6">
        <f>+A85+1</f>
        <v>49</v>
      </c>
      <c r="B86" s="354"/>
      <c r="C86" s="115" t="s">
        <v>646</v>
      </c>
      <c r="D86" s="379"/>
      <c r="E86" s="395"/>
      <c r="F86" s="43" t="str">
        <f>"(Line "&amp;A85&amp;")"</f>
        <v>(Line 48)</v>
      </c>
      <c r="G86" s="396"/>
      <c r="H86" s="251">
        <f>+H85</f>
        <v>2799.2393543470671</v>
      </c>
    </row>
    <row r="87" spans="1:8">
      <c r="A87" s="29"/>
      <c r="B87" s="354"/>
      <c r="C87" s="27"/>
      <c r="D87" s="9"/>
      <c r="E87" s="63"/>
      <c r="F87" s="360"/>
      <c r="G87" s="360"/>
      <c r="H87" s="34"/>
    </row>
    <row r="88" spans="1:8">
      <c r="A88" s="6"/>
      <c r="B88" s="354"/>
      <c r="C88" s="92"/>
      <c r="D88" s="9"/>
      <c r="E88" s="6"/>
      <c r="F88" s="351"/>
      <c r="G88" s="351"/>
      <c r="H88" s="357"/>
    </row>
    <row r="89" spans="1:8">
      <c r="A89" s="29"/>
      <c r="B89" s="353" t="s">
        <v>665</v>
      </c>
      <c r="C89" s="158"/>
      <c r="D89" s="158"/>
      <c r="E89" s="64"/>
      <c r="F89" s="349"/>
      <c r="G89" s="351"/>
      <c r="H89" s="357"/>
    </row>
    <row r="90" spans="1:8">
      <c r="A90" s="64">
        <f>+A86+1</f>
        <v>50</v>
      </c>
      <c r="B90" s="158"/>
      <c r="C90" s="158" t="s">
        <v>686</v>
      </c>
      <c r="D90" s="27"/>
      <c r="E90" s="102" t="str">
        <f>"(Notes "&amp;B$278&amp;" &amp;  "&amp;B$307&amp;")"</f>
        <v>(Notes A &amp;  R)</v>
      </c>
      <c r="F90" s="92" t="s">
        <v>637</v>
      </c>
      <c r="G90" s="34"/>
      <c r="H90" s="773">
        <v>0</v>
      </c>
    </row>
    <row r="91" spans="1:8" s="50" customFormat="1">
      <c r="A91" s="29">
        <f>+A90+1</f>
        <v>51</v>
      </c>
      <c r="B91" s="354"/>
      <c r="C91" s="171" t="s">
        <v>809</v>
      </c>
      <c r="D91" s="397"/>
      <c r="E91" s="398"/>
      <c r="F91" s="68" t="str">
        <f>"(Line "&amp;A$18&amp;")"</f>
        <v>(Line 7)</v>
      </c>
      <c r="G91" s="399"/>
      <c r="H91" s="228">
        <f>+H18</f>
        <v>7.4610569211962935E-2</v>
      </c>
    </row>
    <row r="92" spans="1:8">
      <c r="A92" s="29">
        <f>+A91+1</f>
        <v>52</v>
      </c>
      <c r="B92" s="354"/>
      <c r="C92" s="92" t="s">
        <v>482</v>
      </c>
      <c r="D92" s="27"/>
      <c r="E92" s="64"/>
      <c r="F92" s="25" t="str">
        <f>"(Line "&amp;A90&amp;" * "&amp;A91&amp;")"</f>
        <v>(Line 50 * 51)</v>
      </c>
      <c r="G92" s="351"/>
      <c r="H92" s="400">
        <f>+H90*H91</f>
        <v>0</v>
      </c>
    </row>
    <row r="93" spans="1:8">
      <c r="A93" s="29">
        <f>+A92+1</f>
        <v>53</v>
      </c>
      <c r="B93" s="354"/>
      <c r="C93" s="92" t="s">
        <v>648</v>
      </c>
      <c r="D93" s="27"/>
      <c r="E93" s="29"/>
      <c r="F93" s="171" t="s">
        <v>238</v>
      </c>
      <c r="G93" s="351"/>
      <c r="H93" s="863">
        <v>38173</v>
      </c>
    </row>
    <row r="94" spans="1:8" ht="18" customHeight="1">
      <c r="A94" s="29">
        <f>+A93+1</f>
        <v>54</v>
      </c>
      <c r="B94" s="354"/>
      <c r="C94" s="401" t="s">
        <v>664</v>
      </c>
      <c r="D94" s="84"/>
      <c r="E94" s="402"/>
      <c r="F94" s="25" t="str">
        <f>"(Line "&amp;A92&amp;" + "&amp;A93&amp;")"</f>
        <v>(Line 52 + 53)</v>
      </c>
      <c r="G94" s="403"/>
      <c r="H94" s="256">
        <f>SUM(H92:H93)</f>
        <v>38173</v>
      </c>
    </row>
    <row r="95" spans="1:8">
      <c r="A95" s="29"/>
      <c r="B95" s="354"/>
      <c r="C95" s="92"/>
      <c r="D95" s="9"/>
      <c r="E95" s="6"/>
      <c r="F95" s="351"/>
      <c r="G95" s="351"/>
      <c r="H95" s="34"/>
    </row>
    <row r="96" spans="1:8">
      <c r="A96" s="29"/>
      <c r="B96" s="353" t="s">
        <v>669</v>
      </c>
      <c r="C96" s="158"/>
      <c r="D96" s="9"/>
      <c r="E96" s="63"/>
      <c r="F96" s="351"/>
      <c r="G96" s="351"/>
      <c r="H96" s="34"/>
    </row>
    <row r="97" spans="1:8">
      <c r="A97" s="29">
        <f>+A94+1</f>
        <v>55</v>
      </c>
      <c r="B97" s="354"/>
      <c r="C97" s="92" t="s">
        <v>483</v>
      </c>
      <c r="D97" s="214"/>
      <c r="E97" s="63"/>
      <c r="F97" s="25" t="str">
        <f>"(Line "&amp;A$141&amp;")"</f>
        <v>(Line 85)</v>
      </c>
      <c r="G97" s="351"/>
      <c r="H97" s="350">
        <f>+H141</f>
        <v>108435.48475443914</v>
      </c>
    </row>
    <row r="98" spans="1:8">
      <c r="A98" s="29">
        <f>+A97+1</f>
        <v>56</v>
      </c>
      <c r="B98" s="354"/>
      <c r="C98" s="275" t="s">
        <v>810</v>
      </c>
      <c r="D98" s="214"/>
      <c r="E98" s="63"/>
      <c r="F98" s="97" t="s">
        <v>851</v>
      </c>
      <c r="G98" s="34"/>
      <c r="H98" s="352">
        <v>0.125</v>
      </c>
    </row>
    <row r="99" spans="1:8" s="54" customFormat="1">
      <c r="A99" s="29">
        <f>+A98+1</f>
        <v>57</v>
      </c>
      <c r="B99" s="355"/>
      <c r="C99" s="387" t="s">
        <v>647</v>
      </c>
      <c r="D99" s="404"/>
      <c r="E99" s="405"/>
      <c r="F99" s="25" t="str">
        <f>"(Line "&amp;A97&amp;" * "&amp;A98&amp;")"</f>
        <v>(Line 55 * 56)</v>
      </c>
      <c r="G99" s="36"/>
      <c r="H99" s="251">
        <f>+H97*H98</f>
        <v>13554.435594304892</v>
      </c>
    </row>
    <row r="100" spans="1:8" s="54" customFormat="1">
      <c r="A100" s="29"/>
      <c r="B100" s="355"/>
      <c r="C100" s="151"/>
      <c r="D100" s="220"/>
      <c r="E100" s="107"/>
      <c r="F100" s="25"/>
      <c r="G100" s="340"/>
      <c r="H100" s="267"/>
    </row>
    <row r="101" spans="1:8" s="54" customFormat="1">
      <c r="A101" s="1"/>
      <c r="B101" s="151" t="s">
        <v>350</v>
      </c>
      <c r="C101" s="1"/>
      <c r="D101" s="220"/>
      <c r="E101" s="1"/>
      <c r="F101" s="25"/>
      <c r="G101" s="340"/>
      <c r="H101" s="267"/>
    </row>
    <row r="102" spans="1:8">
      <c r="A102" s="29">
        <f>+A99+1</f>
        <v>58</v>
      </c>
      <c r="B102" s="34"/>
      <c r="C102" s="34" t="s">
        <v>351</v>
      </c>
      <c r="D102" s="34"/>
      <c r="E102" s="102" t="str">
        <f>"(Note "&amp;B$300&amp;")"</f>
        <v>(Note N)</v>
      </c>
      <c r="F102" s="34" t="s">
        <v>170</v>
      </c>
      <c r="G102" s="34"/>
      <c r="H102" s="158">
        <f>'ATT5 - Cost Support 1'!I138</f>
        <v>0</v>
      </c>
    </row>
    <row r="103" spans="1:8">
      <c r="A103" s="63">
        <f>+A102+1</f>
        <v>59</v>
      </c>
      <c r="B103" s="34"/>
      <c r="C103" s="391" t="s">
        <v>437</v>
      </c>
      <c r="D103" s="391"/>
      <c r="E103" s="266" t="str">
        <f>+E102</f>
        <v>(Note N)</v>
      </c>
      <c r="F103" s="238" t="str">
        <f>+F102</f>
        <v>Attachment 5 / From PJM</v>
      </c>
      <c r="G103" s="391"/>
      <c r="H103" s="238">
        <f>'ATT5 - Cost Support 1'!I140</f>
        <v>0</v>
      </c>
    </row>
    <row r="104" spans="1:8">
      <c r="A104" s="63">
        <f>+A103+1</f>
        <v>60</v>
      </c>
      <c r="B104" s="34"/>
      <c r="C104" s="34" t="s">
        <v>367</v>
      </c>
      <c r="D104" s="34"/>
      <c r="E104" s="63"/>
      <c r="F104" s="25" t="str">
        <f>"(Line "&amp;A102&amp;" - "&amp;A103&amp;")"</f>
        <v>(Line 58 - 59)</v>
      </c>
      <c r="G104" s="34"/>
      <c r="H104" s="1">
        <f>+H102+H103</f>
        <v>0</v>
      </c>
    </row>
    <row r="105" spans="1:8" ht="16.3" thickBot="1">
      <c r="A105" s="63"/>
      <c r="B105" s="34"/>
      <c r="C105" s="34"/>
      <c r="D105" s="34"/>
      <c r="E105" s="63"/>
      <c r="F105" s="34"/>
      <c r="G105" s="34"/>
      <c r="H105" s="34"/>
    </row>
    <row r="106" spans="1:8" s="56" customFormat="1" ht="16.3" thickBot="1">
      <c r="A106" s="454">
        <f>+A104+1</f>
        <v>61</v>
      </c>
      <c r="B106" s="448" t="s">
        <v>811</v>
      </c>
      <c r="C106" s="448"/>
      <c r="D106" s="448"/>
      <c r="E106" s="451"/>
      <c r="F106" s="455" t="str">
        <f>"(Line "&amp;A79&amp;" + "&amp;A82&amp;" + "&amp;A86&amp;" + "&amp;A94&amp;" + "&amp;A99&amp;" - "&amp;A104&amp;")"</f>
        <v>(Line 46 + 47 + 49 + 54 + 57 - 60)</v>
      </c>
      <c r="G106" s="453"/>
      <c r="H106" s="467">
        <f>SUM(H79,H82,H85,H94,H99,H104)</f>
        <v>-807567.87792421598</v>
      </c>
    </row>
    <row r="107" spans="1:8" ht="16.3" thickBot="1">
      <c r="A107" s="63"/>
      <c r="B107" s="34"/>
      <c r="C107" s="34"/>
      <c r="D107" s="34"/>
      <c r="E107" s="63"/>
      <c r="F107" s="34"/>
      <c r="G107" s="34"/>
      <c r="H107" s="34"/>
    </row>
    <row r="108" spans="1:8" s="38" customFormat="1" ht="16.3" thickBot="1">
      <c r="A108" s="442">
        <f>+A106+1</f>
        <v>62</v>
      </c>
      <c r="B108" s="448" t="s">
        <v>803</v>
      </c>
      <c r="C108" s="448"/>
      <c r="D108" s="448"/>
      <c r="E108" s="451"/>
      <c r="F108" s="446" t="str">
        <f>"(Line "&amp;A73&amp;" + "&amp;A106&amp;")"</f>
        <v>(Line 44 + 61)</v>
      </c>
      <c r="G108" s="448"/>
      <c r="H108" s="466">
        <f>+H73+H106</f>
        <v>4075585.7933562901</v>
      </c>
    </row>
    <row r="109" spans="1:8">
      <c r="A109" s="214"/>
      <c r="B109" s="34"/>
      <c r="C109" s="34"/>
      <c r="D109" s="34"/>
      <c r="E109" s="63"/>
      <c r="F109" s="34"/>
      <c r="G109" s="34"/>
      <c r="H109" s="34"/>
    </row>
    <row r="110" spans="1:8" s="50" customFormat="1">
      <c r="A110" s="841" t="s">
        <v>855</v>
      </c>
      <c r="B110" s="370"/>
      <c r="C110" s="370"/>
      <c r="D110" s="370"/>
      <c r="E110" s="371"/>
      <c r="F110" s="372"/>
      <c r="G110" s="372"/>
      <c r="H110" s="385"/>
    </row>
    <row r="111" spans="1:8" s="50" customFormat="1">
      <c r="A111" s="27"/>
      <c r="B111" s="27"/>
      <c r="C111" s="27"/>
      <c r="D111" s="27"/>
      <c r="E111" s="44"/>
      <c r="F111" s="158"/>
      <c r="G111" s="158"/>
      <c r="H111" s="373"/>
    </row>
    <row r="112" spans="1:8">
      <c r="A112" s="6"/>
      <c r="B112" s="24" t="s">
        <v>721</v>
      </c>
      <c r="C112" s="9"/>
      <c r="D112" s="5"/>
      <c r="E112" s="19"/>
      <c r="F112" s="34"/>
      <c r="G112" s="5"/>
      <c r="H112" s="5"/>
    </row>
    <row r="113" spans="1:8">
      <c r="A113" s="6">
        <f>+A108+1</f>
        <v>63</v>
      </c>
      <c r="B113" s="6"/>
      <c r="C113" s="26" t="s">
        <v>721</v>
      </c>
      <c r="D113" s="27"/>
      <c r="E113" s="64"/>
      <c r="F113" s="10" t="s">
        <v>201</v>
      </c>
      <c r="G113" s="44"/>
      <c r="H113" s="249">
        <f>'ATT5 - Cost Support 1'!T43</f>
        <v>59450.579775753031</v>
      </c>
    </row>
    <row r="114" spans="1:8">
      <c r="A114" s="63">
        <f>+A113+1</f>
        <v>64</v>
      </c>
      <c r="B114" s="6"/>
      <c r="C114" s="26" t="s">
        <v>150</v>
      </c>
      <c r="D114" s="225"/>
      <c r="E114" s="64"/>
      <c r="F114" s="234" t="s">
        <v>657</v>
      </c>
      <c r="G114" s="226"/>
      <c r="H114" s="244">
        <f>'ATT5 - Cost Support 1'!T44</f>
        <v>18</v>
      </c>
    </row>
    <row r="115" spans="1:8">
      <c r="A115" s="63">
        <f>+A114+1</f>
        <v>65</v>
      </c>
      <c r="B115" s="6"/>
      <c r="C115" s="26" t="s">
        <v>175</v>
      </c>
      <c r="D115" s="27"/>
      <c r="E115" s="64"/>
      <c r="F115" s="10" t="s">
        <v>177</v>
      </c>
      <c r="G115" s="27"/>
      <c r="H115" s="856">
        <f>'ATT5 - Cost Support 1'!T45</f>
        <v>-20284</v>
      </c>
    </row>
    <row r="116" spans="1:8">
      <c r="A116" s="29">
        <f>+A115+1</f>
        <v>66</v>
      </c>
      <c r="B116" s="29"/>
      <c r="C116" s="26" t="s">
        <v>421</v>
      </c>
      <c r="D116" s="27"/>
      <c r="E116" s="102" t="str">
        <f>"(Note "&amp;B$303&amp;")"</f>
        <v>(Note O)</v>
      </c>
      <c r="F116" s="70" t="s">
        <v>369</v>
      </c>
      <c r="G116" s="27"/>
      <c r="H116" s="774">
        <v>0</v>
      </c>
    </row>
    <row r="117" spans="1:8">
      <c r="A117" s="29">
        <f>A116+1</f>
        <v>67</v>
      </c>
      <c r="B117" s="27"/>
      <c r="C117" s="41" t="s">
        <v>721</v>
      </c>
      <c r="D117" s="182"/>
      <c r="E117" s="103"/>
      <c r="F117" s="43" t="str">
        <f>"(Lines "&amp;A113&amp;" - "&amp;A114&amp;" + "&amp;A115&amp;" + "&amp;A116&amp;")"</f>
        <v>(Lines 63 - 64 + 65 + 66)</v>
      </c>
      <c r="G117" s="47"/>
      <c r="H117" s="252">
        <f>+H113-H114-H115+H116</f>
        <v>79716.579775753024</v>
      </c>
    </row>
    <row r="118" spans="1:8">
      <c r="A118" s="29"/>
      <c r="B118" s="29"/>
      <c r="C118" s="24"/>
      <c r="D118" s="27"/>
      <c r="E118" s="28"/>
      <c r="F118" s="27"/>
      <c r="G118" s="27"/>
      <c r="H118" s="40"/>
    </row>
    <row r="119" spans="1:8">
      <c r="A119" s="29"/>
      <c r="B119" s="24" t="s">
        <v>651</v>
      </c>
      <c r="C119" s="27"/>
      <c r="D119" s="27"/>
      <c r="E119" s="28"/>
      <c r="F119" s="27"/>
      <c r="G119" s="27"/>
      <c r="H119" s="40"/>
    </row>
    <row r="120" spans="1:8">
      <c r="A120" s="29">
        <f>+A117+1</f>
        <v>68</v>
      </c>
      <c r="B120" s="29"/>
      <c r="C120" s="26" t="s">
        <v>724</v>
      </c>
      <c r="D120" s="27"/>
      <c r="E120" s="102" t="str">
        <f>"(Note "&amp;B$278&amp;")"</f>
        <v>(Note A)</v>
      </c>
      <c r="F120" s="5" t="s">
        <v>629</v>
      </c>
      <c r="G120" s="27"/>
      <c r="H120" s="774">
        <v>0</v>
      </c>
    </row>
    <row r="121" spans="1:8">
      <c r="A121" s="29">
        <f t="shared" ref="A121:A128" si="1">+A120+1</f>
        <v>69</v>
      </c>
      <c r="B121" s="29"/>
      <c r="C121" s="26" t="s">
        <v>726</v>
      </c>
      <c r="D121" s="27"/>
      <c r="E121" s="64"/>
      <c r="F121" s="10" t="s">
        <v>657</v>
      </c>
      <c r="G121" s="27"/>
      <c r="H121" s="10">
        <f>'ATT5 - Cost Support 1'!S179</f>
        <v>395671.85000000003</v>
      </c>
    </row>
    <row r="122" spans="1:8">
      <c r="A122" s="29">
        <f>+A121+1</f>
        <v>70</v>
      </c>
      <c r="B122" s="29"/>
      <c r="C122" s="26" t="s">
        <v>857</v>
      </c>
      <c r="D122" s="10"/>
      <c r="E122" s="64"/>
      <c r="F122" s="26" t="s">
        <v>639</v>
      </c>
      <c r="G122" s="9"/>
      <c r="H122" s="774">
        <v>10742.088780939002</v>
      </c>
    </row>
    <row r="123" spans="1:8">
      <c r="A123" s="29">
        <f t="shared" si="1"/>
        <v>71</v>
      </c>
      <c r="B123" s="29"/>
      <c r="C123" s="26" t="s">
        <v>858</v>
      </c>
      <c r="D123" s="10"/>
      <c r="E123" s="102" t="str">
        <f>"(Note "&amp;B$282&amp;")"</f>
        <v>(Note E)</v>
      </c>
      <c r="F123" s="26" t="s">
        <v>550</v>
      </c>
      <c r="G123" s="9"/>
      <c r="H123" s="10">
        <f>'ATT5 - Cost Support 1'!S72</f>
        <v>27972.333333333332</v>
      </c>
    </row>
    <row r="124" spans="1:8">
      <c r="A124" s="29">
        <f t="shared" si="1"/>
        <v>72</v>
      </c>
      <c r="B124" s="29"/>
      <c r="C124" s="26" t="s">
        <v>859</v>
      </c>
      <c r="D124" s="10"/>
      <c r="E124" s="64"/>
      <c r="F124" s="26" t="s">
        <v>551</v>
      </c>
      <c r="G124" s="9"/>
      <c r="H124" s="10">
        <f>'ATT5 - Cost Support 1'!S80</f>
        <v>2739.4340000000002</v>
      </c>
    </row>
    <row r="125" spans="1:8">
      <c r="A125" s="29">
        <f>A124+1</f>
        <v>73</v>
      </c>
      <c r="B125" s="29"/>
      <c r="C125" s="26" t="s">
        <v>841</v>
      </c>
      <c r="D125" s="34"/>
      <c r="E125" s="102" t="str">
        <f>"(Note "&amp;B$281&amp;")"</f>
        <v>(Note D)</v>
      </c>
      <c r="F125" s="70" t="s">
        <v>549</v>
      </c>
      <c r="G125" s="27"/>
      <c r="H125" s="10">
        <f>'ATT5 - Cost Support 1'!T66</f>
        <v>2776.1680000000001</v>
      </c>
    </row>
    <row r="126" spans="1:8">
      <c r="A126" s="29">
        <f t="shared" si="1"/>
        <v>74</v>
      </c>
      <c r="B126" s="29"/>
      <c r="C126" s="41" t="s">
        <v>649</v>
      </c>
      <c r="D126" s="182"/>
      <c r="E126" s="104"/>
      <c r="F126" s="25" t="str">
        <f>"(Lines "&amp;A120&amp;" + "&amp;A121&amp;") -  Sum ("&amp;A122&amp;" to "&amp;A125&amp;")"</f>
        <v>(Lines 68 + 69) -  Sum (70 to 73)</v>
      </c>
      <c r="G126" s="379"/>
      <c r="H126" s="239">
        <f>H120+H121-H122-H123-H124-H125</f>
        <v>351441.82588572771</v>
      </c>
    </row>
    <row r="127" spans="1:8">
      <c r="A127" s="29">
        <f t="shared" si="1"/>
        <v>75</v>
      </c>
      <c r="B127" s="29"/>
      <c r="C127" s="92" t="s">
        <v>809</v>
      </c>
      <c r="D127" s="275"/>
      <c r="E127" s="63"/>
      <c r="F127" s="157" t="str">
        <f>"(Line "&amp;A$18&amp;")"</f>
        <v>(Line 7)</v>
      </c>
      <c r="G127" s="351"/>
      <c r="H127" s="357">
        <f>+H18</f>
        <v>7.4610569211962935E-2</v>
      </c>
    </row>
    <row r="128" spans="1:8">
      <c r="A128" s="29">
        <f t="shared" si="1"/>
        <v>76</v>
      </c>
      <c r="B128" s="29"/>
      <c r="C128" s="41" t="s">
        <v>654</v>
      </c>
      <c r="D128" s="182"/>
      <c r="E128" s="100"/>
      <c r="F128" s="25" t="str">
        <f>"(Line "&amp;A126&amp;" * "&amp;A127&amp;")"</f>
        <v>(Line 74 * 75)</v>
      </c>
      <c r="G128" s="379"/>
      <c r="H128" s="241">
        <f>+H127*H126</f>
        <v>26221.274674225715</v>
      </c>
    </row>
    <row r="129" spans="1:8">
      <c r="A129" s="29"/>
      <c r="B129" s="29"/>
      <c r="C129" s="48"/>
      <c r="D129" s="35"/>
      <c r="E129" s="20"/>
      <c r="F129" s="37"/>
      <c r="G129" s="37"/>
      <c r="H129" s="25"/>
    </row>
    <row r="130" spans="1:8">
      <c r="A130" s="29"/>
      <c r="B130" s="24" t="s">
        <v>650</v>
      </c>
      <c r="C130" s="158"/>
      <c r="D130" s="35"/>
      <c r="E130" s="20"/>
      <c r="F130" s="37"/>
      <c r="G130" s="37"/>
      <c r="H130" s="25"/>
    </row>
    <row r="131" spans="1:8">
      <c r="A131" s="29">
        <f>+A128+1</f>
        <v>77</v>
      </c>
      <c r="B131" s="354"/>
      <c r="C131" s="92" t="s">
        <v>860</v>
      </c>
      <c r="D131" s="101"/>
      <c r="E131" s="102" t="str">
        <f>"(Note "&amp;B$284&amp;")"</f>
        <v>(Note G)</v>
      </c>
      <c r="F131" s="92" t="s">
        <v>550</v>
      </c>
      <c r="G131" s="158"/>
      <c r="H131" s="350">
        <f>'ATT5 - Cost Support 1'!T74</f>
        <v>0</v>
      </c>
    </row>
    <row r="132" spans="1:8">
      <c r="A132" s="6">
        <f>+A131+1</f>
        <v>78</v>
      </c>
      <c r="B132" s="354"/>
      <c r="C132" s="171" t="s">
        <v>861</v>
      </c>
      <c r="D132" s="111"/>
      <c r="E132" s="265" t="str">
        <f>"(Note "&amp;B$297&amp;")"</f>
        <v>(Note K)</v>
      </c>
      <c r="F132" s="171" t="s">
        <v>640</v>
      </c>
      <c r="G132" s="238"/>
      <c r="H132" s="475">
        <f>'ATT5 - Cost Support 1'!T80</f>
        <v>0</v>
      </c>
    </row>
    <row r="133" spans="1:8">
      <c r="A133" s="6">
        <f>+A132+1</f>
        <v>79</v>
      </c>
      <c r="B133" s="354"/>
      <c r="C133" s="92" t="s">
        <v>842</v>
      </c>
      <c r="D133" s="27"/>
      <c r="E133" s="64"/>
      <c r="F133" s="25" t="str">
        <f>"(Line "&amp;A131&amp;" + "&amp;A132&amp;")"</f>
        <v>(Line 77 + 78)</v>
      </c>
      <c r="G133" s="158"/>
      <c r="H133" s="356">
        <f>+H132+H131</f>
        <v>0</v>
      </c>
    </row>
    <row r="134" spans="1:8">
      <c r="A134" s="29"/>
      <c r="B134" s="354"/>
      <c r="C134" s="92"/>
      <c r="D134" s="27"/>
      <c r="E134" s="64"/>
      <c r="F134" s="92"/>
      <c r="G134" s="158"/>
      <c r="H134" s="349"/>
    </row>
    <row r="135" spans="1:8">
      <c r="A135" s="6">
        <f>+A133+1</f>
        <v>80</v>
      </c>
      <c r="B135" s="354"/>
      <c r="C135" s="92" t="s">
        <v>862</v>
      </c>
      <c r="D135" s="27"/>
      <c r="E135" s="63"/>
      <c r="F135" s="92" t="s">
        <v>639</v>
      </c>
      <c r="G135" s="158"/>
      <c r="H135" s="18">
        <f>H122</f>
        <v>10742.088780939002</v>
      </c>
    </row>
    <row r="136" spans="1:8">
      <c r="A136" s="6">
        <f>+A135+1</f>
        <v>81</v>
      </c>
      <c r="B136" s="354"/>
      <c r="C136" s="92" t="s">
        <v>861</v>
      </c>
      <c r="D136" s="27"/>
      <c r="E136" s="102" t="str">
        <f>"(Note "&amp;B$283&amp;")"</f>
        <v>(Note F)</v>
      </c>
      <c r="F136" s="171" t="s">
        <v>657</v>
      </c>
      <c r="G136" s="158"/>
      <c r="H136" s="475">
        <f>'ATT5 - Cost Support 1'!T80</f>
        <v>0</v>
      </c>
    </row>
    <row r="137" spans="1:8">
      <c r="A137" s="29">
        <f>+A136+1</f>
        <v>82</v>
      </c>
      <c r="B137" s="354"/>
      <c r="C137" s="406" t="s">
        <v>813</v>
      </c>
      <c r="D137" s="182"/>
      <c r="E137" s="381"/>
      <c r="F137" s="25" t="str">
        <f>"(Line "&amp;A135&amp;" + "&amp;A136&amp;")"</f>
        <v>(Line 80 + 81)</v>
      </c>
      <c r="G137" s="47"/>
      <c r="H137" s="388">
        <f>H135+H136</f>
        <v>10742.088780939002</v>
      </c>
    </row>
    <row r="138" spans="1:8">
      <c r="A138" s="6">
        <f>+A137+1</f>
        <v>83</v>
      </c>
      <c r="B138" s="29"/>
      <c r="C138" s="170" t="s">
        <v>684</v>
      </c>
      <c r="D138" s="275"/>
      <c r="E138" s="6"/>
      <c r="F138" s="68" t="str">
        <f>"(Line "&amp;A$37&amp;")"</f>
        <v>(Line 20)</v>
      </c>
      <c r="G138" s="351"/>
      <c r="H138" s="357">
        <f>H37</f>
        <v>0.23250881233566487</v>
      </c>
    </row>
    <row r="139" spans="1:8">
      <c r="A139" s="29">
        <f>+A138+1</f>
        <v>84</v>
      </c>
      <c r="B139" s="29"/>
      <c r="C139" s="41" t="s">
        <v>652</v>
      </c>
      <c r="D139" s="182"/>
      <c r="E139" s="100"/>
      <c r="F139" s="25" t="str">
        <f>"(Line "&amp;A137&amp;" * "&amp;A138&amp;")"</f>
        <v>(Line 82 * 83)</v>
      </c>
      <c r="G139" s="379"/>
      <c r="H139" s="250">
        <f>+H138*H137</f>
        <v>2497.6303044603974</v>
      </c>
    </row>
    <row r="140" spans="1:8" ht="16.3" thickBot="1">
      <c r="A140" s="6"/>
      <c r="B140" s="6"/>
      <c r="C140" s="24"/>
      <c r="D140" s="27"/>
      <c r="E140" s="19"/>
      <c r="F140" s="9"/>
      <c r="G140" s="9"/>
      <c r="H140" s="25"/>
    </row>
    <row r="141" spans="1:8" s="56" customFormat="1" ht="16.3" thickBot="1">
      <c r="A141" s="442">
        <f>+A139+1</f>
        <v>85</v>
      </c>
      <c r="B141" s="456"/>
      <c r="C141" s="443" t="s">
        <v>725</v>
      </c>
      <c r="D141" s="444"/>
      <c r="E141" s="457"/>
      <c r="F141" s="452" t="str">
        <f>"(Line "&amp;A117&amp;" + "&amp;A128&amp;" + "&amp;A133&amp;" + "&amp;A139&amp;")"</f>
        <v>(Line 67 + 76 + 79 + 84)</v>
      </c>
      <c r="G141" s="447"/>
      <c r="H141" s="468">
        <f>+H117+H128+H133+H139</f>
        <v>108435.48475443914</v>
      </c>
    </row>
    <row r="142" spans="1:8">
      <c r="A142" s="4"/>
      <c r="B142" s="6"/>
      <c r="C142" s="24"/>
      <c r="D142" s="27"/>
      <c r="E142" s="19"/>
      <c r="F142" s="9"/>
      <c r="G142" s="9"/>
      <c r="H142" s="40"/>
    </row>
    <row r="143" spans="1:8">
      <c r="A143" s="841" t="s">
        <v>717</v>
      </c>
      <c r="B143" s="370"/>
      <c r="C143" s="370"/>
      <c r="D143" s="370"/>
      <c r="E143" s="371"/>
      <c r="F143" s="372"/>
      <c r="G143" s="372"/>
      <c r="H143" s="385"/>
    </row>
    <row r="144" spans="1:8">
      <c r="A144" s="24"/>
      <c r="B144" s="6"/>
      <c r="C144" s="200"/>
      <c r="D144" s="27"/>
      <c r="E144" s="19"/>
      <c r="F144" s="9"/>
      <c r="G144" s="9"/>
      <c r="H144" s="40"/>
    </row>
    <row r="145" spans="1:8">
      <c r="A145" s="63"/>
      <c r="B145" s="65" t="s">
        <v>624</v>
      </c>
      <c r="C145" s="34"/>
      <c r="D145" s="9"/>
      <c r="E145" s="63"/>
      <c r="F145" s="407"/>
      <c r="G145" s="407"/>
      <c r="H145" s="358"/>
    </row>
    <row r="146" spans="1:8">
      <c r="A146" s="6">
        <f>+A141+1</f>
        <v>86</v>
      </c>
      <c r="B146" s="408"/>
      <c r="C146" s="92" t="s">
        <v>626</v>
      </c>
      <c r="D146" s="9"/>
      <c r="E146" s="6" t="s">
        <v>870</v>
      </c>
      <c r="F146" s="4" t="s">
        <v>208</v>
      </c>
      <c r="G146" s="34"/>
      <c r="H146" s="476">
        <f>'ATT5 - Cost Support 1'!T33</f>
        <v>142472.2257528826</v>
      </c>
    </row>
    <row r="147" spans="1:8">
      <c r="A147" s="6">
        <f t="shared" ref="A147:A155" si="2">+A146+1</f>
        <v>87</v>
      </c>
      <c r="B147" s="408"/>
      <c r="C147" s="92" t="s">
        <v>151</v>
      </c>
      <c r="D147" s="224"/>
      <c r="E147" s="6"/>
      <c r="F147" s="409" t="s">
        <v>657</v>
      </c>
      <c r="G147" s="410"/>
      <c r="H147" s="359">
        <f>'ATT5 - Cost Support 1'!T36</f>
        <v>7623.7872673023039</v>
      </c>
    </row>
    <row r="148" spans="1:8">
      <c r="A148" s="6">
        <f t="shared" si="2"/>
        <v>88</v>
      </c>
      <c r="B148" s="408"/>
      <c r="C148" s="92" t="s">
        <v>453</v>
      </c>
      <c r="D148" s="224"/>
      <c r="E148" s="6"/>
      <c r="F148" s="409" t="s">
        <v>657</v>
      </c>
      <c r="G148" s="410"/>
      <c r="H148" s="359">
        <f>'ATT5 - Cost Support 1'!T37</f>
        <v>1146.0481799962554</v>
      </c>
    </row>
    <row r="149" spans="1:8">
      <c r="A149" s="6">
        <f t="shared" si="2"/>
        <v>89</v>
      </c>
      <c r="B149" s="408"/>
      <c r="C149" s="92" t="s">
        <v>76</v>
      </c>
      <c r="D149" s="224"/>
      <c r="E149" s="6"/>
      <c r="F149" s="409" t="s">
        <v>657</v>
      </c>
      <c r="G149" s="410"/>
      <c r="H149" s="359">
        <f>'ATT5 - Cost Support 1'!U146</f>
        <v>0</v>
      </c>
    </row>
    <row r="150" spans="1:8">
      <c r="A150" s="6">
        <f t="shared" si="2"/>
        <v>90</v>
      </c>
      <c r="B150" s="408"/>
      <c r="C150" s="97" t="s">
        <v>152</v>
      </c>
      <c r="D150" s="210"/>
      <c r="E150" s="411"/>
      <c r="F150" s="97" t="str">
        <f>"(Line "&amp;A146&amp;" - "&amp;A147&amp;" - "&amp;A148&amp;" + "&amp;A149&amp;")"</f>
        <v>(Line 86 - 87 - 88 + 89)</v>
      </c>
      <c r="G150" s="399"/>
      <c r="H150" s="477">
        <f>H146-H147-H148+H149</f>
        <v>133702.39030558403</v>
      </c>
    </row>
    <row r="151" spans="1:8">
      <c r="A151" s="6">
        <f t="shared" si="2"/>
        <v>91</v>
      </c>
      <c r="B151" s="408"/>
      <c r="C151" s="170" t="s">
        <v>812</v>
      </c>
      <c r="D151" s="37"/>
      <c r="E151" s="6" t="s">
        <v>172</v>
      </c>
      <c r="F151" s="93" t="s">
        <v>206</v>
      </c>
      <c r="G151" s="34"/>
      <c r="H151" s="18">
        <f>'ATT5 - Cost Support 1'!T34</f>
        <v>24250.925353333267</v>
      </c>
    </row>
    <row r="152" spans="1:8">
      <c r="A152" s="6">
        <f t="shared" si="2"/>
        <v>92</v>
      </c>
      <c r="B152" s="408"/>
      <c r="C152" s="171" t="s">
        <v>685</v>
      </c>
      <c r="D152" s="210"/>
      <c r="E152" s="265" t="str">
        <f>"(Note "&amp;B$278&amp;")"</f>
        <v>(Note A)</v>
      </c>
      <c r="F152" s="171" t="s">
        <v>207</v>
      </c>
      <c r="G152" s="391"/>
      <c r="H152" s="475">
        <f>'ATT5 - Cost Support 1'!T35</f>
        <v>21415.4</v>
      </c>
    </row>
    <row r="153" spans="1:8">
      <c r="A153" s="6">
        <f t="shared" si="2"/>
        <v>93</v>
      </c>
      <c r="B153" s="408"/>
      <c r="C153" s="93" t="s">
        <v>813</v>
      </c>
      <c r="D153" s="37"/>
      <c r="E153" s="231"/>
      <c r="F153" s="25" t="str">
        <f>"(Line "&amp;A151&amp;" + "&amp;A152&amp;")"</f>
        <v>(Line 91 + 92)</v>
      </c>
      <c r="G153" s="34"/>
      <c r="H153" s="359">
        <f>SUM(H151:H152)</f>
        <v>45666.325353333268</v>
      </c>
    </row>
    <row r="154" spans="1:8">
      <c r="A154" s="6">
        <f t="shared" si="2"/>
        <v>94</v>
      </c>
      <c r="B154" s="408"/>
      <c r="C154" s="171" t="s">
        <v>809</v>
      </c>
      <c r="D154" s="397"/>
      <c r="E154" s="266"/>
      <c r="F154" s="157" t="str">
        <f>"(Line "&amp;A$18&amp;")"</f>
        <v>(Line 7)</v>
      </c>
      <c r="G154" s="399"/>
      <c r="H154" s="269">
        <f>+H18</f>
        <v>7.4610569211962935E-2</v>
      </c>
    </row>
    <row r="155" spans="1:8">
      <c r="A155" s="6">
        <f t="shared" si="2"/>
        <v>95</v>
      </c>
      <c r="B155" s="408"/>
      <c r="C155" s="65" t="s">
        <v>484</v>
      </c>
      <c r="D155" s="9"/>
      <c r="E155" s="6"/>
      <c r="F155" s="25" t="str">
        <f>"(Line "&amp;A153&amp;" * "&amp;A154&amp;")"</f>
        <v>(Line 93 * 94)</v>
      </c>
      <c r="G155" s="351"/>
      <c r="H155" s="267">
        <f>+H153*H154</f>
        <v>3407.1905284308896</v>
      </c>
    </row>
    <row r="156" spans="1:8">
      <c r="A156" s="29"/>
      <c r="B156" s="354"/>
      <c r="C156" s="92"/>
      <c r="D156" s="27"/>
      <c r="E156" s="29"/>
      <c r="F156" s="92"/>
      <c r="G156" s="351"/>
      <c r="H156" s="268"/>
    </row>
    <row r="157" spans="1:8">
      <c r="A157" s="6">
        <f>+A155+1</f>
        <v>96</v>
      </c>
      <c r="B157" s="354"/>
      <c r="C157" s="92" t="s">
        <v>611</v>
      </c>
      <c r="D157" s="27"/>
      <c r="E157" s="102" t="str">
        <f>"(Note "&amp;B$278&amp;")"</f>
        <v>(Note A)</v>
      </c>
      <c r="F157" s="92" t="s">
        <v>641</v>
      </c>
      <c r="G157" s="34"/>
      <c r="H157" s="18">
        <f>+'ATT5 - Cost Support 1'!T38</f>
        <v>0</v>
      </c>
    </row>
    <row r="158" spans="1:8">
      <c r="A158" s="29">
        <f>+A157+1</f>
        <v>97</v>
      </c>
      <c r="B158" s="354"/>
      <c r="C158" s="171" t="s">
        <v>687</v>
      </c>
      <c r="D158" s="157"/>
      <c r="E158" s="265" t="str">
        <f>"(Note "&amp;B$278&amp;")"</f>
        <v>(Note A)</v>
      </c>
      <c r="F158" s="171" t="s">
        <v>642</v>
      </c>
      <c r="G158" s="391"/>
      <c r="H158" s="475">
        <f>+'ATT5 - Cost Support 1'!T39</f>
        <v>0</v>
      </c>
    </row>
    <row r="159" spans="1:8">
      <c r="A159" s="29">
        <f>+A158+1</f>
        <v>98</v>
      </c>
      <c r="B159" s="354"/>
      <c r="C159" s="92" t="s">
        <v>813</v>
      </c>
      <c r="D159" s="27"/>
      <c r="E159" s="29"/>
      <c r="F159" s="25" t="str">
        <f>"(Line "&amp;A157&amp;" + "&amp;A158&amp;")"</f>
        <v>(Line 96 + 97)</v>
      </c>
      <c r="G159" s="34"/>
      <c r="H159" s="18">
        <f>+H158+H157</f>
        <v>0</v>
      </c>
    </row>
    <row r="160" spans="1:8">
      <c r="A160" s="6">
        <f>+A159+1</f>
        <v>99</v>
      </c>
      <c r="B160" s="354"/>
      <c r="C160" s="171" t="s">
        <v>809</v>
      </c>
      <c r="D160" s="397"/>
      <c r="E160" s="266"/>
      <c r="F160" s="157" t="str">
        <f>"(Line "&amp;A$18&amp;")"</f>
        <v>(Line 7)</v>
      </c>
      <c r="G160" s="399"/>
      <c r="H160" s="269">
        <f>+H18</f>
        <v>7.4610569211962935E-2</v>
      </c>
    </row>
    <row r="161" spans="1:8">
      <c r="A161" s="6">
        <f>+A160+1</f>
        <v>100</v>
      </c>
      <c r="B161" s="354"/>
      <c r="C161" s="65" t="s">
        <v>688</v>
      </c>
      <c r="D161" s="27"/>
      <c r="E161" s="29"/>
      <c r="F161" s="25" t="str">
        <f>"(Line "&amp;A159&amp;" * "&amp;A160&amp;")"</f>
        <v>(Line 98 * 99)</v>
      </c>
      <c r="G161" s="351"/>
      <c r="H161" s="267">
        <f>+H160*H159</f>
        <v>0</v>
      </c>
    </row>
    <row r="162" spans="1:8">
      <c r="A162" s="29"/>
      <c r="B162" s="354"/>
      <c r="C162" s="34"/>
      <c r="D162" s="27"/>
      <c r="E162" s="29"/>
      <c r="F162" s="92"/>
      <c r="G162" s="351"/>
      <c r="H162" s="360"/>
    </row>
    <row r="163" spans="1:8" ht="16.3" thickBot="1">
      <c r="A163" s="66"/>
      <c r="B163" s="32"/>
      <c r="C163" s="92"/>
      <c r="D163" s="27"/>
      <c r="E163" s="29"/>
      <c r="F163" s="92"/>
      <c r="G163" s="351"/>
      <c r="H163" s="357"/>
    </row>
    <row r="164" spans="1:8" s="794" customFormat="1" ht="16.3" thickBot="1">
      <c r="A164" s="442">
        <f>+A161+1</f>
        <v>101</v>
      </c>
      <c r="B164" s="458" t="s">
        <v>718</v>
      </c>
      <c r="C164" s="458"/>
      <c r="D164" s="459"/>
      <c r="E164" s="460"/>
      <c r="F164" s="452" t="str">
        <f>"(Line "&amp;A150&amp;" + "&amp;A155&amp;" + "&amp;A161&amp;")"</f>
        <v>(Line 90 + 95 + 100)</v>
      </c>
      <c r="G164" s="461"/>
      <c r="H164" s="469">
        <f>H150+H155+H161</f>
        <v>137109.58083401492</v>
      </c>
    </row>
    <row r="165" spans="1:8">
      <c r="A165" s="214"/>
      <c r="B165" s="9"/>
      <c r="C165" s="9"/>
      <c r="D165" s="9"/>
      <c r="E165" s="63"/>
      <c r="F165" s="34"/>
      <c r="G165" s="34"/>
      <c r="H165" s="34"/>
    </row>
    <row r="166" spans="1:8">
      <c r="A166" s="841" t="s">
        <v>451</v>
      </c>
      <c r="B166" s="370"/>
      <c r="C166" s="370"/>
      <c r="D166" s="370"/>
      <c r="E166" s="371"/>
      <c r="F166" s="372"/>
      <c r="G166" s="372"/>
      <c r="H166" s="385"/>
    </row>
    <row r="167" spans="1:8">
      <c r="A167" s="129"/>
      <c r="B167" s="6"/>
      <c r="C167" s="24"/>
      <c r="D167" s="27"/>
      <c r="E167" s="19"/>
      <c r="F167" s="9"/>
      <c r="G167" s="9"/>
      <c r="H167" s="40"/>
    </row>
    <row r="168" spans="1:8">
      <c r="A168" s="29">
        <f>+A164+1</f>
        <v>102</v>
      </c>
      <c r="B168" s="353" t="s">
        <v>607</v>
      </c>
      <c r="C168" s="394"/>
      <c r="D168" s="9"/>
      <c r="E168" s="102"/>
      <c r="F168" s="158" t="s">
        <v>466</v>
      </c>
      <c r="G168" s="158"/>
      <c r="H168" s="253">
        <f>+'ATT2 - Other Tax'!G43</f>
        <v>38212.606019552921</v>
      </c>
    </row>
    <row r="169" spans="1:8" ht="16.3" thickBot="1">
      <c r="A169" s="64"/>
      <c r="B169" s="27"/>
      <c r="C169" s="9"/>
      <c r="D169" s="9"/>
      <c r="E169" s="6"/>
      <c r="F169" s="4"/>
      <c r="G169" s="158"/>
      <c r="H169" s="34"/>
    </row>
    <row r="170" spans="1:8" s="56" customFormat="1" ht="16.3" thickBot="1">
      <c r="A170" s="450">
        <f>+A168+1</f>
        <v>103</v>
      </c>
      <c r="B170" s="443" t="s">
        <v>619</v>
      </c>
      <c r="C170" s="443"/>
      <c r="D170" s="459"/>
      <c r="E170" s="451"/>
      <c r="F170" s="452" t="str">
        <f>"(Line "&amp;A168&amp;")"</f>
        <v>(Line 102)</v>
      </c>
      <c r="G170" s="448"/>
      <c r="H170" s="466">
        <f>+H168</f>
        <v>38212.606019552921</v>
      </c>
    </row>
    <row r="171" spans="1:8">
      <c r="A171" s="63"/>
      <c r="B171" s="9"/>
      <c r="C171" s="9"/>
      <c r="D171" s="9"/>
      <c r="E171" s="63"/>
      <c r="F171" s="34"/>
      <c r="G171" s="34"/>
      <c r="H171" s="34"/>
    </row>
    <row r="172" spans="1:8">
      <c r="A172" s="841" t="s">
        <v>689</v>
      </c>
      <c r="B172" s="370"/>
      <c r="C172" s="370"/>
      <c r="D172" s="370"/>
      <c r="E172" s="371"/>
      <c r="F172" s="372"/>
      <c r="G172" s="372"/>
      <c r="H172" s="385"/>
    </row>
    <row r="173" spans="1:8">
      <c r="A173" s="4"/>
      <c r="B173" s="6"/>
      <c r="C173" s="24"/>
      <c r="D173" s="27"/>
      <c r="E173" s="19"/>
      <c r="F173" s="9"/>
      <c r="G173" s="9"/>
      <c r="H173" s="40"/>
    </row>
    <row r="174" spans="1:8">
      <c r="A174" s="29"/>
      <c r="B174" s="58" t="s">
        <v>621</v>
      </c>
      <c r="C174" s="9"/>
      <c r="D174" s="37"/>
      <c r="E174" s="20"/>
      <c r="F174" s="34"/>
      <c r="G174" s="25"/>
      <c r="H174" s="34"/>
    </row>
    <row r="175" spans="1:8">
      <c r="A175" s="29">
        <f>+A170+1</f>
        <v>104</v>
      </c>
      <c r="B175" s="58"/>
      <c r="C175" s="9" t="s">
        <v>621</v>
      </c>
      <c r="D175" s="37"/>
      <c r="E175" s="6" t="s">
        <v>362</v>
      </c>
      <c r="F175" s="10" t="s">
        <v>991</v>
      </c>
      <c r="G175" s="25"/>
      <c r="H175" s="775">
        <f>'ATT5 - Cost Support 1'!S188</f>
        <v>387949.51088999998</v>
      </c>
    </row>
    <row r="176" spans="1:8">
      <c r="A176" s="29">
        <f>+A175+1</f>
        <v>105</v>
      </c>
      <c r="B176" s="29"/>
      <c r="C176" s="156" t="s">
        <v>623</v>
      </c>
      <c r="D176" s="157"/>
      <c r="E176" s="113" t="str">
        <f>"(Note "&amp;B$305&amp;")"</f>
        <v>(Note P)</v>
      </c>
      <c r="F176" s="70" t="s">
        <v>159</v>
      </c>
      <c r="G176" s="68"/>
      <c r="H176" s="475">
        <f>+'ATT8 - Securitization'!E14</f>
        <v>0</v>
      </c>
    </row>
    <row r="177" spans="1:8">
      <c r="A177" s="6">
        <f>+A176+1</f>
        <v>106</v>
      </c>
      <c r="B177" s="6"/>
      <c r="C177" s="58" t="s">
        <v>621</v>
      </c>
      <c r="D177" s="37"/>
      <c r="E177" s="106"/>
      <c r="F177" s="43" t="str">
        <f>"(Line "&amp;A175&amp;" - "&amp;A176&amp;")"</f>
        <v>(Line 104 - 105)</v>
      </c>
      <c r="G177" s="25"/>
      <c r="H177" s="254">
        <f>+H175-H176</f>
        <v>387949.51088999998</v>
      </c>
    </row>
    <row r="178" spans="1:8">
      <c r="A178" s="6"/>
      <c r="B178" s="6"/>
      <c r="C178" s="5"/>
      <c r="D178" s="9"/>
      <c r="E178" s="63"/>
      <c r="F178" s="27"/>
      <c r="G178" s="5"/>
      <c r="H178" s="5"/>
    </row>
    <row r="179" spans="1:8">
      <c r="A179" s="6">
        <f>+A177+1</f>
        <v>107</v>
      </c>
      <c r="B179" s="12" t="s">
        <v>710</v>
      </c>
      <c r="C179" s="9"/>
      <c r="D179" s="9"/>
      <c r="E179" s="19" t="s">
        <v>363</v>
      </c>
      <c r="F179" s="10" t="s">
        <v>711</v>
      </c>
      <c r="G179" s="5"/>
      <c r="H179" s="776">
        <v>16496</v>
      </c>
    </row>
    <row r="180" spans="1:8">
      <c r="A180" s="6"/>
      <c r="B180" s="6"/>
      <c r="C180" s="3"/>
      <c r="D180" s="9"/>
      <c r="E180" s="19"/>
      <c r="F180" s="10"/>
      <c r="G180" s="5"/>
      <c r="H180" s="5"/>
    </row>
    <row r="181" spans="1:8">
      <c r="A181" s="6"/>
      <c r="B181" s="13" t="s">
        <v>608</v>
      </c>
      <c r="C181" s="9"/>
      <c r="D181" s="9"/>
      <c r="E181" s="19"/>
      <c r="F181" s="10"/>
      <c r="G181" s="5"/>
      <c r="H181" s="5"/>
    </row>
    <row r="182" spans="1:8">
      <c r="A182" s="6">
        <f>+A179+1</f>
        <v>108</v>
      </c>
      <c r="B182" s="6"/>
      <c r="C182" s="5" t="s">
        <v>815</v>
      </c>
      <c r="D182" s="5"/>
      <c r="E182" s="19"/>
      <c r="F182" s="10" t="s">
        <v>141</v>
      </c>
      <c r="G182" s="5"/>
      <c r="H182" s="777">
        <f>(10056995+9490939)/2</f>
        <v>9773967</v>
      </c>
    </row>
    <row r="183" spans="1:8">
      <c r="A183" s="29">
        <f>+A182+1</f>
        <v>109</v>
      </c>
      <c r="B183" s="29"/>
      <c r="C183" s="10" t="s">
        <v>690</v>
      </c>
      <c r="D183" s="10"/>
      <c r="E183" s="28" t="s">
        <v>364</v>
      </c>
      <c r="F183" s="35" t="str">
        <f>"(Line "&amp;A193&amp;")"</f>
        <v>(Line 117)</v>
      </c>
      <c r="G183" s="5"/>
      <c r="H183" s="852">
        <f>-H193</f>
        <v>-259014</v>
      </c>
    </row>
    <row r="184" spans="1:8">
      <c r="A184" s="6">
        <f>+A183+1</f>
        <v>110</v>
      </c>
      <c r="B184" s="29"/>
      <c r="C184" s="70" t="s">
        <v>138</v>
      </c>
      <c r="D184" s="70"/>
      <c r="E184" s="113" t="s">
        <v>364</v>
      </c>
      <c r="F184" s="70" t="s">
        <v>145</v>
      </c>
      <c r="G184" s="68"/>
      <c r="H184" s="853">
        <f>-(48041+24976)/2</f>
        <v>-36508.5</v>
      </c>
    </row>
    <row r="185" spans="1:8">
      <c r="A185" s="6">
        <f>+A184+1</f>
        <v>111</v>
      </c>
      <c r="B185" s="29"/>
      <c r="C185" s="76" t="s">
        <v>608</v>
      </c>
      <c r="D185" s="43"/>
      <c r="E185" s="102"/>
      <c r="F185" s="25" t="str">
        <f>"(Sum Lines "&amp;A182&amp;" to "&amp;A184&amp;")"</f>
        <v>(Sum Lines 108 to 110)</v>
      </c>
      <c r="G185" s="412"/>
      <c r="H185" s="255">
        <f>SUM(H182:H184)</f>
        <v>9478444.5</v>
      </c>
    </row>
    <row r="186" spans="1:8">
      <c r="A186" s="6"/>
      <c r="B186" s="6"/>
      <c r="C186" s="3"/>
      <c r="D186" s="9"/>
      <c r="E186" s="19"/>
      <c r="F186" s="5"/>
      <c r="G186" s="9"/>
      <c r="H186" s="5"/>
    </row>
    <row r="187" spans="1:8">
      <c r="A187" s="6"/>
      <c r="B187" s="13" t="s">
        <v>691</v>
      </c>
      <c r="C187" s="9"/>
      <c r="D187" s="9"/>
      <c r="E187" s="19"/>
      <c r="F187" s="5"/>
      <c r="G187" s="9"/>
      <c r="H187" s="5"/>
    </row>
    <row r="188" spans="1:8">
      <c r="A188" s="6">
        <f>+A185+1</f>
        <v>112</v>
      </c>
      <c r="B188" s="6"/>
      <c r="C188" s="3" t="s">
        <v>622</v>
      </c>
      <c r="D188" s="9"/>
      <c r="E188" s="6"/>
      <c r="F188" s="3" t="s">
        <v>142</v>
      </c>
      <c r="G188" s="9"/>
      <c r="H188" s="778">
        <f>(8032214+6668895)/2</f>
        <v>7350554.5</v>
      </c>
    </row>
    <row r="189" spans="1:8">
      <c r="A189" s="29">
        <f t="shared" ref="A189:A195" si="3">+A188+1</f>
        <v>113</v>
      </c>
      <c r="B189" s="6"/>
      <c r="C189" s="3" t="s">
        <v>340</v>
      </c>
      <c r="D189" s="9"/>
      <c r="E189" s="19" t="s">
        <v>364</v>
      </c>
      <c r="F189" s="26" t="s">
        <v>143</v>
      </c>
      <c r="G189" s="9"/>
      <c r="H189" s="854">
        <f>-(7022+8386)/2</f>
        <v>-7704</v>
      </c>
    </row>
    <row r="190" spans="1:8">
      <c r="A190" s="29">
        <f t="shared" si="3"/>
        <v>114</v>
      </c>
      <c r="B190" s="6"/>
      <c r="C190" s="3" t="s">
        <v>341</v>
      </c>
      <c r="D190" s="9"/>
      <c r="E190" s="6" t="s">
        <v>363</v>
      </c>
      <c r="F190" s="45" t="s">
        <v>144</v>
      </c>
      <c r="G190" s="9"/>
      <c r="H190" s="774">
        <f>(4186+4490)/2</f>
        <v>4338</v>
      </c>
    </row>
    <row r="191" spans="1:8">
      <c r="A191" s="29">
        <f>A190+1</f>
        <v>115</v>
      </c>
      <c r="B191" s="29"/>
      <c r="C191" s="158" t="s">
        <v>348</v>
      </c>
      <c r="D191" s="232" t="str">
        <f>"(Note "&amp;B$305&amp;")"</f>
        <v>(Note P)</v>
      </c>
      <c r="E191" s="28" t="s">
        <v>364</v>
      </c>
      <c r="F191" s="70" t="str">
        <f>+F176</f>
        <v>Attachment 8</v>
      </c>
      <c r="G191" s="9"/>
      <c r="H191" s="70">
        <f>'ATT8 - Securitization'!E18</f>
        <v>0</v>
      </c>
    </row>
    <row r="192" spans="1:8">
      <c r="A192" s="29">
        <f t="shared" si="3"/>
        <v>116</v>
      </c>
      <c r="B192" s="29"/>
      <c r="C192" s="46" t="s">
        <v>614</v>
      </c>
      <c r="D192" s="182"/>
      <c r="E192" s="103"/>
      <c r="F192" s="43" t="str">
        <f>"(Sum Lines "&amp;A188&amp;" to "&amp;A191&amp;")"</f>
        <v>(Sum Lines 112 to 115)</v>
      </c>
      <c r="G192" s="182"/>
      <c r="H192" s="51">
        <f>SUM(H188:H191)</f>
        <v>7347188.5</v>
      </c>
    </row>
    <row r="193" spans="1:8">
      <c r="A193" s="29">
        <f t="shared" si="3"/>
        <v>117</v>
      </c>
      <c r="B193" s="6"/>
      <c r="C193" s="3" t="s">
        <v>635</v>
      </c>
      <c r="D193" s="9"/>
      <c r="E193" s="6" t="s">
        <v>363</v>
      </c>
      <c r="F193" s="26" t="s">
        <v>140</v>
      </c>
      <c r="G193" s="9"/>
      <c r="H193" s="774">
        <v>259014</v>
      </c>
    </row>
    <row r="194" spans="1:8">
      <c r="A194" s="29">
        <f t="shared" si="3"/>
        <v>118</v>
      </c>
      <c r="B194" s="6"/>
      <c r="C194" s="3" t="s">
        <v>608</v>
      </c>
      <c r="D194" s="9"/>
      <c r="E194" s="63"/>
      <c r="F194" s="68" t="str">
        <f>"(Line "&amp;A185&amp;")"</f>
        <v>(Line 111)</v>
      </c>
      <c r="G194" s="9"/>
      <c r="H194" s="25">
        <f>H185</f>
        <v>9478444.5</v>
      </c>
    </row>
    <row r="195" spans="1:8">
      <c r="A195" s="29">
        <f t="shared" si="3"/>
        <v>119</v>
      </c>
      <c r="B195" s="6"/>
      <c r="C195" s="41" t="s">
        <v>613</v>
      </c>
      <c r="D195" s="379"/>
      <c r="E195" s="381"/>
      <c r="F195" s="25" t="str">
        <f>"(Sum Lines "&amp;A192&amp;" to "&amp;A194&amp;")"</f>
        <v>(Sum Lines 116 to 118)</v>
      </c>
      <c r="G195" s="33"/>
      <c r="H195" s="239">
        <f>H194+H193+H192</f>
        <v>17084647</v>
      </c>
    </row>
    <row r="196" spans="1:8">
      <c r="A196" s="6"/>
      <c r="B196" s="6"/>
      <c r="C196" s="3"/>
      <c r="D196" s="9"/>
      <c r="E196" s="63"/>
      <c r="F196" s="34"/>
      <c r="G196" s="5"/>
      <c r="H196" s="19"/>
    </row>
    <row r="197" spans="1:8">
      <c r="A197" s="29">
        <f>+A195+1</f>
        <v>120</v>
      </c>
      <c r="B197" s="6"/>
      <c r="C197" s="93" t="s">
        <v>864</v>
      </c>
      <c r="D197" s="45" t="s">
        <v>614</v>
      </c>
      <c r="E197" s="63"/>
      <c r="F197" s="25" t="str">
        <f>"(Line "&amp;A192&amp;" / "&amp;A195&amp;")"</f>
        <v>(Line 116 / 119)</v>
      </c>
      <c r="G197" s="5"/>
      <c r="H197" s="227">
        <f>IF(H195&gt;0,H192/H195,0)</f>
        <v>0.43004625732097362</v>
      </c>
    </row>
    <row r="198" spans="1:8">
      <c r="A198" s="29">
        <f>+A197+1</f>
        <v>121</v>
      </c>
      <c r="B198" s="6"/>
      <c r="C198" s="93" t="s">
        <v>44</v>
      </c>
      <c r="D198" s="3" t="s">
        <v>635</v>
      </c>
      <c r="E198" s="63"/>
      <c r="F198" s="25" t="str">
        <f>"(Line "&amp;A193&amp;" / "&amp;A195&amp;")"</f>
        <v>(Line 117 / 119)</v>
      </c>
      <c r="G198" s="5"/>
      <c r="H198" s="227">
        <f>IF(H195&gt;0,H193/H195,0)</f>
        <v>1.5160629306534692E-2</v>
      </c>
    </row>
    <row r="199" spans="1:8">
      <c r="A199" s="29">
        <f>+A198+1</f>
        <v>122</v>
      </c>
      <c r="B199" s="6"/>
      <c r="C199" s="93" t="s">
        <v>865</v>
      </c>
      <c r="D199" s="3" t="s">
        <v>608</v>
      </c>
      <c r="E199" s="63"/>
      <c r="F199" s="25" t="str">
        <f>"(Line "&amp;A194&amp;" / "&amp;A195&amp;")"</f>
        <v>(Line 118 / 119)</v>
      </c>
      <c r="G199" s="5"/>
      <c r="H199" s="227">
        <f>IF(H195&gt;0,H194/H195,0)</f>
        <v>0.55479311337249171</v>
      </c>
    </row>
    <row r="200" spans="1:8">
      <c r="A200" s="29"/>
      <c r="B200" s="6"/>
      <c r="C200" s="94"/>
      <c r="D200" s="9"/>
      <c r="E200" s="63"/>
      <c r="F200" s="5"/>
      <c r="G200" s="5"/>
      <c r="H200" s="19"/>
    </row>
    <row r="201" spans="1:8">
      <c r="A201" s="29">
        <f>+A199+1</f>
        <v>123</v>
      </c>
      <c r="B201" s="6"/>
      <c r="C201" s="94" t="s">
        <v>866</v>
      </c>
      <c r="D201" s="45" t="s">
        <v>614</v>
      </c>
      <c r="E201" s="63"/>
      <c r="F201" s="25" t="str">
        <f>"(Line "&amp;A177&amp;" / "&amp;A192&amp;")"</f>
        <v>(Line 106 / 116)</v>
      </c>
      <c r="G201" s="5"/>
      <c r="H201" s="21">
        <f>IF(H192&gt;0,H177/H192,0)</f>
        <v>5.2802444212503866E-2</v>
      </c>
    </row>
    <row r="202" spans="1:8">
      <c r="A202" s="29">
        <f>+A201+1</f>
        <v>124</v>
      </c>
      <c r="B202" s="6"/>
      <c r="C202" s="94" t="s">
        <v>45</v>
      </c>
      <c r="D202" s="3" t="s">
        <v>635</v>
      </c>
      <c r="E202" s="63"/>
      <c r="F202" s="25" t="str">
        <f>"(Line "&amp;A179&amp;" / "&amp;A193&amp;")"</f>
        <v>(Line 107 / 117)</v>
      </c>
      <c r="G202" s="5"/>
      <c r="H202" s="21">
        <f>IF(H193&gt;0,H179/H193,0)</f>
        <v>6.3687677113978394E-2</v>
      </c>
    </row>
    <row r="203" spans="1:8">
      <c r="A203" s="29">
        <f>+A202+1</f>
        <v>125</v>
      </c>
      <c r="B203" s="6"/>
      <c r="C203" s="94" t="s">
        <v>867</v>
      </c>
      <c r="D203" s="3" t="s">
        <v>608</v>
      </c>
      <c r="E203" s="102" t="str">
        <f>"(Note "&amp;B$294&amp;")"</f>
        <v>(Note J)</v>
      </c>
      <c r="F203" s="10" t="s">
        <v>853</v>
      </c>
      <c r="G203" s="5"/>
      <c r="H203" s="21">
        <v>0.114</v>
      </c>
    </row>
    <row r="204" spans="1:8">
      <c r="A204" s="29"/>
      <c r="B204" s="6"/>
      <c r="C204" s="94"/>
      <c r="D204" s="9"/>
      <c r="E204" s="63"/>
      <c r="F204" s="5"/>
      <c r="G204" s="5"/>
      <c r="H204" s="9"/>
    </row>
    <row r="205" spans="1:8">
      <c r="A205" s="29">
        <f>+A203+1</f>
        <v>126</v>
      </c>
      <c r="B205" s="6"/>
      <c r="C205" s="93" t="s">
        <v>868</v>
      </c>
      <c r="D205" s="45" t="s">
        <v>616</v>
      </c>
      <c r="E205" s="63"/>
      <c r="F205" s="25" t="str">
        <f>"(Line "&amp;A197&amp;" * "&amp;A201&amp;")"</f>
        <v>(Line 120 * 123)</v>
      </c>
      <c r="G205" s="30"/>
      <c r="H205" s="21">
        <f>H201*H197</f>
        <v>2.2707493510986793E-2</v>
      </c>
    </row>
    <row r="206" spans="1:8">
      <c r="A206" s="29">
        <f>+A205+1</f>
        <v>127</v>
      </c>
      <c r="B206" s="6"/>
      <c r="C206" s="93" t="s">
        <v>311</v>
      </c>
      <c r="D206" s="3" t="s">
        <v>635</v>
      </c>
      <c r="E206" s="63"/>
      <c r="F206" s="25" t="str">
        <f>"(Line "&amp;A198&amp;" * "&amp;A202&amp;")"</f>
        <v>(Line 121 * 124)</v>
      </c>
      <c r="G206" s="407"/>
      <c r="H206" s="21">
        <f>H202*H198</f>
        <v>9.6554526411929962E-4</v>
      </c>
    </row>
    <row r="207" spans="1:8">
      <c r="A207" s="29">
        <f>+A206+1</f>
        <v>128</v>
      </c>
      <c r="B207" s="411"/>
      <c r="C207" s="97" t="s">
        <v>41</v>
      </c>
      <c r="D207" s="98" t="s">
        <v>608</v>
      </c>
      <c r="E207" s="266"/>
      <c r="F207" s="68" t="str">
        <f>"(Line "&amp;A199&amp;" * "&amp;A203&amp;")"</f>
        <v>(Line 122 * 125)</v>
      </c>
      <c r="G207" s="69"/>
      <c r="H207" s="99">
        <f>H203*H199</f>
        <v>6.3246414924464062E-2</v>
      </c>
    </row>
    <row r="208" spans="1:8" s="1" customFormat="1">
      <c r="A208" s="6">
        <f>+A207+1</f>
        <v>129</v>
      </c>
      <c r="B208" s="57" t="s">
        <v>615</v>
      </c>
      <c r="C208" s="57"/>
      <c r="D208" s="75"/>
      <c r="E208" s="107"/>
      <c r="F208" s="25" t="str">
        <f>"(Sum Lines "&amp;A205&amp;" to "&amp;A207&amp;")"</f>
        <v>(Sum Lines 126 to 128)</v>
      </c>
      <c r="G208" s="59"/>
      <c r="H208" s="55">
        <f>SUM(H205:H207)</f>
        <v>8.6919453699570159E-2</v>
      </c>
    </row>
    <row r="209" spans="1:8" s="1" customFormat="1" ht="16.3" thickBot="1">
      <c r="A209" s="11"/>
      <c r="B209" s="11"/>
      <c r="C209" s="57"/>
      <c r="D209" s="75"/>
      <c r="E209" s="107"/>
      <c r="F209" s="58"/>
      <c r="G209" s="59"/>
      <c r="H209" s="55"/>
    </row>
    <row r="210" spans="1:8" s="56" customFormat="1" ht="16.3" thickBot="1">
      <c r="A210" s="442">
        <f>+A208+1</f>
        <v>130</v>
      </c>
      <c r="B210" s="462" t="s">
        <v>708</v>
      </c>
      <c r="C210" s="449"/>
      <c r="D210" s="459"/>
      <c r="E210" s="463"/>
      <c r="F210" s="452" t="str">
        <f>"(Line "&amp;A108&amp;" * "&amp;A208&amp;")"</f>
        <v>(Line 62 * 129)</v>
      </c>
      <c r="G210" s="464"/>
      <c r="H210" s="470">
        <f>+H108*H208</f>
        <v>354247.69066425797</v>
      </c>
    </row>
    <row r="211" spans="1:8">
      <c r="A211" s="6"/>
      <c r="B211" s="6"/>
      <c r="C211" s="3"/>
      <c r="D211" s="9"/>
      <c r="E211" s="63"/>
      <c r="F211" s="5"/>
      <c r="G211" s="5"/>
      <c r="H211" s="21"/>
    </row>
    <row r="212" spans="1:8">
      <c r="A212" s="841" t="s">
        <v>434</v>
      </c>
      <c r="B212" s="370"/>
      <c r="C212" s="370"/>
      <c r="D212" s="370"/>
      <c r="E212" s="371"/>
      <c r="F212" s="372"/>
      <c r="G212" s="372"/>
      <c r="H212" s="385"/>
    </row>
    <row r="213" spans="1:8">
      <c r="A213" s="92"/>
      <c r="B213" s="6"/>
      <c r="C213" s="24"/>
      <c r="D213" s="27"/>
      <c r="E213" s="19"/>
      <c r="F213" s="9"/>
      <c r="G213" s="9"/>
      <c r="H213" s="40"/>
    </row>
    <row r="214" spans="1:8">
      <c r="A214" s="6" t="s">
        <v>630</v>
      </c>
      <c r="B214" s="78" t="s">
        <v>709</v>
      </c>
      <c r="C214" s="9"/>
      <c r="D214" s="9"/>
      <c r="E214" s="19"/>
      <c r="F214" s="5"/>
      <c r="G214" s="16"/>
      <c r="H214" s="9"/>
    </row>
    <row r="215" spans="1:8">
      <c r="A215" s="6">
        <f>+A210+1</f>
        <v>131</v>
      </c>
      <c r="B215" s="6"/>
      <c r="C215" s="9" t="s">
        <v>695</v>
      </c>
      <c r="D215" s="9"/>
      <c r="E215" s="63"/>
      <c r="F215" s="9" t="s">
        <v>657</v>
      </c>
      <c r="G215" s="280"/>
      <c r="H215" s="808">
        <v>0.35</v>
      </c>
    </row>
    <row r="216" spans="1:8">
      <c r="A216" s="6">
        <f>+A215+1</f>
        <v>132</v>
      </c>
      <c r="B216" s="6"/>
      <c r="C216" s="280" t="s">
        <v>694</v>
      </c>
      <c r="D216" s="22"/>
      <c r="E216" s="102" t="str">
        <f>"(Note "&amp;B$288&amp;")"</f>
        <v>(Note I)</v>
      </c>
      <c r="F216" s="9" t="s">
        <v>657</v>
      </c>
      <c r="G216" s="280"/>
      <c r="H216" s="413">
        <f>'ATT5 - Cost Support 1'!U87+'ATT5 - Cost Support 1'!T87+'ATT5 - Cost Support 1'!V87+'ATT5 - Cost Support 1'!W87+'ATT5 - Cost Support 1'!S87</f>
        <v>6.1473E-2</v>
      </c>
    </row>
    <row r="217" spans="1:8">
      <c r="A217" s="6">
        <f>+A216+1</f>
        <v>133</v>
      </c>
      <c r="B217" s="6"/>
      <c r="C217" s="280" t="s">
        <v>845</v>
      </c>
      <c r="D217" s="280" t="s">
        <v>846</v>
      </c>
      <c r="E217" s="63"/>
      <c r="F217" s="9" t="s">
        <v>349</v>
      </c>
      <c r="G217" s="280"/>
      <c r="H217" s="413">
        <v>0</v>
      </c>
    </row>
    <row r="218" spans="1:8">
      <c r="A218" s="6">
        <f>+A217+1</f>
        <v>134</v>
      </c>
      <c r="B218" s="6"/>
      <c r="C218" s="280" t="s">
        <v>854</v>
      </c>
      <c r="D218" s="15" t="s">
        <v>863</v>
      </c>
      <c r="E218" s="63"/>
      <c r="F218" s="9"/>
      <c r="G218" s="280"/>
      <c r="H218" s="17">
        <f>IF(H215&gt;0,1-(((1-H216)*(1-H215))/(1-H216*H215*H217)),0)</f>
        <v>0.38995744999999993</v>
      </c>
    </row>
    <row r="219" spans="1:8">
      <c r="A219" s="6">
        <f>+A218+1</f>
        <v>135</v>
      </c>
      <c r="B219" s="6"/>
      <c r="C219" s="280" t="s">
        <v>844</v>
      </c>
      <c r="D219" s="22"/>
      <c r="E219" s="63"/>
      <c r="F219" s="9"/>
      <c r="G219" s="280"/>
      <c r="H219" s="413">
        <f>+H218/(1-H218)</f>
        <v>0.6392299192900559</v>
      </c>
    </row>
    <row r="220" spans="1:8">
      <c r="A220" s="6"/>
      <c r="B220" s="6"/>
      <c r="C220" s="9"/>
      <c r="D220" s="9"/>
      <c r="E220" s="14"/>
      <c r="F220" s="15"/>
      <c r="G220" s="16"/>
      <c r="H220" s="17"/>
    </row>
    <row r="221" spans="1:8">
      <c r="A221" s="6"/>
      <c r="B221" s="78" t="s">
        <v>692</v>
      </c>
      <c r="C221" s="3"/>
      <c r="D221" s="9"/>
      <c r="E221" s="102" t="str">
        <f>"(Note "&amp;B$288&amp;")"</f>
        <v>(Note I)</v>
      </c>
      <c r="F221" s="5"/>
      <c r="G221" s="16"/>
      <c r="H221" s="88"/>
    </row>
    <row r="222" spans="1:8">
      <c r="A222" s="6">
        <f>+A219+1</f>
        <v>136</v>
      </c>
      <c r="B222" s="6"/>
      <c r="C222" s="26" t="s">
        <v>816</v>
      </c>
      <c r="D222" s="9"/>
      <c r="E222" s="28" t="s">
        <v>852</v>
      </c>
      <c r="F222" s="4" t="s">
        <v>464</v>
      </c>
      <c r="G222" s="16"/>
      <c r="H222" s="249">
        <f>-'ATT1 - ADIT'!F832</f>
        <v>-137</v>
      </c>
    </row>
    <row r="223" spans="1:8">
      <c r="A223" s="6">
        <f>+A222+1</f>
        <v>137</v>
      </c>
      <c r="B223" s="6"/>
      <c r="C223" s="3" t="s">
        <v>843</v>
      </c>
      <c r="D223" s="9"/>
      <c r="E223" s="411"/>
      <c r="F223" s="68" t="str">
        <f>"(Line "&amp;A219&amp;")"</f>
        <v>(Line 135)</v>
      </c>
      <c r="G223" s="16"/>
      <c r="H223" s="117">
        <f>+H219</f>
        <v>0.6392299192900559</v>
      </c>
    </row>
    <row r="224" spans="1:8">
      <c r="A224" s="6">
        <f>A223+1</f>
        <v>138</v>
      </c>
      <c r="B224" s="6"/>
      <c r="C224" s="82" t="s">
        <v>693</v>
      </c>
      <c r="D224" s="182"/>
      <c r="E224" s="102"/>
      <c r="F224" s="25" t="str">
        <f>"(Line "&amp;A222&amp;" * (1 + "&amp;A223&amp;"))"</f>
        <v>(Line 136 * (1 + 137))</v>
      </c>
      <c r="G224" s="396"/>
      <c r="H224" s="251">
        <f>+H222*(1+H223)</f>
        <v>-224.57449894273765</v>
      </c>
    </row>
    <row r="225" spans="1:8">
      <c r="A225" s="6"/>
      <c r="B225" s="6"/>
      <c r="C225" s="91"/>
      <c r="D225" s="35"/>
      <c r="E225" s="230"/>
      <c r="F225" s="119"/>
      <c r="G225" s="414"/>
      <c r="H225" s="415"/>
    </row>
    <row r="226" spans="1:8">
      <c r="A226" s="6"/>
      <c r="B226" s="6"/>
      <c r="C226" s="91"/>
      <c r="D226" s="35"/>
      <c r="E226" s="230"/>
      <c r="F226" s="119"/>
      <c r="G226" s="414"/>
      <c r="H226" s="416"/>
    </row>
    <row r="227" spans="1:8">
      <c r="A227" s="6"/>
      <c r="B227" s="6"/>
      <c r="C227" s="9"/>
      <c r="D227" s="9"/>
      <c r="E227" s="14"/>
      <c r="F227" s="15"/>
      <c r="G227" s="16"/>
      <c r="H227" s="118"/>
    </row>
    <row r="228" spans="1:8">
      <c r="A228" s="6">
        <f>+A224+1</f>
        <v>139</v>
      </c>
      <c r="B228" s="1" t="s">
        <v>804</v>
      </c>
      <c r="C228" s="34"/>
      <c r="D228" s="9" t="s">
        <v>807</v>
      </c>
      <c r="E228" s="19"/>
      <c r="F228" s="25" t="str">
        <f>"[Line "&amp;A219&amp;" * "&amp;A210&amp;" * (1-("&amp;A205&amp;" / "&amp;A208&amp;"))]"</f>
        <v>[Line 135 * 130 * (1-(126 / 129))]</v>
      </c>
      <c r="G228" s="9"/>
      <c r="H228" s="146">
        <f>+H219*(1-H205/H208)*H210</f>
        <v>167287.33456972922</v>
      </c>
    </row>
    <row r="229" spans="1:8" ht="16.3" thickBot="1">
      <c r="A229" s="6"/>
      <c r="B229" s="6"/>
      <c r="C229" s="93"/>
      <c r="D229" s="35"/>
      <c r="E229" s="230"/>
      <c r="F229" s="414"/>
      <c r="G229" s="414"/>
      <c r="H229" s="360"/>
    </row>
    <row r="230" spans="1:8" s="56" customFormat="1" ht="16.3" thickBot="1">
      <c r="A230" s="442">
        <f>+A228+1</f>
        <v>140</v>
      </c>
      <c r="B230" s="462" t="s">
        <v>604</v>
      </c>
      <c r="C230" s="449"/>
      <c r="D230" s="459"/>
      <c r="E230" s="463"/>
      <c r="F230" s="452" t="str">
        <f>"(Line "&amp;A224&amp;" + "&amp;A228&amp;")"</f>
        <v>(Line 138 + 139)</v>
      </c>
      <c r="G230" s="464"/>
      <c r="H230" s="470">
        <f>+H228+H224</f>
        <v>167062.76007078649</v>
      </c>
    </row>
    <row r="231" spans="1:8">
      <c r="A231" s="6"/>
      <c r="B231" s="6"/>
      <c r="C231" s="15"/>
      <c r="D231" s="9"/>
      <c r="E231" s="63"/>
      <c r="F231" s="18"/>
      <c r="G231" s="8"/>
      <c r="H231" s="79"/>
    </row>
    <row r="232" spans="1:8">
      <c r="A232" s="841" t="s">
        <v>617</v>
      </c>
      <c r="B232" s="370"/>
      <c r="C232" s="370"/>
      <c r="D232" s="370"/>
      <c r="E232" s="371"/>
      <c r="F232" s="372"/>
      <c r="G232" s="372"/>
      <c r="H232" s="385"/>
    </row>
    <row r="233" spans="1:8">
      <c r="A233" s="63"/>
      <c r="B233" s="34"/>
      <c r="C233" s="34"/>
      <c r="D233" s="34"/>
      <c r="E233" s="63"/>
      <c r="F233" s="34"/>
      <c r="G233" s="34"/>
      <c r="H233" s="34"/>
    </row>
    <row r="234" spans="1:8">
      <c r="A234" s="63"/>
      <c r="B234" s="1" t="s">
        <v>605</v>
      </c>
      <c r="C234" s="38"/>
      <c r="D234" s="38"/>
      <c r="E234" s="63"/>
      <c r="F234" s="34"/>
      <c r="G234" s="34"/>
      <c r="H234" s="34"/>
    </row>
    <row r="235" spans="1:8">
      <c r="A235" s="63">
        <f>+A230+1</f>
        <v>141</v>
      </c>
      <c r="B235" s="34"/>
      <c r="C235" s="38" t="s">
        <v>606</v>
      </c>
      <c r="D235" s="38"/>
      <c r="E235" s="63"/>
      <c r="F235" s="25" t="str">
        <f>"(Line "&amp;A73&amp;")"</f>
        <v>(Line 44)</v>
      </c>
      <c r="G235" s="34"/>
      <c r="H235" s="240">
        <f>+H73</f>
        <v>4883153.6712805061</v>
      </c>
    </row>
    <row r="236" spans="1:8">
      <c r="A236" s="6">
        <f>+A235+1</f>
        <v>142</v>
      </c>
      <c r="B236" s="34"/>
      <c r="C236" s="38" t="s">
        <v>799</v>
      </c>
      <c r="D236" s="38"/>
      <c r="E236" s="63"/>
      <c r="F236" s="68" t="str">
        <f>"(Line "&amp;A106&amp;")"</f>
        <v>(Line 61)</v>
      </c>
      <c r="G236" s="34"/>
      <c r="H236" s="855">
        <f>+H106</f>
        <v>-807567.87792421598</v>
      </c>
    </row>
    <row r="237" spans="1:8">
      <c r="A237" s="6">
        <f>+A236+1</f>
        <v>143</v>
      </c>
      <c r="B237" s="6"/>
      <c r="C237" s="36" t="s">
        <v>803</v>
      </c>
      <c r="D237" s="83"/>
      <c r="E237" s="108"/>
      <c r="F237" s="25" t="str">
        <f>"(Line "&amp;A108&amp;")"</f>
        <v>(Line 62)</v>
      </c>
      <c r="G237" s="84"/>
      <c r="H237" s="256">
        <f>+H108</f>
        <v>4075585.7933562901</v>
      </c>
    </row>
    <row r="238" spans="1:8">
      <c r="A238" s="6"/>
      <c r="B238" s="6"/>
      <c r="C238" s="45"/>
      <c r="D238" s="35"/>
      <c r="E238" s="19"/>
      <c r="F238" s="9"/>
      <c r="G238" s="9"/>
      <c r="H238" s="7"/>
    </row>
    <row r="239" spans="1:8">
      <c r="A239" s="6">
        <f>+A237+1</f>
        <v>144</v>
      </c>
      <c r="B239" s="9"/>
      <c r="C239" s="45" t="s">
        <v>855</v>
      </c>
      <c r="D239" s="37"/>
      <c r="E239" s="63"/>
      <c r="F239" s="25" t="str">
        <f>"(Line "&amp;A141&amp;")"</f>
        <v>(Line 85)</v>
      </c>
      <c r="G239" s="34"/>
      <c r="H239" s="7">
        <f>+H141</f>
        <v>108435.48475443914</v>
      </c>
    </row>
    <row r="240" spans="1:8">
      <c r="A240" s="6">
        <f t="shared" ref="A240:A245" si="4">+A239+1</f>
        <v>145</v>
      </c>
      <c r="B240" s="9"/>
      <c r="C240" s="93" t="s">
        <v>712</v>
      </c>
      <c r="D240" s="37"/>
      <c r="E240" s="63"/>
      <c r="F240" s="25" t="str">
        <f>"(Line "&amp;A164&amp;")"</f>
        <v>(Line 101)</v>
      </c>
      <c r="G240" s="34"/>
      <c r="H240" s="7">
        <f>+H164</f>
        <v>137109.58083401492</v>
      </c>
    </row>
    <row r="241" spans="1:8">
      <c r="A241" s="6">
        <f t="shared" si="4"/>
        <v>146</v>
      </c>
      <c r="B241" s="6"/>
      <c r="C241" s="45" t="s">
        <v>607</v>
      </c>
      <c r="D241" s="35"/>
      <c r="E241" s="19"/>
      <c r="F241" s="25" t="str">
        <f>"(Line "&amp;A170&amp;")"</f>
        <v>(Line 103)</v>
      </c>
      <c r="G241" s="9"/>
      <c r="H241" s="7">
        <f>+H170</f>
        <v>38212.606019552921</v>
      </c>
    </row>
    <row r="242" spans="1:8">
      <c r="A242" s="6">
        <f t="shared" si="4"/>
        <v>147</v>
      </c>
      <c r="B242" s="6"/>
      <c r="C242" s="60" t="s">
        <v>819</v>
      </c>
      <c r="D242" s="35"/>
      <c r="E242" s="19"/>
      <c r="F242" s="25" t="str">
        <f>"(Line "&amp;A210&amp;")"</f>
        <v>(Line 130)</v>
      </c>
      <c r="G242" s="9"/>
      <c r="H242" s="7">
        <f>+H210</f>
        <v>354247.69066425797</v>
      </c>
    </row>
    <row r="243" spans="1:8">
      <c r="A243" s="6">
        <f t="shared" si="4"/>
        <v>148</v>
      </c>
      <c r="B243" s="6"/>
      <c r="C243" s="60" t="s">
        <v>820</v>
      </c>
      <c r="D243" s="35"/>
      <c r="E243" s="19"/>
      <c r="F243" s="25" t="str">
        <f>"(Line "&amp;A230&amp;")"</f>
        <v>(Line 140)</v>
      </c>
      <c r="G243" s="9"/>
      <c r="H243" s="7">
        <f>+H230</f>
        <v>167062.76007078649</v>
      </c>
    </row>
    <row r="244" spans="1:8" ht="16.3" thickBot="1">
      <c r="A244" s="6">
        <f t="shared" si="4"/>
        <v>149</v>
      </c>
      <c r="B244" s="6"/>
      <c r="C244" s="880"/>
      <c r="D244" s="35"/>
      <c r="E244" s="19"/>
      <c r="F244" s="31"/>
      <c r="G244" s="9"/>
      <c r="H244" s="378"/>
    </row>
    <row r="245" spans="1:8" ht="19.05" thickBot="1">
      <c r="A245" s="86">
        <f t="shared" si="4"/>
        <v>150</v>
      </c>
      <c r="B245" s="417"/>
      <c r="C245" s="418" t="s">
        <v>158</v>
      </c>
      <c r="D245" s="419"/>
      <c r="E245" s="420"/>
      <c r="F245" s="147" t="str">
        <f>"(Sum Lines "&amp;A239&amp;" to "&amp;A244&amp;")"</f>
        <v>(Sum Lines 144 to 149)</v>
      </c>
      <c r="G245" s="421"/>
      <c r="H245" s="471">
        <f>SUM(H239:H244)</f>
        <v>805068.12234305136</v>
      </c>
    </row>
    <row r="246" spans="1:8">
      <c r="A246" s="129"/>
      <c r="B246" s="6"/>
      <c r="C246" s="52"/>
      <c r="D246" s="52"/>
      <c r="E246" s="63"/>
      <c r="F246" s="9"/>
      <c r="G246" s="9"/>
      <c r="H246" s="40"/>
    </row>
    <row r="247" spans="1:8">
      <c r="A247" s="29"/>
      <c r="B247" s="116" t="s">
        <v>102</v>
      </c>
      <c r="C247" s="158"/>
      <c r="D247" s="52"/>
      <c r="E247" s="63"/>
      <c r="F247" s="9"/>
      <c r="G247" s="9"/>
      <c r="H247" s="40"/>
    </row>
    <row r="248" spans="1:8">
      <c r="A248" s="29">
        <f>+A245+1</f>
        <v>151</v>
      </c>
      <c r="B248" s="29"/>
      <c r="C248" s="52" t="str">
        <f>C245</f>
        <v>Revenue Requirement</v>
      </c>
      <c r="D248" s="201"/>
      <c r="E248" s="63"/>
      <c r="F248" s="9" t="str">
        <f>"(Line "&amp;A245&amp;")"</f>
        <v>(Line 150)</v>
      </c>
      <c r="G248" s="9"/>
      <c r="H248" s="257">
        <f>H245</f>
        <v>805068.12234305136</v>
      </c>
    </row>
    <row r="249" spans="1:8">
      <c r="A249" s="29">
        <f>+A248+1</f>
        <v>152</v>
      </c>
      <c r="B249" s="29"/>
      <c r="C249" s="52" t="s">
        <v>345</v>
      </c>
      <c r="D249" s="52"/>
      <c r="E249" s="63"/>
      <c r="F249" s="9" t="str">
        <f>"(Line "&amp;A45&amp;" - "&amp;A62&amp;")"</f>
        <v>(Line 24 - 35)</v>
      </c>
      <c r="G249" s="9"/>
      <c r="H249" s="140">
        <f>+H45-H62</f>
        <v>4837251.2086227033</v>
      </c>
    </row>
    <row r="250" spans="1:8">
      <c r="A250" s="29">
        <f>+A249+1</f>
        <v>153</v>
      </c>
      <c r="B250" s="29"/>
      <c r="C250" s="52" t="s">
        <v>103</v>
      </c>
      <c r="D250" s="52"/>
      <c r="E250" s="63"/>
      <c r="F250" s="9" t="str">
        <f>"(Line "&amp;A248&amp;" / "&amp;A249&amp;")"</f>
        <v>(Line 151 / 152)</v>
      </c>
      <c r="G250" s="9"/>
      <c r="H250" s="40">
        <f>+H248/H249</f>
        <v>0.16643091037074259</v>
      </c>
    </row>
    <row r="251" spans="1:8">
      <c r="A251" s="29">
        <f>+A250+1</f>
        <v>154</v>
      </c>
      <c r="B251" s="29"/>
      <c r="C251" s="52" t="s">
        <v>104</v>
      </c>
      <c r="D251" s="52"/>
      <c r="E251" s="63"/>
      <c r="F251" s="9" t="str">
        <f>"(Line "&amp;A248&amp;" - "&amp;A146&amp;") / "&amp;A249</f>
        <v>(Line 151 - 86) / 152</v>
      </c>
      <c r="G251" s="9"/>
      <c r="H251" s="40">
        <f>(H248-H146)/H249</f>
        <v>0.13697777270881656</v>
      </c>
    </row>
    <row r="252" spans="1:8">
      <c r="A252" s="29">
        <f>+A251+1</f>
        <v>155</v>
      </c>
      <c r="B252" s="29"/>
      <c r="C252" s="52" t="s">
        <v>485</v>
      </c>
      <c r="D252" s="52"/>
      <c r="E252" s="64"/>
      <c r="F252" s="27" t="str">
        <f>"(Line "&amp;A248&amp;" - "&amp;A146&amp;" - "&amp;A210&amp;" - "&amp;A230&amp;") / "&amp;A249</f>
        <v>(Line 151 - 86 - 130 - 140) / 152</v>
      </c>
      <c r="G252" s="9"/>
      <c r="H252" s="40">
        <f>(H248-H146-H210-H230)/H249</f>
        <v>2.9207795866229607E-2</v>
      </c>
    </row>
    <row r="253" spans="1:8">
      <c r="A253" s="29"/>
      <c r="B253" s="29"/>
      <c r="C253" s="52"/>
      <c r="D253" s="52"/>
      <c r="E253" s="64"/>
      <c r="F253" s="27"/>
      <c r="G253" s="9"/>
      <c r="H253" s="40"/>
    </row>
    <row r="254" spans="1:8">
      <c r="A254" s="230"/>
      <c r="B254" s="230"/>
      <c r="C254" s="52"/>
      <c r="D254" s="52"/>
      <c r="E254" s="102"/>
      <c r="F254" s="35"/>
      <c r="G254" s="37"/>
      <c r="H254" s="207"/>
    </row>
    <row r="255" spans="1:8">
      <c r="A255" s="230"/>
      <c r="B255" s="116" t="s">
        <v>996</v>
      </c>
      <c r="C255" s="52"/>
      <c r="D255" s="52"/>
      <c r="E255" s="106"/>
      <c r="F255" s="37"/>
      <c r="G255" s="37"/>
      <c r="H255" s="207"/>
    </row>
    <row r="256" spans="1:8">
      <c r="A256" s="230">
        <f>+A252+1</f>
        <v>156</v>
      </c>
      <c r="B256" s="230"/>
      <c r="C256" s="52" t="s">
        <v>655</v>
      </c>
      <c r="D256" s="52"/>
      <c r="E256" s="106"/>
      <c r="F256" s="35" t="str">
        <f>"(Line "&amp;A245&amp;" - "&amp;A242&amp;" - "&amp;A243&amp;")"</f>
        <v>(Line 150 - 147 - 148)</v>
      </c>
      <c r="G256" s="37"/>
      <c r="H256" s="258">
        <f>+H245-H242-H243</f>
        <v>283757.67160800693</v>
      </c>
    </row>
    <row r="257" spans="1:228">
      <c r="A257" s="230">
        <f>+A256+1</f>
        <v>157</v>
      </c>
      <c r="B257" s="230"/>
      <c r="C257" s="52" t="s">
        <v>656</v>
      </c>
      <c r="D257" s="116"/>
      <c r="E257" s="106"/>
      <c r="F257" s="35" t="s">
        <v>114</v>
      </c>
      <c r="G257" s="37"/>
      <c r="H257" s="208">
        <f>'ATT4 - Basis Pt ROE'!I10</f>
        <v>558375.1920569872</v>
      </c>
    </row>
    <row r="258" spans="1:228">
      <c r="A258" s="230">
        <f>+A257+1</f>
        <v>158</v>
      </c>
      <c r="B258" s="230"/>
      <c r="C258" s="748" t="s">
        <v>997</v>
      </c>
      <c r="D258" s="52"/>
      <c r="E258" s="106"/>
      <c r="F258" s="35" t="str">
        <f>"(Line "&amp;A256&amp;" + "&amp;A257&amp;")"</f>
        <v>(Line 156 + 157)</v>
      </c>
      <c r="G258" s="37"/>
      <c r="H258" s="208">
        <f>+H257+H256</f>
        <v>842132.86366499413</v>
      </c>
    </row>
    <row r="259" spans="1:228">
      <c r="A259" s="230">
        <f>+A258+1</f>
        <v>159</v>
      </c>
      <c r="B259" s="230"/>
      <c r="C259" s="52" t="str">
        <f>+C249</f>
        <v>Net Transmission Plant</v>
      </c>
      <c r="D259" s="52"/>
      <c r="E259" s="106"/>
      <c r="F259" s="9" t="str">
        <f>"(Line "&amp;A249&amp;")"</f>
        <v>(Line 152)</v>
      </c>
      <c r="G259" s="37"/>
      <c r="H259" s="208">
        <f>+H249</f>
        <v>4837251.2086227033</v>
      </c>
    </row>
    <row r="260" spans="1:228">
      <c r="A260" s="230">
        <f>+A259+1</f>
        <v>160</v>
      </c>
      <c r="B260" s="230"/>
      <c r="C260" s="748" t="s">
        <v>998</v>
      </c>
      <c r="D260" s="52"/>
      <c r="E260" s="106"/>
      <c r="F260" s="37" t="str">
        <f>"(Line "&amp;A258&amp;" / "&amp;A259&amp;")"</f>
        <v>(Line 158 / 159)</v>
      </c>
      <c r="G260" s="37"/>
      <c r="H260" s="207">
        <f>+H258/H259</f>
        <v>0.17409326647411644</v>
      </c>
    </row>
    <row r="261" spans="1:228">
      <c r="A261" s="230">
        <f>+A260+1</f>
        <v>161</v>
      </c>
      <c r="B261" s="230"/>
      <c r="C261" s="748" t="s">
        <v>999</v>
      </c>
      <c r="D261" s="52"/>
      <c r="E261" s="106"/>
      <c r="F261" s="37" t="str">
        <f>"(Line "&amp;A258&amp;" - "&amp;A146&amp;") / "&amp;A259</f>
        <v>(Line 158 - 86) / 159</v>
      </c>
      <c r="G261" s="37"/>
      <c r="H261" s="207">
        <f>(H258-H146)/H259</f>
        <v>0.1446401288121904</v>
      </c>
    </row>
    <row r="262" spans="1:228">
      <c r="A262" s="230"/>
      <c r="B262" s="230"/>
      <c r="C262" s="52"/>
      <c r="D262" s="52"/>
      <c r="E262" s="422"/>
      <c r="F262" s="37"/>
      <c r="G262" s="37"/>
      <c r="H262" s="207"/>
    </row>
    <row r="263" spans="1:228">
      <c r="A263" s="230">
        <f>+A261+1</f>
        <v>162</v>
      </c>
      <c r="B263" s="230"/>
      <c r="C263" s="116" t="s">
        <v>158</v>
      </c>
      <c r="D263" s="52"/>
      <c r="E263" s="106"/>
      <c r="F263" s="9" t="str">
        <f>"(Line "&amp;A245&amp;")"</f>
        <v>(Line 150)</v>
      </c>
      <c r="G263" s="37"/>
      <c r="H263" s="258">
        <f>H245</f>
        <v>805068.12234305136</v>
      </c>
    </row>
    <row r="264" spans="1:228">
      <c r="A264" s="230">
        <f t="shared" ref="A264:A269" si="5">+A263+1</f>
        <v>163</v>
      </c>
      <c r="B264" s="230"/>
      <c r="C264" s="52" t="s">
        <v>32</v>
      </c>
      <c r="D264" s="52"/>
      <c r="E264" s="102"/>
      <c r="F264" s="150" t="s">
        <v>661</v>
      </c>
      <c r="G264" s="37"/>
      <c r="H264" s="1042">
        <f>'ATT6- True-Up Adjustment NITS '!I62</f>
        <v>50355.531621442075</v>
      </c>
    </row>
    <row r="265" spans="1:228">
      <c r="A265" s="230">
        <f t="shared" si="5"/>
        <v>164</v>
      </c>
      <c r="B265" s="230"/>
      <c r="C265" s="52" t="s">
        <v>662</v>
      </c>
      <c r="D265" s="52"/>
      <c r="E265" s="102"/>
      <c r="F265" s="34" t="s">
        <v>115</v>
      </c>
      <c r="G265" s="37"/>
      <c r="H265" s="1042">
        <f>('ATT7 - Cap Add WS'!NI62-'ATT7 - Cap Add WS'!NJ61)/1000</f>
        <v>3262.9597127906604</v>
      </c>
    </row>
    <row r="266" spans="1:228">
      <c r="A266" s="230">
        <f t="shared" si="5"/>
        <v>165</v>
      </c>
      <c r="B266" s="29"/>
      <c r="C266" s="35" t="s">
        <v>825</v>
      </c>
      <c r="D266" s="181"/>
      <c r="E266" s="102"/>
      <c r="F266" s="35" t="s">
        <v>657</v>
      </c>
      <c r="G266" s="9"/>
      <c r="H266" s="1042">
        <f>+'ATT5 - Cost Support 1'!S161</f>
        <v>2146.98</v>
      </c>
      <c r="HT266" s="49">
        <f>SUM(A266:HS266)</f>
        <v>2311.98</v>
      </c>
    </row>
    <row r="267" spans="1:228">
      <c r="A267" s="230">
        <f t="shared" si="5"/>
        <v>166</v>
      </c>
      <c r="B267" s="29"/>
      <c r="C267" s="35" t="s">
        <v>609</v>
      </c>
      <c r="D267" s="181"/>
      <c r="E267" s="102"/>
      <c r="F267" s="35" t="s">
        <v>465</v>
      </c>
      <c r="G267" s="9"/>
      <c r="H267" s="1042">
        <f>-'ATT3 - Revenue Credits'!D23</f>
        <v>-10147.169999999998</v>
      </c>
    </row>
    <row r="268" spans="1:228">
      <c r="A268" s="230">
        <f t="shared" si="5"/>
        <v>167</v>
      </c>
      <c r="B268" s="29"/>
      <c r="C268" s="35" t="s">
        <v>502</v>
      </c>
      <c r="D268" s="181"/>
      <c r="E268" s="102"/>
      <c r="F268" s="35" t="s">
        <v>503</v>
      </c>
      <c r="G268" s="9"/>
      <c r="H268" s="1049">
        <v>0</v>
      </c>
    </row>
    <row r="269" spans="1:228">
      <c r="A269" s="230">
        <f t="shared" si="5"/>
        <v>168</v>
      </c>
      <c r="B269" s="29"/>
      <c r="C269" s="116" t="s">
        <v>476</v>
      </c>
      <c r="D269" s="52"/>
      <c r="E269" s="64"/>
      <c r="F269" s="9" t="str">
        <f>"(Line "&amp;A263&amp;" + "&amp;A264&amp;" +"&amp;A265&amp;" + "&amp;A266&amp;" + "&amp;A267&amp;" + "&amp;A268&amp;")"</f>
        <v>(Line 162 + 163 +164 + 165 + 166 + 167)</v>
      </c>
      <c r="G269" s="9"/>
      <c r="H269" s="1043">
        <f>SUM(H263:H268)</f>
        <v>850686.42367728404</v>
      </c>
    </row>
    <row r="270" spans="1:228">
      <c r="A270" s="29"/>
      <c r="B270" s="6"/>
      <c r="C270" s="52"/>
      <c r="D270" s="52"/>
      <c r="E270" s="63"/>
      <c r="F270" s="34"/>
      <c r="G270" s="9"/>
      <c r="H270" s="1041"/>
    </row>
    <row r="271" spans="1:228">
      <c r="A271" s="29"/>
      <c r="B271" s="65" t="s">
        <v>69</v>
      </c>
      <c r="C271" s="52"/>
      <c r="D271" s="52"/>
      <c r="E271" s="63"/>
      <c r="F271" s="9"/>
      <c r="G271" s="9"/>
      <c r="H271" s="1041"/>
    </row>
    <row r="272" spans="1:228">
      <c r="A272" s="29">
        <f>+A269+1</f>
        <v>169</v>
      </c>
      <c r="B272" s="6"/>
      <c r="C272" s="9" t="s">
        <v>714</v>
      </c>
      <c r="D272" s="9"/>
      <c r="E272" s="102" t="str">
        <f>"(Note "&amp;B$298&amp;")"</f>
        <v>(Note L)</v>
      </c>
      <c r="F272" s="748" t="s">
        <v>369</v>
      </c>
      <c r="G272" s="52"/>
      <c r="H272" s="1044">
        <f>'ATT5 - Cost Support 1'!S169</f>
        <v>19785</v>
      </c>
    </row>
    <row r="273" spans="1:8">
      <c r="A273" s="29">
        <f>+A272+1</f>
        <v>170</v>
      </c>
      <c r="B273" s="6"/>
      <c r="C273" s="9" t="s">
        <v>713</v>
      </c>
      <c r="D273" s="270"/>
      <c r="E273" s="271"/>
      <c r="F273" s="25" t="str">
        <f>"(Line "&amp;A269&amp;" / "&amp;A272&amp;")"</f>
        <v>(Line 168 / 169)</v>
      </c>
      <c r="G273" s="272"/>
      <c r="H273" s="1045">
        <f>+H269/H272*1000</f>
        <v>42996.53392354228</v>
      </c>
    </row>
    <row r="274" spans="1:8" ht="16.3" thickBot="1">
      <c r="A274" s="6"/>
      <c r="B274" s="6"/>
      <c r="C274" s="9"/>
      <c r="D274" s="9"/>
      <c r="E274" s="107"/>
      <c r="F274" s="272"/>
      <c r="G274" s="272"/>
      <c r="H274" s="1046"/>
    </row>
    <row r="275" spans="1:8" s="56" customFormat="1" ht="19.05" thickBot="1">
      <c r="A275" s="86">
        <f>+A273+1</f>
        <v>171</v>
      </c>
      <c r="B275" s="90"/>
      <c r="C275" s="87" t="s">
        <v>1000</v>
      </c>
      <c r="D275" s="90"/>
      <c r="E275" s="90"/>
      <c r="F275" s="90" t="str">
        <f>"(Line "&amp;A273&amp;")"</f>
        <v>(Line 170)</v>
      </c>
      <c r="G275" s="90"/>
      <c r="H275" s="472">
        <f>+H273</f>
        <v>42996.53392354228</v>
      </c>
    </row>
    <row r="276" spans="1:8" s="56" customFormat="1">
      <c r="A276" s="129"/>
      <c r="B276" s="231"/>
      <c r="C276" s="37"/>
      <c r="D276" s="37"/>
      <c r="E276" s="107"/>
      <c r="F276" s="272"/>
      <c r="G276" s="272"/>
      <c r="H276" s="273"/>
    </row>
    <row r="277" spans="1:8" s="56" customFormat="1" ht="18.350000000000001">
      <c r="A277" s="89"/>
      <c r="B277" s="91" t="s">
        <v>847</v>
      </c>
      <c r="C277" s="37"/>
      <c r="D277" s="37"/>
      <c r="E277" s="274"/>
      <c r="F277" s="272"/>
      <c r="G277" s="272"/>
      <c r="H277" s="423"/>
    </row>
    <row r="278" spans="1:8" s="56" customFormat="1">
      <c r="A278" s="261"/>
      <c r="B278" s="763" t="s">
        <v>632</v>
      </c>
      <c r="C278" s="764" t="s">
        <v>871</v>
      </c>
      <c r="D278" s="37"/>
      <c r="E278" s="274"/>
      <c r="F278" s="878"/>
      <c r="G278" s="272"/>
      <c r="H278" s="851"/>
    </row>
    <row r="279" spans="1:8" s="56" customFormat="1" ht="16.3" customHeight="1">
      <c r="A279" s="342"/>
      <c r="B279" s="763" t="s">
        <v>814</v>
      </c>
      <c r="C279" s="765" t="s">
        <v>240</v>
      </c>
      <c r="D279" s="276"/>
      <c r="E279" s="277"/>
      <c r="F279" s="278"/>
      <c r="G279" s="272"/>
      <c r="H279" s="273"/>
    </row>
    <row r="280" spans="1:8" s="56" customFormat="1" ht="15.65" customHeight="1">
      <c r="A280" s="342"/>
      <c r="B280" s="763" t="s">
        <v>610</v>
      </c>
      <c r="C280" s="765" t="s">
        <v>872</v>
      </c>
      <c r="D280" s="37"/>
      <c r="E280" s="274"/>
      <c r="F280" s="272"/>
      <c r="G280" s="272"/>
      <c r="H280" s="279"/>
    </row>
    <row r="281" spans="1:8" s="56" customFormat="1" ht="15.65" customHeight="1">
      <c r="A281" s="342"/>
      <c r="B281" s="763" t="s">
        <v>633</v>
      </c>
      <c r="C281" s="766" t="s">
        <v>873</v>
      </c>
      <c r="D281" s="37"/>
      <c r="E281" s="274"/>
      <c r="F281" s="272"/>
      <c r="G281" s="272"/>
      <c r="H281" s="273"/>
    </row>
    <row r="282" spans="1:8" s="56" customFormat="1" ht="16.3" customHeight="1">
      <c r="A282" s="342"/>
      <c r="B282" s="763" t="s">
        <v>631</v>
      </c>
      <c r="C282" s="767" t="s">
        <v>874</v>
      </c>
      <c r="D282" s="37"/>
      <c r="E282" s="274"/>
      <c r="F282" s="272"/>
      <c r="G282" s="272"/>
      <c r="H282" s="273"/>
    </row>
    <row r="283" spans="1:8" s="56" customFormat="1">
      <c r="A283" s="342"/>
      <c r="B283" s="763" t="s">
        <v>419</v>
      </c>
      <c r="C283" s="766" t="s">
        <v>875</v>
      </c>
      <c r="D283" s="37"/>
      <c r="E283" s="274"/>
      <c r="F283" s="272"/>
      <c r="G283" s="272"/>
      <c r="H283" s="273"/>
    </row>
    <row r="284" spans="1:8" s="56" customFormat="1">
      <c r="A284" s="342"/>
      <c r="B284" s="763" t="s">
        <v>634</v>
      </c>
      <c r="C284" s="766" t="s">
        <v>876</v>
      </c>
      <c r="D284" s="37"/>
      <c r="E284" s="274"/>
      <c r="F284" s="272"/>
      <c r="G284" s="272"/>
      <c r="H284" s="273"/>
    </row>
    <row r="285" spans="1:8" s="56" customFormat="1">
      <c r="A285" s="342"/>
      <c r="B285" s="763" t="s">
        <v>496</v>
      </c>
      <c r="C285" s="768" t="s">
        <v>1001</v>
      </c>
      <c r="D285" s="37"/>
      <c r="E285" s="107"/>
      <c r="F285" s="272"/>
      <c r="G285" s="272"/>
      <c r="H285" s="273"/>
    </row>
    <row r="286" spans="1:8" s="56" customFormat="1">
      <c r="A286" s="342"/>
      <c r="B286" s="763"/>
      <c r="C286" s="768" t="s">
        <v>1002</v>
      </c>
      <c r="D286" s="37"/>
      <c r="E286" s="107"/>
      <c r="F286" s="272"/>
      <c r="G286" s="272"/>
      <c r="H286" s="273"/>
    </row>
    <row r="287" spans="1:8" s="56" customFormat="1">
      <c r="A287" s="342"/>
      <c r="B287" s="763"/>
      <c r="C287" s="768" t="s">
        <v>216</v>
      </c>
      <c r="D287" s="37"/>
      <c r="E287" s="107"/>
      <c r="F287" s="272"/>
      <c r="G287" s="272"/>
      <c r="H287" s="273"/>
    </row>
    <row r="288" spans="1:8" s="56" customFormat="1">
      <c r="A288" s="342"/>
      <c r="B288" s="763" t="s">
        <v>618</v>
      </c>
      <c r="C288" s="766" t="s">
        <v>486</v>
      </c>
      <c r="D288" s="37"/>
      <c r="E288" s="274"/>
      <c r="F288" s="272"/>
      <c r="G288" s="272"/>
      <c r="H288" s="273"/>
    </row>
    <row r="289" spans="1:8">
      <c r="A289" s="342"/>
      <c r="B289" s="763"/>
      <c r="C289" s="766" t="s">
        <v>877</v>
      </c>
      <c r="D289" s="37"/>
      <c r="E289" s="274"/>
      <c r="F289" s="272"/>
      <c r="G289" s="272"/>
      <c r="H289" s="273"/>
    </row>
    <row r="290" spans="1:8">
      <c r="A290" s="342"/>
      <c r="B290" s="763"/>
      <c r="C290" s="766" t="s">
        <v>659</v>
      </c>
      <c r="D290" s="37"/>
      <c r="E290" s="274"/>
      <c r="F290" s="272"/>
      <c r="G290" s="272"/>
      <c r="H290" s="273"/>
    </row>
    <row r="291" spans="1:8">
      <c r="A291" s="342"/>
      <c r="B291" s="763"/>
      <c r="C291" s="766" t="s">
        <v>428</v>
      </c>
      <c r="D291" s="37"/>
      <c r="E291" s="274"/>
      <c r="F291" s="272"/>
      <c r="G291" s="272"/>
      <c r="H291" s="273"/>
    </row>
    <row r="292" spans="1:8">
      <c r="A292" s="342"/>
      <c r="B292" s="763"/>
      <c r="C292" s="766" t="s">
        <v>643</v>
      </c>
      <c r="D292" s="37"/>
      <c r="E292" s="274"/>
      <c r="F292" s="272"/>
      <c r="G292" s="272"/>
      <c r="H292" s="273"/>
    </row>
    <row r="293" spans="1:8">
      <c r="A293" s="342"/>
      <c r="B293" s="763"/>
      <c r="C293" s="766" t="s">
        <v>344</v>
      </c>
      <c r="D293" s="37"/>
      <c r="E293" s="274"/>
      <c r="F293" s="272"/>
      <c r="G293" s="272"/>
      <c r="H293" s="273"/>
    </row>
    <row r="294" spans="1:8">
      <c r="A294" s="342"/>
      <c r="B294" s="763" t="s">
        <v>620</v>
      </c>
      <c r="C294" s="766" t="s">
        <v>1003</v>
      </c>
      <c r="D294" s="37"/>
      <c r="E294" s="274"/>
      <c r="F294" s="272"/>
      <c r="G294" s="272"/>
      <c r="H294" s="273"/>
    </row>
    <row r="295" spans="1:8">
      <c r="A295" s="342"/>
      <c r="B295" s="763"/>
      <c r="C295" s="766" t="s">
        <v>1004</v>
      </c>
      <c r="D295" s="37"/>
      <c r="E295" s="274"/>
      <c r="F295" s="272"/>
      <c r="G295" s="272"/>
      <c r="H295" s="273"/>
    </row>
    <row r="296" spans="1:8">
      <c r="A296" s="342"/>
      <c r="B296" s="763"/>
      <c r="C296" s="766" t="s">
        <v>1005</v>
      </c>
      <c r="D296" s="37"/>
      <c r="E296" s="274"/>
      <c r="F296" s="272"/>
      <c r="G296" s="272"/>
      <c r="H296" s="273"/>
    </row>
    <row r="297" spans="1:8">
      <c r="A297" s="342"/>
      <c r="B297" s="763" t="s">
        <v>636</v>
      </c>
      <c r="C297" s="764" t="s">
        <v>881</v>
      </c>
      <c r="D297" s="37"/>
      <c r="E297" s="274"/>
      <c r="F297" s="272"/>
      <c r="G297" s="272"/>
      <c r="H297" s="273"/>
    </row>
    <row r="298" spans="1:8">
      <c r="A298" s="342"/>
      <c r="B298" s="763" t="s">
        <v>719</v>
      </c>
      <c r="C298" s="764" t="s">
        <v>869</v>
      </c>
      <c r="D298" s="37"/>
      <c r="E298" s="274"/>
      <c r="F298" s="272"/>
      <c r="G298" s="272"/>
      <c r="H298" s="273"/>
    </row>
    <row r="299" spans="1:8">
      <c r="A299" s="29"/>
      <c r="B299" s="769" t="s">
        <v>720</v>
      </c>
      <c r="C299" s="767" t="s">
        <v>660</v>
      </c>
      <c r="D299" s="9"/>
      <c r="E299" s="274"/>
      <c r="F299" s="272"/>
      <c r="G299" s="272"/>
      <c r="H299" s="273"/>
    </row>
    <row r="300" spans="1:8">
      <c r="A300" s="29"/>
      <c r="B300" s="769" t="s">
        <v>420</v>
      </c>
      <c r="C300" s="770" t="s">
        <v>882</v>
      </c>
      <c r="D300" s="9"/>
      <c r="E300" s="274"/>
      <c r="F300" s="272"/>
      <c r="G300" s="272"/>
      <c r="H300" s="273"/>
    </row>
    <row r="301" spans="1:8">
      <c r="A301" s="29"/>
      <c r="B301" s="769"/>
      <c r="C301" s="770" t="s">
        <v>487</v>
      </c>
      <c r="D301" s="9"/>
      <c r="E301" s="274"/>
      <c r="F301" s="272"/>
      <c r="G301" s="272"/>
      <c r="H301" s="273"/>
    </row>
    <row r="302" spans="1:8">
      <c r="A302" s="29"/>
      <c r="B302" s="769"/>
      <c r="C302" s="770" t="s">
        <v>504</v>
      </c>
      <c r="D302" s="9"/>
      <c r="E302" s="274"/>
      <c r="F302" s="272"/>
      <c r="G302" s="272"/>
      <c r="H302" s="273"/>
    </row>
    <row r="303" spans="1:8">
      <c r="A303" s="29"/>
      <c r="B303" s="769" t="s">
        <v>450</v>
      </c>
      <c r="C303" s="770" t="s">
        <v>883</v>
      </c>
      <c r="D303" s="27"/>
      <c r="E303" s="277"/>
      <c r="F303" s="281"/>
      <c r="G303" s="272"/>
      <c r="H303" s="273"/>
    </row>
    <row r="304" spans="1:8">
      <c r="A304" s="29"/>
      <c r="B304" s="769"/>
      <c r="C304" s="770" t="s">
        <v>241</v>
      </c>
      <c r="D304" s="27"/>
      <c r="E304" s="277"/>
      <c r="F304" s="281"/>
      <c r="G304" s="272"/>
      <c r="H304" s="273"/>
    </row>
    <row r="305" spans="1:8" ht="18.350000000000001">
      <c r="A305" s="424"/>
      <c r="B305" s="763" t="s">
        <v>666</v>
      </c>
      <c r="C305" s="53" t="s">
        <v>39</v>
      </c>
      <c r="D305" s="198"/>
      <c r="E305" s="153"/>
      <c r="F305" s="153"/>
      <c r="G305" s="89"/>
      <c r="H305" s="89"/>
    </row>
    <row r="306" spans="1:8">
      <c r="A306" s="230"/>
      <c r="B306" s="763" t="s">
        <v>821</v>
      </c>
      <c r="C306" s="764" t="s">
        <v>822</v>
      </c>
      <c r="D306" s="35"/>
      <c r="E306" s="277"/>
      <c r="F306" s="281"/>
      <c r="G306" s="272"/>
      <c r="H306" s="273"/>
    </row>
    <row r="307" spans="1:8">
      <c r="A307" s="230"/>
      <c r="B307" s="763" t="s">
        <v>823</v>
      </c>
      <c r="C307" s="764" t="s">
        <v>281</v>
      </c>
      <c r="D307" s="35"/>
      <c r="E307" s="277"/>
      <c r="F307" s="281"/>
      <c r="G307" s="272"/>
      <c r="H307" s="273"/>
    </row>
    <row r="308" spans="1:8">
      <c r="A308" s="230"/>
      <c r="B308" s="763" t="s">
        <v>884</v>
      </c>
      <c r="C308" s="764" t="s">
        <v>33</v>
      </c>
      <c r="D308" s="35"/>
      <c r="E308" s="277"/>
      <c r="F308" s="281"/>
      <c r="G308" s="272"/>
      <c r="H308" s="273"/>
    </row>
    <row r="309" spans="1:8">
      <c r="A309" s="230"/>
      <c r="B309" s="763" t="s">
        <v>854</v>
      </c>
      <c r="C309" s="53" t="s">
        <v>1006</v>
      </c>
      <c r="D309" s="214"/>
      <c r="E309" s="214"/>
      <c r="F309" s="214"/>
      <c r="G309" s="214"/>
      <c r="H309" s="214"/>
    </row>
    <row r="310" spans="1:8">
      <c r="A310" s="230"/>
      <c r="B310" s="763"/>
      <c r="C310" s="53" t="s">
        <v>139</v>
      </c>
      <c r="D310" s="214"/>
      <c r="E310" s="214"/>
      <c r="F310" s="214"/>
      <c r="G310" s="214"/>
      <c r="H310" s="214"/>
    </row>
    <row r="311" spans="1:8">
      <c r="A311" s="230"/>
      <c r="B311" s="151"/>
      <c r="C311" s="35"/>
      <c r="D311" s="35"/>
      <c r="E311" s="277"/>
      <c r="F311" s="281"/>
      <c r="G311" s="272"/>
      <c r="H311" s="273"/>
    </row>
    <row r="312" spans="1:8">
      <c r="A312" s="230"/>
      <c r="B312" s="230"/>
      <c r="C312" s="35"/>
      <c r="D312" s="35"/>
      <c r="E312" s="277"/>
      <c r="F312" s="281"/>
      <c r="G312" s="272"/>
      <c r="H312" s="273"/>
    </row>
    <row r="313" spans="1:8">
      <c r="A313" s="230"/>
      <c r="B313" s="230"/>
      <c r="C313" s="35"/>
      <c r="D313" s="35"/>
      <c r="E313" s="277"/>
      <c r="F313" s="281"/>
      <c r="G313" s="272"/>
      <c r="H313" s="273"/>
    </row>
    <row r="314" spans="1:8">
      <c r="A314" s="230"/>
      <c r="B314" s="230"/>
      <c r="C314" s="35"/>
      <c r="D314" s="35"/>
      <c r="E314" s="277"/>
      <c r="F314" s="281"/>
      <c r="G314" s="272"/>
      <c r="H314" s="273"/>
    </row>
    <row r="315" spans="1:8">
      <c r="A315" s="230"/>
      <c r="B315" s="230"/>
      <c r="C315" s="35"/>
      <c r="D315" s="35"/>
      <c r="E315" s="277"/>
      <c r="F315" s="281"/>
      <c r="G315" s="272"/>
      <c r="H315" s="273"/>
    </row>
    <row r="316" spans="1:8">
      <c r="A316" s="842"/>
      <c r="B316" s="843"/>
      <c r="C316" s="843"/>
      <c r="D316" s="843"/>
      <c r="E316" s="844"/>
      <c r="F316" s="845"/>
      <c r="G316" s="845"/>
      <c r="H316" s="846"/>
    </row>
    <row r="317" spans="1:8">
      <c r="H317" s="81"/>
    </row>
    <row r="318" spans="1:8" ht="25.15">
      <c r="A318" s="1150" t="s">
        <v>1193</v>
      </c>
      <c r="B318" s="1151"/>
      <c r="C318" s="1151"/>
      <c r="D318" s="1151"/>
      <c r="E318" s="1151"/>
      <c r="F318" s="1151"/>
      <c r="G318" s="1151"/>
      <c r="H318" s="1151"/>
    </row>
    <row r="319" spans="1:8">
      <c r="H319" s="80"/>
    </row>
  </sheetData>
  <mergeCells count="1">
    <mergeCell ref="A318:H318"/>
  </mergeCells>
  <phoneticPr fontId="45" type="noConversion"/>
  <printOptions horizontalCentered="1"/>
  <pageMargins left="0.5" right="0.5" top="0.75" bottom="0.5" header="0.5" footer="0.5"/>
  <pageSetup scale="47" fitToHeight="4" orientation="portrait" r:id="rId1"/>
  <headerFooter alignWithMargins="0">
    <oddHeader>&amp;RPage &amp;P of &amp;N</oddHeader>
  </headerFooter>
  <rowBreaks count="3" manualBreakCount="3">
    <brk id="74" max="7" man="1"/>
    <brk id="142" max="7" man="1"/>
    <brk id="231" max="7" man="1"/>
  </rowBreaks>
</worksheet>
</file>

<file path=xl/worksheets/sheet10.xml><?xml version="1.0" encoding="utf-8"?>
<worksheet xmlns="http://schemas.openxmlformats.org/spreadsheetml/2006/main" xmlns:r="http://schemas.openxmlformats.org/officeDocument/2006/relationships">
  <sheetPr codeName="Sheet7"/>
  <dimension ref="A1:AD190"/>
  <sheetViews>
    <sheetView view="pageBreakPreview" zoomScale="70" zoomScaleNormal="40" zoomScaleSheetLayoutView="70" workbookViewId="0">
      <pane xSplit="6" ySplit="6" topLeftCell="G7" activePane="bottomRight" state="frozen"/>
      <selection activeCell="H282" sqref="F281:H282"/>
      <selection pane="topRight" activeCell="H282" sqref="F281:H282"/>
      <selection pane="bottomLeft" activeCell="H282" sqref="F281:H282"/>
      <selection pane="bottomRight" activeCell="G23" sqref="G23"/>
    </sheetView>
  </sheetViews>
  <sheetFormatPr defaultColWidth="9.125" defaultRowHeight="14.3"/>
  <cols>
    <col min="1" max="1" width="9.625" style="501" customWidth="1"/>
    <col min="2" max="2" width="3.125" style="501" customWidth="1"/>
    <col min="3" max="3" width="51.75" style="501" customWidth="1"/>
    <col min="4" max="4" width="12" style="501" bestFit="1" customWidth="1"/>
    <col min="5" max="5" width="14.25" style="501" bestFit="1" customWidth="1"/>
    <col min="6" max="6" width="33.25" style="501" customWidth="1"/>
    <col min="7" max="7" width="14.875" style="501" customWidth="1"/>
    <col min="8" max="8" width="15" style="501" bestFit="1" customWidth="1"/>
    <col min="9" max="9" width="13.375" style="501" customWidth="1"/>
    <col min="10" max="10" width="14" style="501" bestFit="1" customWidth="1"/>
    <col min="11" max="11" width="16.25" style="501" customWidth="1"/>
    <col min="12" max="12" width="13.25" style="501" bestFit="1" customWidth="1"/>
    <col min="13" max="13" width="13.625" style="501" bestFit="1" customWidth="1"/>
    <col min="14" max="14" width="13.25" style="501" bestFit="1" customWidth="1"/>
    <col min="15" max="16" width="13.875" style="501" bestFit="1" customWidth="1"/>
    <col min="17" max="17" width="14" style="501" bestFit="1" customWidth="1"/>
    <col min="18" max="18" width="13.25" style="501" bestFit="1" customWidth="1"/>
    <col min="19" max="19" width="18.625" style="501" bestFit="1" customWidth="1"/>
    <col min="20" max="20" width="15.875" style="501" customWidth="1"/>
    <col min="21" max="21" width="22.875" style="501" bestFit="1" customWidth="1"/>
    <col min="22" max="22" width="7.875" style="501" customWidth="1"/>
    <col min="23" max="23" width="11.625" style="501" customWidth="1"/>
    <col min="24" max="24" width="9.625" style="501" customWidth="1"/>
    <col min="25" max="25" width="7.625" style="501" customWidth="1"/>
    <col min="26" max="26" width="2.125" style="501" customWidth="1"/>
    <col min="27" max="27" width="4.125" style="501" customWidth="1"/>
    <col min="28" max="28" width="1.75" style="501" customWidth="1"/>
    <col min="29" max="29" width="6.625" style="501" customWidth="1"/>
    <col min="30" max="30" width="2.875" style="501" customWidth="1"/>
    <col min="31" max="16384" width="9.125" style="501"/>
  </cols>
  <sheetData>
    <row r="1" spans="1:30">
      <c r="A1" s="1225" t="str">
        <f>'Appendix A'!A4</f>
        <v xml:space="preserve">Virginia Electric and Power Company  </v>
      </c>
      <c r="B1" s="1225"/>
      <c r="C1" s="1225"/>
      <c r="D1" s="1225"/>
      <c r="E1" s="1225"/>
      <c r="F1" s="1225"/>
      <c r="G1" s="1225"/>
      <c r="H1" s="1225"/>
      <c r="I1" s="1225"/>
      <c r="J1" s="1225"/>
      <c r="K1" s="1225"/>
      <c r="L1" s="1225"/>
      <c r="M1" s="1225"/>
      <c r="N1" s="1225"/>
      <c r="O1" s="1225"/>
      <c r="P1" s="1225"/>
      <c r="Q1" s="1225"/>
      <c r="R1" s="1225"/>
      <c r="S1" s="1225"/>
      <c r="T1" s="1225"/>
      <c r="U1" s="1225"/>
      <c r="V1" s="1225"/>
      <c r="W1" s="1225"/>
      <c r="X1" s="1225"/>
      <c r="Y1" s="1225"/>
      <c r="Z1" s="1225"/>
      <c r="AA1" s="1225"/>
      <c r="AB1" s="1225"/>
      <c r="AC1" s="1225"/>
      <c r="AD1" s="500"/>
    </row>
    <row r="2" spans="1:30">
      <c r="A2" s="1225" t="s">
        <v>880</v>
      </c>
      <c r="B2" s="1225"/>
      <c r="C2" s="1225"/>
      <c r="D2" s="1225"/>
      <c r="E2" s="1225"/>
      <c r="F2" s="1225"/>
      <c r="G2" s="1225"/>
      <c r="H2" s="1225"/>
      <c r="I2" s="1225"/>
      <c r="J2" s="1225"/>
      <c r="K2" s="1225"/>
      <c r="L2" s="1225"/>
      <c r="M2" s="1225"/>
      <c r="N2" s="1225"/>
      <c r="O2" s="1225"/>
      <c r="P2" s="1225"/>
      <c r="Q2" s="1225"/>
      <c r="R2" s="1225"/>
      <c r="S2" s="1225"/>
      <c r="T2" s="1225"/>
      <c r="U2" s="1225"/>
      <c r="V2" s="1225"/>
      <c r="W2" s="1225"/>
      <c r="X2" s="1225"/>
      <c r="Y2" s="1225"/>
      <c r="Z2" s="1225"/>
      <c r="AA2" s="1225"/>
      <c r="AB2" s="1225"/>
      <c r="AC2" s="1225"/>
      <c r="AD2" s="500"/>
    </row>
    <row r="3" spans="1:30">
      <c r="A3" s="1225" t="s">
        <v>834</v>
      </c>
      <c r="B3" s="1225"/>
      <c r="C3" s="1225"/>
      <c r="D3" s="1225"/>
      <c r="E3" s="1225"/>
      <c r="F3" s="1225"/>
      <c r="G3" s="1225"/>
      <c r="H3" s="1225"/>
      <c r="I3" s="1225"/>
      <c r="J3" s="1225"/>
      <c r="K3" s="1225"/>
      <c r="L3" s="1225"/>
      <c r="M3" s="1225"/>
      <c r="N3" s="1225"/>
      <c r="O3" s="1225"/>
      <c r="P3" s="1225"/>
      <c r="Q3" s="1225"/>
      <c r="R3" s="1225"/>
      <c r="S3" s="1225"/>
      <c r="T3" s="1225"/>
      <c r="U3" s="1225"/>
      <c r="V3" s="1225"/>
      <c r="W3" s="1225"/>
      <c r="X3" s="1225"/>
      <c r="Y3" s="1225"/>
      <c r="Z3" s="1225"/>
      <c r="AA3" s="1225"/>
      <c r="AB3" s="1225"/>
      <c r="AC3" s="1225"/>
      <c r="AD3" s="500"/>
    </row>
    <row r="4" spans="1:30">
      <c r="A4" s="502"/>
      <c r="B4" s="503"/>
      <c r="C4" s="503"/>
      <c r="D4" s="503"/>
      <c r="E4" s="503"/>
      <c r="F4" s="503"/>
      <c r="G4" s="503"/>
      <c r="H4" s="506"/>
      <c r="I4" s="506"/>
      <c r="J4" s="1239" t="s">
        <v>1613</v>
      </c>
      <c r="K4" s="1239"/>
      <c r="L4" s="1239"/>
      <c r="M4" s="1239"/>
      <c r="N4" s="506"/>
      <c r="O4" s="506"/>
      <c r="P4" s="506"/>
      <c r="Q4" s="506"/>
      <c r="R4" s="506"/>
      <c r="S4" s="507"/>
      <c r="AC4" s="508"/>
      <c r="AD4" s="500"/>
    </row>
    <row r="5" spans="1:30" ht="14.95" thickBot="1">
      <c r="A5" s="509" t="s">
        <v>440</v>
      </c>
      <c r="B5" s="510"/>
      <c r="D5" s="511"/>
      <c r="E5" s="512"/>
      <c r="F5" s="506"/>
      <c r="G5" s="513" t="s">
        <v>389</v>
      </c>
      <c r="H5" s="1226" t="s">
        <v>390</v>
      </c>
      <c r="I5" s="1227"/>
      <c r="J5" s="1227"/>
      <c r="K5" s="1227"/>
      <c r="L5" s="1227"/>
      <c r="M5" s="1227"/>
      <c r="N5" s="1227"/>
      <c r="O5" s="1227"/>
      <c r="P5" s="1227"/>
      <c r="Q5" s="1227"/>
      <c r="R5" s="1227"/>
      <c r="S5" s="1228"/>
      <c r="AD5" s="500"/>
    </row>
    <row r="6" spans="1:30">
      <c r="A6" s="514" t="s">
        <v>121</v>
      </c>
      <c r="B6" s="515" t="s">
        <v>122</v>
      </c>
      <c r="C6" s="515"/>
      <c r="D6" s="515"/>
      <c r="E6" s="515" t="s">
        <v>847</v>
      </c>
      <c r="F6" s="516" t="s">
        <v>123</v>
      </c>
      <c r="G6" s="517" t="s">
        <v>388</v>
      </c>
      <c r="H6" s="517" t="s">
        <v>374</v>
      </c>
      <c r="I6" s="517" t="s">
        <v>375</v>
      </c>
      <c r="J6" s="517" t="s">
        <v>376</v>
      </c>
      <c r="K6" s="517" t="s">
        <v>377</v>
      </c>
      <c r="L6" s="517" t="s">
        <v>379</v>
      </c>
      <c r="M6" s="517" t="s">
        <v>380</v>
      </c>
      <c r="N6" s="517" t="s">
        <v>381</v>
      </c>
      <c r="O6" s="517" t="s">
        <v>382</v>
      </c>
      <c r="P6" s="517" t="s">
        <v>383</v>
      </c>
      <c r="Q6" s="517" t="s">
        <v>384</v>
      </c>
      <c r="R6" s="517" t="s">
        <v>385</v>
      </c>
      <c r="S6" s="903" t="s">
        <v>386</v>
      </c>
      <c r="T6" s="903" t="s">
        <v>387</v>
      </c>
      <c r="U6" s="903" t="s">
        <v>399</v>
      </c>
      <c r="V6" s="1195" t="s">
        <v>347</v>
      </c>
      <c r="W6" s="1196"/>
      <c r="X6" s="1196"/>
      <c r="Y6" s="1196"/>
      <c r="Z6" s="1196"/>
      <c r="AA6" s="1196"/>
      <c r="AB6" s="1196"/>
      <c r="AC6" s="1197"/>
      <c r="AD6" s="500"/>
    </row>
    <row r="7" spans="1:30">
      <c r="A7" s="520"/>
      <c r="B7" s="521" t="s">
        <v>808</v>
      </c>
      <c r="C7" s="511"/>
      <c r="D7" s="500"/>
      <c r="E7" s="522"/>
      <c r="F7" s="523"/>
      <c r="G7" s="500"/>
      <c r="H7" s="500"/>
      <c r="I7" s="500"/>
      <c r="J7" s="500"/>
      <c r="K7" s="500"/>
      <c r="L7" s="500"/>
      <c r="M7" s="500"/>
      <c r="N7" s="500"/>
      <c r="O7" s="500"/>
      <c r="P7" s="500"/>
      <c r="Q7" s="500"/>
      <c r="R7" s="500"/>
      <c r="S7" s="500"/>
      <c r="T7" s="500"/>
      <c r="U7" s="500"/>
      <c r="V7" s="1204"/>
      <c r="W7" s="1205"/>
      <c r="X7" s="1205"/>
      <c r="Y7" s="1205"/>
      <c r="Z7" s="1205"/>
      <c r="AA7" s="1205"/>
      <c r="AB7" s="1205"/>
      <c r="AC7" s="1206"/>
      <c r="AD7" s="500"/>
    </row>
    <row r="8" spans="1:30">
      <c r="A8" s="520"/>
      <c r="B8" s="521"/>
      <c r="C8" s="511"/>
      <c r="D8" s="500"/>
      <c r="E8" s="522"/>
      <c r="F8" s="523"/>
      <c r="G8" s="500"/>
      <c r="H8" s="500"/>
      <c r="I8" s="500"/>
      <c r="J8" s="500"/>
      <c r="K8" s="500"/>
      <c r="L8" s="500"/>
      <c r="M8" s="500"/>
      <c r="N8" s="500"/>
      <c r="O8" s="500"/>
      <c r="P8" s="500"/>
      <c r="Q8" s="500"/>
      <c r="R8" s="500"/>
      <c r="S8" s="500"/>
      <c r="T8" s="500"/>
      <c r="U8" s="500"/>
      <c r="V8" s="904"/>
      <c r="W8" s="905"/>
      <c r="X8" s="905"/>
      <c r="Y8" s="905"/>
      <c r="Z8" s="905"/>
      <c r="AA8" s="905"/>
      <c r="AB8" s="905"/>
      <c r="AC8" s="906"/>
      <c r="AD8" s="500"/>
    </row>
    <row r="9" spans="1:30">
      <c r="A9" s="520">
        <v>8</v>
      </c>
      <c r="B9" s="521"/>
      <c r="C9" s="511" t="s">
        <v>818</v>
      </c>
      <c r="D9" s="500"/>
      <c r="E9" s="527" t="str">
        <f>'Appendix A'!E25</f>
        <v>(Notes A &amp; Q)</v>
      </c>
      <c r="F9" s="528" t="s">
        <v>161</v>
      </c>
      <c r="G9" s="529">
        <v>32514132.828731462</v>
      </c>
      <c r="H9" s="529">
        <v>32572880.29714945</v>
      </c>
      <c r="I9" s="529">
        <v>32666363.312181845</v>
      </c>
      <c r="J9" s="529">
        <v>32871132.376631819</v>
      </c>
      <c r="K9" s="529">
        <v>33028033.785120785</v>
      </c>
      <c r="L9" s="529">
        <v>33209224.634424858</v>
      </c>
      <c r="M9" s="529">
        <v>33498008.934396565</v>
      </c>
      <c r="N9" s="529">
        <v>33708579.402977854</v>
      </c>
      <c r="O9" s="529">
        <v>33803723.856369235</v>
      </c>
      <c r="P9" s="529">
        <v>33884706.411815345</v>
      </c>
      <c r="Q9" s="529">
        <v>33958069.399881393</v>
      </c>
      <c r="R9" s="529">
        <v>34120287.431766376</v>
      </c>
      <c r="S9" s="529">
        <v>34368611.205623515</v>
      </c>
      <c r="T9" s="530">
        <f>AVERAGE(G9:S9)</f>
        <v>33400288.759774659</v>
      </c>
      <c r="U9" s="531">
        <v>0</v>
      </c>
      <c r="V9" s="904"/>
      <c r="W9" s="905"/>
      <c r="X9" s="905"/>
      <c r="Y9" s="905"/>
      <c r="Z9" s="905"/>
      <c r="AA9" s="905"/>
      <c r="AB9" s="905"/>
      <c r="AC9" s="906"/>
      <c r="AD9" s="500"/>
    </row>
    <row r="10" spans="1:30">
      <c r="A10" s="520">
        <v>15</v>
      </c>
      <c r="B10" s="521"/>
      <c r="C10" s="511" t="s">
        <v>625</v>
      </c>
      <c r="D10" s="500"/>
      <c r="E10" s="527" t="str">
        <f>'Appendix A'!E26</f>
        <v>(Notes A &amp; Q)</v>
      </c>
      <c r="F10" s="528" t="s">
        <v>189</v>
      </c>
      <c r="G10" s="529">
        <v>11979097.119330849</v>
      </c>
      <c r="H10" s="529">
        <v>12057396.705177641</v>
      </c>
      <c r="I10" s="529">
        <v>12134203.606031409</v>
      </c>
      <c r="J10" s="529">
        <v>12209698.41257075</v>
      </c>
      <c r="K10" s="529">
        <v>12286121.537258109</v>
      </c>
      <c r="L10" s="529">
        <v>12364850.68605344</v>
      </c>
      <c r="M10" s="529">
        <v>12444900.538414352</v>
      </c>
      <c r="N10" s="529">
        <v>12526036.157951681</v>
      </c>
      <c r="O10" s="529">
        <v>12607489.02535741</v>
      </c>
      <c r="P10" s="529">
        <v>12688687.301966188</v>
      </c>
      <c r="Q10" s="529">
        <v>12768462.87887614</v>
      </c>
      <c r="R10" s="529">
        <v>12850868.855459269</v>
      </c>
      <c r="S10" s="529">
        <v>12933961.231369941</v>
      </c>
      <c r="T10" s="530">
        <f t="shared" ref="T10:T31" si="0">AVERAGE(G10:S10)</f>
        <v>12450136.465832092</v>
      </c>
      <c r="U10" s="531">
        <v>0</v>
      </c>
      <c r="V10" s="904"/>
      <c r="W10" s="905"/>
      <c r="X10" s="905"/>
      <c r="Y10" s="905"/>
      <c r="Z10" s="905"/>
      <c r="AA10" s="905"/>
      <c r="AB10" s="905"/>
      <c r="AC10" s="906"/>
      <c r="AD10" s="500"/>
    </row>
    <row r="11" spans="1:30" ht="14.95" customHeight="1">
      <c r="A11" s="532">
        <f>+'Appendix A'!A26</f>
        <v>12</v>
      </c>
      <c r="B11" s="500"/>
      <c r="C11" s="533" t="str">
        <f>+'Appendix A'!C26</f>
        <v>Accumulated Intangible Amortization</v>
      </c>
      <c r="D11" s="511"/>
      <c r="E11" s="534" t="str">
        <f>+'Appendix A'!E26</f>
        <v>(Notes A &amp; Q)</v>
      </c>
      <c r="F11" s="535" t="s">
        <v>190</v>
      </c>
      <c r="G11" s="529">
        <v>94388.700000000012</v>
      </c>
      <c r="H11" s="529">
        <v>96173.31666666668</v>
      </c>
      <c r="I11" s="529">
        <v>97957.933333333349</v>
      </c>
      <c r="J11" s="529">
        <v>99742.550000000017</v>
      </c>
      <c r="K11" s="529">
        <v>101527.16666666669</v>
      </c>
      <c r="L11" s="529">
        <v>103311.78333333335</v>
      </c>
      <c r="M11" s="529">
        <v>105096.40000000002</v>
      </c>
      <c r="N11" s="529">
        <v>106881.01666666669</v>
      </c>
      <c r="O11" s="529">
        <v>108665.63333333336</v>
      </c>
      <c r="P11" s="529">
        <v>110450.25000000003</v>
      </c>
      <c r="Q11" s="529">
        <v>112234.8666666667</v>
      </c>
      <c r="R11" s="529">
        <v>114019.48333333337</v>
      </c>
      <c r="S11" s="529">
        <v>115804.10000000003</v>
      </c>
      <c r="T11" s="530">
        <f t="shared" si="0"/>
        <v>105096.40000000004</v>
      </c>
      <c r="U11" s="531">
        <v>0</v>
      </c>
      <c r="V11" s="500"/>
      <c r="W11" s="1194" t="s">
        <v>603</v>
      </c>
      <c r="X11" s="1194"/>
      <c r="Y11" s="1194"/>
      <c r="Z11" s="536"/>
      <c r="AA11" s="536"/>
      <c r="AB11" s="536"/>
      <c r="AC11" s="537"/>
      <c r="AD11" s="536"/>
    </row>
    <row r="12" spans="1:30">
      <c r="A12" s="532">
        <f>+'Appendix A'!A27</f>
        <v>13</v>
      </c>
      <c r="B12" s="500"/>
      <c r="C12" s="533" t="str">
        <f>+'Appendix A'!C27</f>
        <v>Accumulated Common Amortization - Electric</v>
      </c>
      <c r="D12" s="511"/>
      <c r="E12" s="534" t="str">
        <f>+'Appendix A'!E27</f>
        <v>(Notes A &amp; Q)</v>
      </c>
      <c r="F12" s="535" t="s">
        <v>629</v>
      </c>
      <c r="G12" s="529">
        <v>0</v>
      </c>
      <c r="H12" s="529">
        <v>0</v>
      </c>
      <c r="I12" s="529">
        <v>0</v>
      </c>
      <c r="J12" s="529">
        <v>0</v>
      </c>
      <c r="K12" s="529">
        <v>0</v>
      </c>
      <c r="L12" s="529">
        <v>0</v>
      </c>
      <c r="M12" s="529">
        <v>0</v>
      </c>
      <c r="N12" s="529">
        <v>0</v>
      </c>
      <c r="O12" s="529">
        <v>0</v>
      </c>
      <c r="P12" s="529">
        <v>0</v>
      </c>
      <c r="Q12" s="529">
        <v>0</v>
      </c>
      <c r="R12" s="529">
        <v>0</v>
      </c>
      <c r="S12" s="529">
        <v>0</v>
      </c>
      <c r="T12" s="530">
        <f t="shared" si="0"/>
        <v>0</v>
      </c>
      <c r="U12" s="531">
        <v>0</v>
      </c>
      <c r="V12" s="1194"/>
      <c r="W12" s="1202"/>
      <c r="X12" s="1202"/>
      <c r="Y12" s="1202"/>
      <c r="Z12" s="1202"/>
      <c r="AA12" s="1202"/>
      <c r="AB12" s="1202"/>
      <c r="AC12" s="1203"/>
      <c r="AD12" s="500"/>
    </row>
    <row r="13" spans="1:30">
      <c r="A13" s="532">
        <f>+'Appendix A'!A28</f>
        <v>14</v>
      </c>
      <c r="B13" s="511"/>
      <c r="C13" s="533" t="str">
        <f>+'Appendix A'!C28</f>
        <v>Accumulated Common Plant Depreciation - Electric</v>
      </c>
      <c r="D13" s="511"/>
      <c r="E13" s="534" t="str">
        <f>+'Appendix A'!E28</f>
        <v>(Notes A &amp; Q)</v>
      </c>
      <c r="F13" s="535" t="s">
        <v>629</v>
      </c>
      <c r="G13" s="529">
        <v>0</v>
      </c>
      <c r="H13" s="529">
        <v>0</v>
      </c>
      <c r="I13" s="529">
        <v>0</v>
      </c>
      <c r="J13" s="529">
        <v>0</v>
      </c>
      <c r="K13" s="529">
        <v>0</v>
      </c>
      <c r="L13" s="529">
        <v>0</v>
      </c>
      <c r="M13" s="529">
        <v>0</v>
      </c>
      <c r="N13" s="529">
        <v>0</v>
      </c>
      <c r="O13" s="529">
        <v>0</v>
      </c>
      <c r="P13" s="529">
        <v>0</v>
      </c>
      <c r="Q13" s="529">
        <v>0</v>
      </c>
      <c r="R13" s="529">
        <v>0</v>
      </c>
      <c r="S13" s="529">
        <v>0</v>
      </c>
      <c r="T13" s="530">
        <f t="shared" si="0"/>
        <v>0</v>
      </c>
      <c r="U13" s="531">
        <v>0</v>
      </c>
      <c r="V13" s="1194"/>
      <c r="W13" s="1202"/>
      <c r="X13" s="1202"/>
      <c r="Y13" s="1202"/>
      <c r="Z13" s="1202"/>
      <c r="AA13" s="1202"/>
      <c r="AB13" s="1202"/>
      <c r="AC13" s="1203"/>
      <c r="AD13" s="500"/>
    </row>
    <row r="14" spans="1:30">
      <c r="A14" s="520"/>
      <c r="B14" s="521" t="s">
        <v>683</v>
      </c>
      <c r="C14" s="511"/>
      <c r="D14" s="511"/>
      <c r="E14" s="538"/>
      <c r="F14" s="539"/>
      <c r="G14" s="529"/>
      <c r="H14" s="529"/>
      <c r="I14" s="529"/>
      <c r="J14" s="529"/>
      <c r="K14" s="529"/>
      <c r="L14" s="529"/>
      <c r="M14" s="529"/>
      <c r="N14" s="529"/>
      <c r="O14" s="529"/>
      <c r="P14" s="529"/>
      <c r="Q14" s="529"/>
      <c r="R14" s="529"/>
      <c r="S14" s="529"/>
      <c r="T14" s="530"/>
      <c r="U14" s="531"/>
      <c r="V14" s="540"/>
      <c r="W14" s="909"/>
      <c r="X14" s="909"/>
      <c r="Y14" s="909"/>
      <c r="Z14" s="909"/>
      <c r="AA14" s="909"/>
      <c r="AB14" s="909"/>
      <c r="AC14" s="910"/>
      <c r="AD14" s="500"/>
    </row>
    <row r="15" spans="1:30">
      <c r="A15" s="520">
        <v>21</v>
      </c>
      <c r="B15" s="521"/>
      <c r="C15" s="511" t="s">
        <v>391</v>
      </c>
      <c r="D15" s="511"/>
      <c r="E15" s="538" t="str">
        <f>'Appendix A'!E42</f>
        <v>(Notes A &amp; Q)</v>
      </c>
      <c r="F15" s="541" t="s">
        <v>162</v>
      </c>
      <c r="G15" s="529">
        <v>5819355.4076700164</v>
      </c>
      <c r="H15" s="529">
        <v>5831865.9032813022</v>
      </c>
      <c r="I15" s="529">
        <v>5846977.9814625876</v>
      </c>
      <c r="J15" s="529">
        <v>5948137.1481518736</v>
      </c>
      <c r="K15" s="529">
        <v>5979947.0921533024</v>
      </c>
      <c r="L15" s="529">
        <v>6031919.3704947308</v>
      </c>
      <c r="M15" s="529">
        <v>6192604.2649161601</v>
      </c>
      <c r="N15" s="529">
        <v>6336966.7004861599</v>
      </c>
      <c r="O15" s="529">
        <v>6360868.7648361595</v>
      </c>
      <c r="P15" s="529">
        <v>6383681.7730461592</v>
      </c>
      <c r="Q15" s="529">
        <v>6401169.464616159</v>
      </c>
      <c r="R15" s="529">
        <v>6435110.6708761593</v>
      </c>
      <c r="S15" s="529">
        <v>6552153.6539961593</v>
      </c>
      <c r="T15" s="530">
        <f t="shared" si="0"/>
        <v>6163135.2458451483</v>
      </c>
      <c r="U15" s="531">
        <v>0</v>
      </c>
      <c r="V15" s="540"/>
      <c r="W15" s="909"/>
      <c r="X15" s="909"/>
      <c r="Y15" s="909"/>
      <c r="Z15" s="909"/>
      <c r="AA15" s="909"/>
      <c r="AB15" s="909"/>
      <c r="AC15" s="910"/>
      <c r="AD15" s="500"/>
    </row>
    <row r="16" spans="1:30">
      <c r="A16" s="520">
        <v>15</v>
      </c>
      <c r="B16" s="521"/>
      <c r="C16" s="511" t="s">
        <v>153</v>
      </c>
      <c r="D16" s="511"/>
      <c r="E16" s="538"/>
      <c r="F16" s="541" t="s">
        <v>163</v>
      </c>
      <c r="G16" s="529">
        <v>263628.61856000003</v>
      </c>
      <c r="H16" s="529">
        <v>263628.61856000003</v>
      </c>
      <c r="I16" s="529">
        <v>263628.61856000003</v>
      </c>
      <c r="J16" s="529">
        <v>263628.61856000003</v>
      </c>
      <c r="K16" s="529">
        <v>263628.61856000003</v>
      </c>
      <c r="L16" s="529">
        <v>263628.61856000003</v>
      </c>
      <c r="M16" s="529">
        <v>263628.61856000003</v>
      </c>
      <c r="N16" s="529">
        <v>263628.61856000003</v>
      </c>
      <c r="O16" s="529">
        <v>263628.61856000003</v>
      </c>
      <c r="P16" s="529">
        <v>263628.61856000003</v>
      </c>
      <c r="Q16" s="529">
        <v>263628.61856000003</v>
      </c>
      <c r="R16" s="529">
        <v>263628.61856000003</v>
      </c>
      <c r="S16" s="529">
        <v>263628.61856000003</v>
      </c>
      <c r="T16" s="530">
        <f t="shared" si="0"/>
        <v>263628.61855999997</v>
      </c>
      <c r="U16" s="531">
        <v>0</v>
      </c>
      <c r="V16" s="540"/>
      <c r="W16" s="909"/>
      <c r="X16" s="909"/>
      <c r="Y16" s="909"/>
      <c r="Z16" s="909"/>
      <c r="AA16" s="909"/>
      <c r="AB16" s="909"/>
      <c r="AC16" s="910"/>
      <c r="AD16" s="500"/>
    </row>
    <row r="17" spans="1:30">
      <c r="A17" s="520">
        <v>23</v>
      </c>
      <c r="B17" s="521"/>
      <c r="C17" s="511" t="s">
        <v>164</v>
      </c>
      <c r="D17" s="511"/>
      <c r="E17" s="538"/>
      <c r="F17" s="541" t="s">
        <v>165</v>
      </c>
      <c r="G17" s="529">
        <v>39630.053659999998</v>
      </c>
      <c r="H17" s="529">
        <v>39630.053659999998</v>
      </c>
      <c r="I17" s="529">
        <v>39630.053659999998</v>
      </c>
      <c r="J17" s="529">
        <v>39630.053659999998</v>
      </c>
      <c r="K17" s="529">
        <v>39630.053659999998</v>
      </c>
      <c r="L17" s="529">
        <v>39630.053659999998</v>
      </c>
      <c r="M17" s="529">
        <v>39630.053659999998</v>
      </c>
      <c r="N17" s="529">
        <v>39630.053659999998</v>
      </c>
      <c r="O17" s="529">
        <v>39630.053659999998</v>
      </c>
      <c r="P17" s="529">
        <v>39630.053659999998</v>
      </c>
      <c r="Q17" s="529">
        <v>39630.053659999998</v>
      </c>
      <c r="R17" s="529">
        <v>39630.053659999998</v>
      </c>
      <c r="S17" s="529">
        <v>39630.053659999998</v>
      </c>
      <c r="T17" s="530">
        <f t="shared" si="0"/>
        <v>39630.05365999999</v>
      </c>
      <c r="U17" s="531"/>
      <c r="V17" s="540"/>
      <c r="W17" s="909"/>
      <c r="X17" s="909"/>
      <c r="Y17" s="909"/>
      <c r="Z17" s="909"/>
      <c r="AA17" s="909"/>
      <c r="AB17" s="909"/>
      <c r="AC17" s="910"/>
      <c r="AD17" s="500"/>
    </row>
    <row r="18" spans="1:30">
      <c r="A18" s="520">
        <v>25</v>
      </c>
      <c r="B18" s="521"/>
      <c r="C18" s="511" t="s">
        <v>727</v>
      </c>
      <c r="D18" s="511"/>
      <c r="E18" s="534"/>
      <c r="F18" s="535" t="s">
        <v>166</v>
      </c>
      <c r="G18" s="529">
        <v>903379.81818181812</v>
      </c>
      <c r="H18" s="529">
        <v>903559.45454545447</v>
      </c>
      <c r="I18" s="529">
        <v>903739.09090909082</v>
      </c>
      <c r="J18" s="529">
        <v>903918.72727272718</v>
      </c>
      <c r="K18" s="529">
        <v>904098.36363636353</v>
      </c>
      <c r="L18" s="529">
        <v>904277.99999999988</v>
      </c>
      <c r="M18" s="529">
        <v>904457.63636363624</v>
      </c>
      <c r="N18" s="529">
        <v>904637.27272727259</v>
      </c>
      <c r="O18" s="529">
        <v>904816.90909090894</v>
      </c>
      <c r="P18" s="529">
        <v>904996.5454545453</v>
      </c>
      <c r="Q18" s="529">
        <v>905176.18181818165</v>
      </c>
      <c r="R18" s="529">
        <v>905355.818181818</v>
      </c>
      <c r="S18" s="529">
        <v>905535.45454545435</v>
      </c>
      <c r="T18" s="530">
        <f t="shared" si="0"/>
        <v>904457.63636363624</v>
      </c>
      <c r="U18" s="531">
        <v>0</v>
      </c>
      <c r="V18" s="540"/>
      <c r="W18" s="909"/>
      <c r="X18" s="909"/>
      <c r="Y18" s="909"/>
      <c r="Z18" s="909"/>
      <c r="AA18" s="909"/>
      <c r="AB18" s="909"/>
      <c r="AC18" s="910"/>
      <c r="AD18" s="500"/>
    </row>
    <row r="19" spans="1:30">
      <c r="A19" s="532">
        <f>+'Appendix A'!A48</f>
        <v>26</v>
      </c>
      <c r="B19" s="510"/>
      <c r="C19" s="533" t="str">
        <f>+'Appendix A'!C48</f>
        <v>Common Plant (Electric Only)</v>
      </c>
      <c r="D19" s="511"/>
      <c r="E19" s="534" t="str">
        <f>+'Appendix A'!E47</f>
        <v>(Notes A &amp; Q)</v>
      </c>
      <c r="F19" s="535" t="s">
        <v>629</v>
      </c>
      <c r="G19" s="529">
        <v>0</v>
      </c>
      <c r="H19" s="529">
        <v>0</v>
      </c>
      <c r="I19" s="529">
        <v>0</v>
      </c>
      <c r="J19" s="529">
        <v>0</v>
      </c>
      <c r="K19" s="529">
        <v>0</v>
      </c>
      <c r="L19" s="529">
        <v>0</v>
      </c>
      <c r="M19" s="529">
        <v>0</v>
      </c>
      <c r="N19" s="529">
        <v>0</v>
      </c>
      <c r="O19" s="529">
        <v>0</v>
      </c>
      <c r="P19" s="529">
        <v>0</v>
      </c>
      <c r="Q19" s="529">
        <v>0</v>
      </c>
      <c r="R19" s="529">
        <v>0</v>
      </c>
      <c r="S19" s="529">
        <v>0</v>
      </c>
      <c r="T19" s="530">
        <f t="shared" si="0"/>
        <v>0</v>
      </c>
      <c r="U19" s="531">
        <v>0</v>
      </c>
      <c r="V19" s="1194"/>
      <c r="W19" s="1202"/>
      <c r="X19" s="1202"/>
      <c r="Y19" s="1202"/>
      <c r="Z19" s="1202"/>
      <c r="AA19" s="1202"/>
      <c r="AB19" s="1202"/>
      <c r="AC19" s="1203"/>
      <c r="AD19" s="500"/>
    </row>
    <row r="20" spans="1:30">
      <c r="A20" s="520"/>
      <c r="B20" s="521" t="s">
        <v>667</v>
      </c>
      <c r="C20" s="511"/>
      <c r="D20" s="511"/>
      <c r="E20" s="534"/>
      <c r="F20" s="535"/>
      <c r="G20" s="529"/>
      <c r="H20" s="529"/>
      <c r="I20" s="529"/>
      <c r="J20" s="529"/>
      <c r="K20" s="529"/>
      <c r="L20" s="529"/>
      <c r="M20" s="529"/>
      <c r="N20" s="529"/>
      <c r="O20" s="529"/>
      <c r="P20" s="529"/>
      <c r="Q20" s="529"/>
      <c r="R20" s="529"/>
      <c r="S20" s="529"/>
      <c r="T20" s="530"/>
      <c r="U20" s="531"/>
      <c r="V20" s="908"/>
      <c r="W20" s="909"/>
      <c r="X20" s="909"/>
      <c r="Y20" s="909"/>
      <c r="Z20" s="909"/>
      <c r="AA20" s="909"/>
      <c r="AB20" s="909"/>
      <c r="AC20" s="910"/>
      <c r="AD20" s="500"/>
    </row>
    <row r="21" spans="1:30">
      <c r="A21" s="532">
        <v>32</v>
      </c>
      <c r="B21" s="534"/>
      <c r="C21" s="511" t="str">
        <f>'Appendix A'!C59</f>
        <v>Transmission Accumulated Depreciation</v>
      </c>
      <c r="D21" s="511"/>
      <c r="E21" s="534" t="str">
        <f>'Appendix A'!E59</f>
        <v>(Notes A &amp; Q)</v>
      </c>
      <c r="F21" s="542" t="s">
        <v>167</v>
      </c>
      <c r="G21" s="529">
        <v>1035537.8504053978</v>
      </c>
      <c r="H21" s="529">
        <v>1043962.849561678</v>
      </c>
      <c r="I21" s="529">
        <v>1052414.2441844002</v>
      </c>
      <c r="J21" s="529">
        <v>1060976.1073595758</v>
      </c>
      <c r="K21" s="529">
        <v>1069665.2309097955</v>
      </c>
      <c r="L21" s="529">
        <v>1078434.383850818</v>
      </c>
      <c r="M21" s="529">
        <v>1087406.8827346065</v>
      </c>
      <c r="N21" s="529">
        <v>1096670.7171625167</v>
      </c>
      <c r="O21" s="529">
        <v>1106095.0583397883</v>
      </c>
      <c r="P21" s="529">
        <v>1115564.0085425426</v>
      </c>
      <c r="Q21" s="529">
        <v>1125071.4441113062</v>
      </c>
      <c r="R21" s="529">
        <v>1134627.9806786315</v>
      </c>
      <c r="S21" s="529">
        <v>1144329.7025981636</v>
      </c>
      <c r="T21" s="530">
        <f t="shared" si="0"/>
        <v>1088519.727726094</v>
      </c>
      <c r="U21" s="531">
        <v>0</v>
      </c>
      <c r="V21" s="908"/>
      <c r="W21" s="909"/>
      <c r="X21" s="909"/>
      <c r="Y21" s="909"/>
      <c r="Z21" s="909"/>
      <c r="AA21" s="909"/>
      <c r="AB21" s="909"/>
      <c r="AC21" s="910"/>
      <c r="AD21" s="500"/>
    </row>
    <row r="22" spans="1:30">
      <c r="A22" s="532">
        <v>33</v>
      </c>
      <c r="B22" s="534"/>
      <c r="C22" s="511" t="s">
        <v>154</v>
      </c>
      <c r="D22" s="511"/>
      <c r="E22" s="534"/>
      <c r="F22" s="542" t="s">
        <v>168</v>
      </c>
      <c r="G22" s="529">
        <v>58242.888633651171</v>
      </c>
      <c r="H22" s="529">
        <v>58242.888633651171</v>
      </c>
      <c r="I22" s="529">
        <v>58242.888633651171</v>
      </c>
      <c r="J22" s="529">
        <v>58242.888633651171</v>
      </c>
      <c r="K22" s="529">
        <v>58242.888633651171</v>
      </c>
      <c r="L22" s="529">
        <v>58242.888633651171</v>
      </c>
      <c r="M22" s="529">
        <v>58242.888633651171</v>
      </c>
      <c r="N22" s="529">
        <v>58242.888633651171</v>
      </c>
      <c r="O22" s="529">
        <v>58242.888633651171</v>
      </c>
      <c r="P22" s="529">
        <v>58242.888633651171</v>
      </c>
      <c r="Q22" s="529">
        <v>58242.888633651171</v>
      </c>
      <c r="R22" s="529">
        <v>58242.888633651171</v>
      </c>
      <c r="S22" s="529">
        <v>58242.888633651171</v>
      </c>
      <c r="T22" s="530">
        <f t="shared" si="0"/>
        <v>58242.888633651186</v>
      </c>
      <c r="U22" s="531">
        <v>0</v>
      </c>
      <c r="V22" s="908"/>
      <c r="W22" s="909"/>
      <c r="X22" s="909"/>
      <c r="Y22" s="909"/>
      <c r="Z22" s="909"/>
      <c r="AA22" s="909"/>
      <c r="AB22" s="909"/>
      <c r="AC22" s="910"/>
      <c r="AD22" s="500"/>
    </row>
    <row r="23" spans="1:30">
      <c r="A23" s="532">
        <v>34</v>
      </c>
      <c r="B23" s="534"/>
      <c r="C23" s="511" t="s">
        <v>155</v>
      </c>
      <c r="D23" s="511"/>
      <c r="E23" s="534"/>
      <c r="F23" s="542" t="s">
        <v>165</v>
      </c>
      <c r="G23" s="529">
        <v>7651.4740899981252</v>
      </c>
      <c r="H23" s="529">
        <v>7651.4740899981252</v>
      </c>
      <c r="I23" s="529">
        <v>7651.4740899981252</v>
      </c>
      <c r="J23" s="529">
        <v>7651.4740899981252</v>
      </c>
      <c r="K23" s="529">
        <v>7651.4740899981252</v>
      </c>
      <c r="L23" s="529">
        <v>7651.4740899981252</v>
      </c>
      <c r="M23" s="529">
        <v>7651.4740899981252</v>
      </c>
      <c r="N23" s="529">
        <v>7651.4740899981252</v>
      </c>
      <c r="O23" s="529">
        <v>7651.4740899981252</v>
      </c>
      <c r="P23" s="529">
        <v>7651.4740899981252</v>
      </c>
      <c r="Q23" s="529">
        <v>7651.4740899981252</v>
      </c>
      <c r="R23" s="529">
        <v>7651.4740899981252</v>
      </c>
      <c r="S23" s="529">
        <v>7651.4740899981252</v>
      </c>
      <c r="T23" s="530">
        <f t="shared" si="0"/>
        <v>7651.4740899981252</v>
      </c>
      <c r="U23" s="531"/>
      <c r="V23" s="908"/>
      <c r="W23" s="909"/>
      <c r="X23" s="909"/>
      <c r="Y23" s="909"/>
      <c r="Z23" s="909"/>
      <c r="AA23" s="909"/>
      <c r="AB23" s="909"/>
      <c r="AC23" s="910"/>
      <c r="AD23" s="500"/>
    </row>
    <row r="24" spans="1:30">
      <c r="A24" s="532">
        <f>'Appendix A'!A63</f>
        <v>36</v>
      </c>
      <c r="B24" s="534"/>
      <c r="C24" s="511" t="str">
        <f>'Appendix A'!C63</f>
        <v>Accumulated General Depreciation</v>
      </c>
      <c r="D24" s="534"/>
      <c r="E24" s="534" t="str">
        <f>'Appendix A'!E63</f>
        <v>(Notes A &amp; Q)</v>
      </c>
      <c r="F24" s="542" t="s">
        <v>169</v>
      </c>
      <c r="G24" s="529">
        <v>344759</v>
      </c>
      <c r="H24" s="529">
        <v>344925</v>
      </c>
      <c r="I24" s="529">
        <v>345091</v>
      </c>
      <c r="J24" s="529">
        <v>345257</v>
      </c>
      <c r="K24" s="529">
        <v>345423</v>
      </c>
      <c r="L24" s="529">
        <v>345589</v>
      </c>
      <c r="M24" s="529">
        <v>345755</v>
      </c>
      <c r="N24" s="529">
        <v>345921</v>
      </c>
      <c r="O24" s="529">
        <v>346087</v>
      </c>
      <c r="P24" s="529">
        <v>346253</v>
      </c>
      <c r="Q24" s="529">
        <v>346419</v>
      </c>
      <c r="R24" s="529">
        <v>346585</v>
      </c>
      <c r="S24" s="529">
        <v>346751</v>
      </c>
      <c r="T24" s="530">
        <f t="shared" si="0"/>
        <v>345755</v>
      </c>
      <c r="U24" s="531">
        <v>0</v>
      </c>
      <c r="V24" s="908"/>
      <c r="W24" s="909"/>
      <c r="X24" s="909"/>
      <c r="Y24" s="909"/>
      <c r="Z24" s="909"/>
      <c r="AA24" s="909"/>
      <c r="AB24" s="909"/>
      <c r="AC24" s="910"/>
      <c r="AD24" s="500"/>
    </row>
    <row r="25" spans="1:30">
      <c r="A25" s="543"/>
      <c r="B25" s="544"/>
      <c r="C25" s="545"/>
      <c r="D25" s="546"/>
      <c r="E25" s="547"/>
      <c r="F25" s="548"/>
      <c r="G25" s="529"/>
      <c r="H25" s="529"/>
      <c r="I25" s="529"/>
      <c r="J25" s="529"/>
      <c r="K25" s="529"/>
      <c r="L25" s="529"/>
      <c r="M25" s="529"/>
      <c r="N25" s="529"/>
      <c r="O25" s="529"/>
      <c r="P25" s="529"/>
      <c r="Q25" s="529"/>
      <c r="R25" s="529"/>
      <c r="S25" s="529"/>
      <c r="T25" s="530"/>
      <c r="U25" s="531"/>
      <c r="V25" s="540"/>
      <c r="W25" s="909"/>
      <c r="X25" s="909"/>
      <c r="Y25" s="909"/>
      <c r="Z25" s="909"/>
      <c r="AA25" s="909"/>
      <c r="AB25" s="909"/>
      <c r="AC25" s="910"/>
      <c r="AD25" s="500"/>
    </row>
    <row r="26" spans="1:30">
      <c r="A26" s="532"/>
      <c r="B26" s="546"/>
      <c r="C26" s="533"/>
      <c r="D26" s="546"/>
      <c r="E26" s="534"/>
      <c r="F26" s="535"/>
      <c r="G26" s="529"/>
      <c r="H26" s="529"/>
      <c r="I26" s="529"/>
      <c r="J26" s="529"/>
      <c r="K26" s="529"/>
      <c r="L26" s="529"/>
      <c r="M26" s="529"/>
      <c r="N26" s="529"/>
      <c r="O26" s="529"/>
      <c r="P26" s="529"/>
      <c r="Q26" s="529"/>
      <c r="R26" s="529"/>
      <c r="S26" s="529"/>
      <c r="T26" s="530"/>
      <c r="U26" s="531"/>
      <c r="V26" s="1194"/>
      <c r="W26" s="1202"/>
      <c r="X26" s="1202"/>
      <c r="Y26" s="1202"/>
      <c r="Z26" s="1202"/>
      <c r="AA26" s="1202"/>
      <c r="AB26" s="1202"/>
      <c r="AC26" s="1203"/>
      <c r="AD26" s="500"/>
    </row>
    <row r="27" spans="1:30">
      <c r="A27" s="532"/>
      <c r="B27" s="544" t="s">
        <v>665</v>
      </c>
      <c r="C27" s="912"/>
      <c r="D27" s="546"/>
      <c r="E27" s="527"/>
      <c r="F27" s="539"/>
      <c r="G27" s="529"/>
      <c r="H27" s="529"/>
      <c r="I27" s="529"/>
      <c r="J27" s="529"/>
      <c r="K27" s="529"/>
      <c r="L27" s="529"/>
      <c r="M27" s="529"/>
      <c r="N27" s="529"/>
      <c r="O27" s="529"/>
      <c r="P27" s="529"/>
      <c r="Q27" s="529"/>
      <c r="R27" s="529"/>
      <c r="S27" s="529"/>
      <c r="T27" s="530"/>
      <c r="U27" s="531"/>
      <c r="V27" s="540"/>
      <c r="W27" s="909"/>
      <c r="X27" s="909"/>
      <c r="Y27" s="909"/>
      <c r="Z27" s="909"/>
      <c r="AA27" s="909"/>
      <c r="AB27" s="909"/>
      <c r="AC27" s="910"/>
      <c r="AD27" s="500"/>
    </row>
    <row r="28" spans="1:30" ht="15.8" customHeight="1">
      <c r="A28" s="543">
        <f>+'Appendix A'!A90</f>
        <v>50</v>
      </c>
      <c r="B28" s="546"/>
      <c r="C28" s="912" t="str">
        <f>+'Appendix A'!C90</f>
        <v>Undistributed Stores Exp</v>
      </c>
      <c r="D28" s="550"/>
      <c r="E28" s="527" t="str">
        <f>+'Appendix A'!E90</f>
        <v>(Notes A &amp;  R)</v>
      </c>
      <c r="F28" s="551" t="str">
        <f>+'Appendix A'!F90</f>
        <v>p227.6c &amp; 16.c</v>
      </c>
      <c r="G28" s="529">
        <v>0</v>
      </c>
      <c r="H28" s="529">
        <v>0</v>
      </c>
      <c r="I28" s="529">
        <v>0</v>
      </c>
      <c r="J28" s="529">
        <v>0</v>
      </c>
      <c r="K28" s="529">
        <v>0</v>
      </c>
      <c r="L28" s="529">
        <v>0</v>
      </c>
      <c r="M28" s="529">
        <v>0</v>
      </c>
      <c r="N28" s="529">
        <v>0</v>
      </c>
      <c r="O28" s="529">
        <v>0</v>
      </c>
      <c r="P28" s="529">
        <v>0</v>
      </c>
      <c r="Q28" s="529">
        <v>0</v>
      </c>
      <c r="R28" s="529">
        <v>0</v>
      </c>
      <c r="S28" s="529">
        <v>0</v>
      </c>
      <c r="T28" s="530">
        <f t="shared" si="0"/>
        <v>0</v>
      </c>
      <c r="U28" s="531">
        <v>0</v>
      </c>
      <c r="V28" s="500"/>
      <c r="W28" s="1194" t="s">
        <v>603</v>
      </c>
      <c r="X28" s="1194"/>
      <c r="Y28" s="1194"/>
      <c r="Z28" s="909"/>
      <c r="AA28" s="909"/>
      <c r="AB28" s="909"/>
      <c r="AC28" s="910"/>
      <c r="AD28" s="505"/>
    </row>
    <row r="29" spans="1:30">
      <c r="A29" s="532"/>
      <c r="B29" s="521" t="s">
        <v>651</v>
      </c>
      <c r="C29" s="912"/>
      <c r="D29" s="550"/>
      <c r="E29" s="538"/>
      <c r="F29" s="551"/>
      <c r="G29" s="529"/>
      <c r="H29" s="529"/>
      <c r="I29" s="529"/>
      <c r="J29" s="529"/>
      <c r="K29" s="529"/>
      <c r="L29" s="529"/>
      <c r="M29" s="529"/>
      <c r="N29" s="529"/>
      <c r="O29" s="529"/>
      <c r="P29" s="529"/>
      <c r="Q29" s="529"/>
      <c r="R29" s="529"/>
      <c r="S29" s="529"/>
      <c r="T29" s="530"/>
      <c r="U29" s="530"/>
      <c r="V29" s="540"/>
      <c r="W29" s="909"/>
      <c r="X29" s="909"/>
      <c r="Y29" s="909"/>
      <c r="Z29" s="909"/>
      <c r="AA29" s="909"/>
      <c r="AB29" s="909"/>
      <c r="AC29" s="910"/>
      <c r="AD29" s="500"/>
    </row>
    <row r="30" spans="1:30">
      <c r="A30" s="532"/>
      <c r="B30" s="521"/>
      <c r="C30" s="533"/>
      <c r="D30" s="550"/>
      <c r="E30" s="534"/>
      <c r="F30" s="535"/>
      <c r="G30" s="552"/>
      <c r="H30" s="552"/>
      <c r="I30" s="552"/>
      <c r="J30" s="552"/>
      <c r="K30" s="552"/>
      <c r="L30" s="552"/>
      <c r="M30" s="552"/>
      <c r="N30" s="552"/>
      <c r="O30" s="552"/>
      <c r="P30" s="552"/>
      <c r="Q30" s="552"/>
      <c r="R30" s="552"/>
      <c r="S30" s="552"/>
      <c r="T30" s="530"/>
      <c r="U30" s="531"/>
      <c r="V30" s="540"/>
      <c r="W30" s="909"/>
      <c r="X30" s="909"/>
      <c r="Y30" s="909"/>
      <c r="Z30" s="909"/>
      <c r="AA30" s="909"/>
      <c r="AB30" s="909"/>
      <c r="AC30" s="910"/>
      <c r="AD30" s="500"/>
    </row>
    <row r="31" spans="1:30">
      <c r="A31" s="532">
        <f>+'Appendix A'!A120</f>
        <v>68</v>
      </c>
      <c r="B31" s="534"/>
      <c r="C31" s="533" t="str">
        <f>+'Appendix A'!C120</f>
        <v>Common Plant O&amp;M</v>
      </c>
      <c r="D31" s="550"/>
      <c r="E31" s="534" t="str">
        <f>+'Appendix A'!E120</f>
        <v>(Note A)</v>
      </c>
      <c r="F31" s="535" t="str">
        <f>+'Appendix A'!F120</f>
        <v>p356</v>
      </c>
      <c r="G31" s="552">
        <v>0</v>
      </c>
      <c r="H31" s="552">
        <v>0</v>
      </c>
      <c r="I31" s="552">
        <v>0</v>
      </c>
      <c r="J31" s="552">
        <v>0</v>
      </c>
      <c r="K31" s="552">
        <v>0</v>
      </c>
      <c r="L31" s="552">
        <v>0</v>
      </c>
      <c r="M31" s="552">
        <v>0</v>
      </c>
      <c r="N31" s="552">
        <v>0</v>
      </c>
      <c r="O31" s="552">
        <v>0</v>
      </c>
      <c r="P31" s="552">
        <v>0</v>
      </c>
      <c r="Q31" s="552">
        <v>0</v>
      </c>
      <c r="R31" s="552">
        <v>0</v>
      </c>
      <c r="S31" s="552">
        <v>0</v>
      </c>
      <c r="T31" s="530">
        <f t="shared" si="0"/>
        <v>0</v>
      </c>
      <c r="U31" s="531">
        <v>0</v>
      </c>
      <c r="V31" s="1194"/>
      <c r="W31" s="1202"/>
      <c r="X31" s="1202"/>
      <c r="Y31" s="1202"/>
      <c r="Z31" s="1202"/>
      <c r="AA31" s="1202"/>
      <c r="AB31" s="1202"/>
      <c r="AC31" s="1203"/>
      <c r="AD31" s="500"/>
    </row>
    <row r="32" spans="1:30">
      <c r="A32" s="520"/>
      <c r="B32" s="553" t="s">
        <v>624</v>
      </c>
      <c r="C32" s="545"/>
      <c r="D32" s="511"/>
      <c r="E32" s="522"/>
      <c r="F32" s="548"/>
      <c r="G32" s="550"/>
      <c r="H32" s="550"/>
      <c r="I32" s="550"/>
      <c r="J32" s="550"/>
      <c r="K32" s="550"/>
      <c r="L32" s="550"/>
      <c r="M32" s="550"/>
      <c r="N32" s="550"/>
      <c r="O32" s="550"/>
      <c r="P32" s="550"/>
      <c r="Q32" s="550"/>
      <c r="R32" s="550"/>
      <c r="S32" s="546"/>
      <c r="T32" s="522" t="s">
        <v>51</v>
      </c>
      <c r="U32" s="500"/>
      <c r="V32" s="1204"/>
      <c r="W32" s="1204"/>
      <c r="X32" s="1204"/>
      <c r="Y32" s="1204"/>
      <c r="Z32" s="1204"/>
      <c r="AA32" s="1204"/>
      <c r="AB32" s="1204"/>
      <c r="AC32" s="1207"/>
      <c r="AD32" s="500"/>
    </row>
    <row r="33" spans="1:30">
      <c r="A33" s="520">
        <f>'Appendix A'!A146</f>
        <v>86</v>
      </c>
      <c r="B33" s="553"/>
      <c r="C33" s="545" t="s">
        <v>202</v>
      </c>
      <c r="D33" s="511"/>
      <c r="E33" s="510" t="s">
        <v>172</v>
      </c>
      <c r="F33" s="548" t="s">
        <v>205</v>
      </c>
      <c r="G33" s="550"/>
      <c r="H33" s="550"/>
      <c r="I33" s="550"/>
      <c r="J33" s="550"/>
      <c r="K33" s="550"/>
      <c r="L33" s="550"/>
      <c r="M33" s="789"/>
      <c r="N33" s="550"/>
      <c r="O33" s="550"/>
      <c r="P33" s="550"/>
      <c r="Q33" s="550"/>
      <c r="R33" s="550"/>
      <c r="S33" s="546"/>
      <c r="T33" s="529">
        <v>142472.2257528826</v>
      </c>
      <c r="U33" s="554">
        <v>0</v>
      </c>
      <c r="V33" s="904"/>
      <c r="W33" s="904"/>
      <c r="X33" s="904"/>
      <c r="Y33" s="904"/>
      <c r="Z33" s="904"/>
      <c r="AA33" s="904"/>
      <c r="AB33" s="904"/>
      <c r="AC33" s="907"/>
      <c r="AD33" s="500"/>
    </row>
    <row r="34" spans="1:30">
      <c r="A34" s="520">
        <f>'Appendix A'!A151</f>
        <v>91</v>
      </c>
      <c r="B34" s="553"/>
      <c r="C34" s="545" t="s">
        <v>203</v>
      </c>
      <c r="D34" s="511"/>
      <c r="E34" s="510" t="s">
        <v>172</v>
      </c>
      <c r="F34" s="548"/>
      <c r="G34" s="550"/>
      <c r="H34" s="550"/>
      <c r="I34" s="550"/>
      <c r="J34" s="550"/>
      <c r="K34" s="550"/>
      <c r="L34" s="550"/>
      <c r="M34" s="550"/>
      <c r="N34" s="550"/>
      <c r="O34" s="550"/>
      <c r="P34" s="550"/>
      <c r="Q34" s="550"/>
      <c r="R34" s="550"/>
      <c r="S34" s="546"/>
      <c r="T34" s="529">
        <v>24250.925353333267</v>
      </c>
      <c r="U34" s="554">
        <v>0</v>
      </c>
      <c r="V34" s="904"/>
      <c r="W34" s="904"/>
      <c r="X34" s="904"/>
      <c r="Y34" s="904"/>
      <c r="Z34" s="904"/>
      <c r="AA34" s="904"/>
      <c r="AB34" s="904"/>
      <c r="AC34" s="907"/>
      <c r="AD34" s="500"/>
    </row>
    <row r="35" spans="1:30" ht="15.8" customHeight="1">
      <c r="A35" s="555">
        <f>'Appendix A'!A152</f>
        <v>92</v>
      </c>
      <c r="B35" s="556"/>
      <c r="C35" s="557" t="s">
        <v>204</v>
      </c>
      <c r="D35" s="550"/>
      <c r="E35" s="510" t="str">
        <f>+'Appendix A'!E152</f>
        <v>(Note A)</v>
      </c>
      <c r="F35" s="558" t="str">
        <f>+'Appendix A'!F152</f>
        <v>p336.1d&amp;e/Attachment 5</v>
      </c>
      <c r="G35" s="503"/>
      <c r="H35" s="503"/>
      <c r="I35" s="503"/>
      <c r="J35" s="503"/>
      <c r="K35" s="503"/>
      <c r="L35" s="503"/>
      <c r="M35" s="503"/>
      <c r="N35" s="503"/>
      <c r="O35" s="503"/>
      <c r="P35" s="503"/>
      <c r="Q35" s="503"/>
      <c r="R35" s="503"/>
      <c r="S35" s="552"/>
      <c r="T35" s="529">
        <v>21415.4</v>
      </c>
      <c r="U35" s="554">
        <v>0</v>
      </c>
      <c r="V35" s="500"/>
      <c r="W35" s="1194" t="s">
        <v>603</v>
      </c>
      <c r="X35" s="1194"/>
      <c r="Y35" s="1194"/>
      <c r="Z35" s="909"/>
      <c r="AA35" s="909"/>
      <c r="AB35" s="909"/>
      <c r="AC35" s="910"/>
      <c r="AD35" s="505"/>
    </row>
    <row r="36" spans="1:30" ht="15.8" customHeight="1">
      <c r="A36" s="555">
        <f>'Appendix A'!A147</f>
        <v>87</v>
      </c>
      <c r="B36" s="556"/>
      <c r="C36" s="557" t="s">
        <v>156</v>
      </c>
      <c r="D36" s="550"/>
      <c r="E36" s="510"/>
      <c r="F36" s="558"/>
      <c r="G36" s="503"/>
      <c r="H36" s="503"/>
      <c r="I36" s="503"/>
      <c r="J36" s="503"/>
      <c r="K36" s="503"/>
      <c r="L36" s="503"/>
      <c r="M36" s="503"/>
      <c r="N36" s="503"/>
      <c r="O36" s="503"/>
      <c r="P36" s="503"/>
      <c r="Q36" s="503"/>
      <c r="R36" s="503"/>
      <c r="S36" s="559"/>
      <c r="T36" s="529">
        <v>7623.7872673023039</v>
      </c>
      <c r="U36" s="554">
        <v>0</v>
      </c>
      <c r="V36" s="908"/>
      <c r="W36" s="909"/>
      <c r="X36" s="909"/>
      <c r="Y36" s="909"/>
      <c r="Z36" s="909"/>
      <c r="AA36" s="909"/>
      <c r="AB36" s="909"/>
      <c r="AC36" s="910"/>
      <c r="AD36" s="500"/>
    </row>
    <row r="37" spans="1:30" ht="15.8" customHeight="1">
      <c r="A37" s="555">
        <f>'Appendix A'!A148</f>
        <v>88</v>
      </c>
      <c r="B37" s="556"/>
      <c r="C37" s="557" t="s">
        <v>157</v>
      </c>
      <c r="D37" s="550"/>
      <c r="E37" s="510"/>
      <c r="F37" s="558"/>
      <c r="G37" s="503"/>
      <c r="H37" s="503"/>
      <c r="I37" s="503"/>
      <c r="J37" s="503"/>
      <c r="K37" s="503"/>
      <c r="L37" s="503"/>
      <c r="M37" s="503"/>
      <c r="N37" s="503"/>
      <c r="O37" s="503"/>
      <c r="P37" s="503"/>
      <c r="Q37" s="503"/>
      <c r="R37" s="503"/>
      <c r="S37" s="559"/>
      <c r="T37" s="529">
        <v>1146.0481799962554</v>
      </c>
      <c r="U37" s="554">
        <v>0</v>
      </c>
      <c r="V37" s="908"/>
      <c r="W37" s="909"/>
      <c r="X37" s="909"/>
      <c r="Y37" s="909"/>
      <c r="Z37" s="909"/>
      <c r="AA37" s="909"/>
      <c r="AB37" s="909"/>
      <c r="AC37" s="910"/>
      <c r="AD37" s="500"/>
    </row>
    <row r="38" spans="1:30">
      <c r="A38" s="555">
        <f>+'Appendix A'!A157</f>
        <v>96</v>
      </c>
      <c r="B38" s="560"/>
      <c r="C38" s="557" t="str">
        <f>+'Appendix A'!C157</f>
        <v>Common Depreciation - Electric Only</v>
      </c>
      <c r="D38" s="550"/>
      <c r="E38" s="510" t="str">
        <f>+'Appendix A'!E157</f>
        <v>(Note A)</v>
      </c>
      <c r="F38" s="558" t="str">
        <f>+'Appendix A'!F157</f>
        <v>p336.11.b</v>
      </c>
      <c r="G38" s="503"/>
      <c r="H38" s="503"/>
      <c r="I38" s="503"/>
      <c r="J38" s="503"/>
      <c r="K38" s="503"/>
      <c r="L38" s="503"/>
      <c r="M38" s="503"/>
      <c r="N38" s="503"/>
      <c r="O38" s="503"/>
      <c r="P38" s="503"/>
      <c r="Q38" s="503"/>
      <c r="R38" s="503"/>
      <c r="S38" s="538"/>
      <c r="T38" s="529">
        <v>0</v>
      </c>
      <c r="U38" s="554">
        <v>0</v>
      </c>
      <c r="V38" s="1198"/>
      <c r="W38" s="1198"/>
      <c r="X38" s="1198"/>
      <c r="Y38" s="1198"/>
      <c r="Z38" s="1198"/>
      <c r="AA38" s="1198"/>
      <c r="AB38" s="1198"/>
      <c r="AC38" s="1199"/>
      <c r="AD38" s="500"/>
    </row>
    <row r="39" spans="1:30" ht="14.95" thickBot="1">
      <c r="A39" s="561">
        <f>+'Appendix A'!A158</f>
        <v>97</v>
      </c>
      <c r="B39" s="562"/>
      <c r="C39" s="563" t="str">
        <f>+'Appendix A'!C158</f>
        <v>Common Amortization - Electric Only</v>
      </c>
      <c r="D39" s="564"/>
      <c r="E39" s="565" t="str">
        <f>+'Appendix A'!E158</f>
        <v>(Note A)</v>
      </c>
      <c r="F39" s="566" t="str">
        <f>+'Appendix A'!F158</f>
        <v>p356 or p336.11d</v>
      </c>
      <c r="G39" s="567"/>
      <c r="H39" s="567"/>
      <c r="I39" s="567"/>
      <c r="J39" s="567"/>
      <c r="K39" s="567"/>
      <c r="L39" s="567"/>
      <c r="M39" s="567"/>
      <c r="N39" s="567"/>
      <c r="O39" s="567"/>
      <c r="P39" s="567"/>
      <c r="Q39" s="567"/>
      <c r="R39" s="567"/>
      <c r="S39" s="568"/>
      <c r="T39" s="573">
        <v>0</v>
      </c>
      <c r="U39" s="569">
        <v>0</v>
      </c>
      <c r="V39" s="1200"/>
      <c r="W39" s="1200"/>
      <c r="X39" s="1200"/>
      <c r="Y39" s="1200"/>
      <c r="Z39" s="1200"/>
      <c r="AA39" s="1200"/>
      <c r="AB39" s="1200"/>
      <c r="AC39" s="1201"/>
      <c r="AD39" s="500"/>
    </row>
    <row r="40" spans="1:30">
      <c r="A40" s="534"/>
      <c r="B40" s="560"/>
      <c r="C40" s="533"/>
      <c r="D40" s="550"/>
      <c r="E40" s="534"/>
      <c r="F40" s="503"/>
      <c r="G40" s="503"/>
      <c r="H40" s="503"/>
      <c r="I40" s="503"/>
      <c r="J40" s="503"/>
      <c r="K40" s="503"/>
      <c r="L40" s="503"/>
      <c r="M40" s="503"/>
      <c r="N40" s="503"/>
      <c r="O40" s="503"/>
      <c r="P40" s="503"/>
      <c r="Q40" s="503"/>
      <c r="R40" s="503"/>
      <c r="S40" s="531"/>
      <c r="T40" s="538"/>
      <c r="U40" s="531"/>
      <c r="V40" s="504"/>
      <c r="W40" s="504"/>
      <c r="X40" s="504"/>
      <c r="Y40" s="504"/>
      <c r="Z40" s="504"/>
      <c r="AA40" s="504"/>
      <c r="AB40" s="504"/>
      <c r="AC40" s="504"/>
      <c r="AD40" s="500"/>
    </row>
    <row r="41" spans="1:30" ht="14.95" thickBot="1">
      <c r="A41" s="509" t="s">
        <v>171</v>
      </c>
      <c r="B41" s="500"/>
      <c r="C41" s="500"/>
      <c r="D41" s="500"/>
      <c r="E41" s="500"/>
      <c r="F41" s="500"/>
      <c r="G41" s="513" t="s">
        <v>389</v>
      </c>
      <c r="H41" s="1226" t="s">
        <v>390</v>
      </c>
      <c r="I41" s="1227"/>
      <c r="J41" s="1227"/>
      <c r="K41" s="1227"/>
      <c r="L41" s="1227"/>
      <c r="M41" s="1227"/>
      <c r="N41" s="1227"/>
      <c r="O41" s="1227"/>
      <c r="P41" s="1227"/>
      <c r="Q41" s="1227"/>
      <c r="R41" s="1227"/>
      <c r="S41" s="1228"/>
      <c r="AD41" s="500"/>
    </row>
    <row r="42" spans="1:30">
      <c r="A42" s="514" t="s">
        <v>121</v>
      </c>
      <c r="B42" s="515" t="s">
        <v>122</v>
      </c>
      <c r="C42" s="515"/>
      <c r="D42" s="515"/>
      <c r="E42" s="515" t="s">
        <v>847</v>
      </c>
      <c r="F42" s="516" t="s">
        <v>123</v>
      </c>
      <c r="G42" s="517" t="s">
        <v>388</v>
      </c>
      <c r="H42" s="517" t="s">
        <v>374</v>
      </c>
      <c r="I42" s="517" t="s">
        <v>375</v>
      </c>
      <c r="J42" s="517" t="s">
        <v>376</v>
      </c>
      <c r="K42" s="517" t="s">
        <v>377</v>
      </c>
      <c r="L42" s="517" t="s">
        <v>379</v>
      </c>
      <c r="M42" s="517" t="s">
        <v>380</v>
      </c>
      <c r="N42" s="517" t="s">
        <v>381</v>
      </c>
      <c r="O42" s="517" t="s">
        <v>382</v>
      </c>
      <c r="P42" s="517" t="s">
        <v>383</v>
      </c>
      <c r="Q42" s="517" t="s">
        <v>384</v>
      </c>
      <c r="R42" s="517" t="s">
        <v>385</v>
      </c>
      <c r="S42" s="903" t="s">
        <v>386</v>
      </c>
      <c r="T42" s="903" t="s">
        <v>378</v>
      </c>
      <c r="U42" s="903" t="s">
        <v>399</v>
      </c>
      <c r="V42" s="1195" t="s">
        <v>347</v>
      </c>
      <c r="W42" s="1196"/>
      <c r="X42" s="1196"/>
      <c r="Y42" s="1196"/>
      <c r="Z42" s="1196"/>
      <c r="AA42" s="1196"/>
      <c r="AB42" s="1196"/>
      <c r="AC42" s="1197"/>
      <c r="AD42" s="500"/>
    </row>
    <row r="43" spans="1:30">
      <c r="A43" s="532">
        <f>'Appendix A'!A113</f>
        <v>63</v>
      </c>
      <c r="B43" s="500"/>
      <c r="C43" s="557" t="s">
        <v>721</v>
      </c>
      <c r="D43" s="500"/>
      <c r="E43" s="510" t="s">
        <v>172</v>
      </c>
      <c r="F43" s="558" t="s">
        <v>173</v>
      </c>
      <c r="G43" s="529">
        <v>0</v>
      </c>
      <c r="H43" s="529">
        <v>4272.2090827199372</v>
      </c>
      <c r="I43" s="529">
        <v>4518.4172620089203</v>
      </c>
      <c r="J43" s="529">
        <v>3586.1785163174263</v>
      </c>
      <c r="K43" s="529">
        <v>4319.6598469001319</v>
      </c>
      <c r="L43" s="529">
        <v>4295.8668852030296</v>
      </c>
      <c r="M43" s="529">
        <v>5820.7572999412314</v>
      </c>
      <c r="N43" s="529">
        <v>6446.0951263425013</v>
      </c>
      <c r="O43" s="529">
        <v>6324.3661254911704</v>
      </c>
      <c r="P43" s="529">
        <v>5436.2449438263293</v>
      </c>
      <c r="Q43" s="529">
        <v>4901.1874297830736</v>
      </c>
      <c r="R43" s="529">
        <v>4494.7903669640373</v>
      </c>
      <c r="S43" s="529">
        <v>5034.8068902552459</v>
      </c>
      <c r="T43" s="552">
        <f>SUM(G43:S43)</f>
        <v>59450.579775753031</v>
      </c>
      <c r="U43" s="1148">
        <v>22926.559775753041</v>
      </c>
      <c r="W43" s="500"/>
      <c r="X43" s="500"/>
      <c r="Y43" s="500"/>
      <c r="Z43" s="500"/>
      <c r="AA43" s="500"/>
      <c r="AB43" s="500"/>
      <c r="AC43" s="910"/>
      <c r="AD43" s="500"/>
    </row>
    <row r="44" spans="1:30">
      <c r="A44" s="532">
        <f>'Appendix A'!A114</f>
        <v>64</v>
      </c>
      <c r="B44" s="500"/>
      <c r="C44" s="557" t="s">
        <v>153</v>
      </c>
      <c r="D44" s="500"/>
      <c r="E44" s="500"/>
      <c r="F44" s="558" t="s">
        <v>174</v>
      </c>
      <c r="G44" s="913"/>
      <c r="H44" s="529"/>
      <c r="I44" s="529"/>
      <c r="J44" s="529"/>
      <c r="K44" s="529"/>
      <c r="L44" s="529"/>
      <c r="M44" s="529"/>
      <c r="N44" s="529"/>
      <c r="O44" s="529"/>
      <c r="P44" s="529"/>
      <c r="Q44" s="529"/>
      <c r="R44" s="529"/>
      <c r="S44" s="529"/>
      <c r="T44" s="529">
        <v>18</v>
      </c>
      <c r="U44" s="531">
        <v>0</v>
      </c>
      <c r="W44" s="500"/>
      <c r="X44" s="500"/>
      <c r="Y44" s="500"/>
      <c r="Z44" s="500"/>
      <c r="AA44" s="500"/>
      <c r="AB44" s="500"/>
      <c r="AC44" s="910"/>
      <c r="AD44" s="500"/>
    </row>
    <row r="45" spans="1:30" ht="14.95" thickBot="1">
      <c r="A45" s="561">
        <f>'Appendix A'!A115</f>
        <v>65</v>
      </c>
      <c r="B45" s="570"/>
      <c r="C45" s="571" t="s">
        <v>176</v>
      </c>
      <c r="D45" s="570"/>
      <c r="E45" s="570"/>
      <c r="F45" s="572" t="s">
        <v>638</v>
      </c>
      <c r="G45" s="573">
        <v>0</v>
      </c>
      <c r="H45" s="573">
        <v>-1690.3333333333333</v>
      </c>
      <c r="I45" s="573">
        <v>-1690.3333333333333</v>
      </c>
      <c r="J45" s="573">
        <v>-1690.3333333333333</v>
      </c>
      <c r="K45" s="573">
        <v>-1690.3333333333333</v>
      </c>
      <c r="L45" s="573">
        <v>-1690.3333333333333</v>
      </c>
      <c r="M45" s="573">
        <v>-1690.3333333333333</v>
      </c>
      <c r="N45" s="573">
        <v>-1690.3333333333333</v>
      </c>
      <c r="O45" s="573">
        <v>-1690.3333333333333</v>
      </c>
      <c r="P45" s="573">
        <v>-1690.3333333333333</v>
      </c>
      <c r="Q45" s="573">
        <v>-1690.3333333333333</v>
      </c>
      <c r="R45" s="573">
        <v>-1690.3333333333333</v>
      </c>
      <c r="S45" s="573">
        <v>-1690.3333333333333</v>
      </c>
      <c r="T45" s="574">
        <f>SUM(G45:S45)</f>
        <v>-20284</v>
      </c>
      <c r="U45" s="575">
        <v>0</v>
      </c>
      <c r="V45" s="570"/>
      <c r="W45" s="570"/>
      <c r="X45" s="570"/>
      <c r="Y45" s="570"/>
      <c r="Z45" s="570"/>
      <c r="AA45" s="570"/>
      <c r="AB45" s="570"/>
      <c r="AC45" s="911"/>
      <c r="AD45" s="500"/>
    </row>
    <row r="46" spans="1:30">
      <c r="A46" s="534"/>
      <c r="B46" s="500"/>
      <c r="C46" s="557"/>
      <c r="D46" s="500"/>
      <c r="E46" s="500"/>
      <c r="F46" s="576"/>
      <c r="G46" s="552"/>
      <c r="H46" s="743"/>
      <c r="I46" s="743"/>
      <c r="J46" s="743"/>
      <c r="K46" s="743"/>
      <c r="L46" s="743"/>
      <c r="M46" s="743"/>
      <c r="N46" s="743"/>
      <c r="O46" s="743"/>
      <c r="P46" s="743"/>
      <c r="Q46" s="743"/>
      <c r="R46" s="743"/>
      <c r="S46" s="743"/>
      <c r="T46" s="743"/>
      <c r="U46" s="500"/>
      <c r="V46" s="500"/>
      <c r="W46" s="500"/>
      <c r="X46" s="500"/>
      <c r="Y46" s="500"/>
      <c r="Z46" s="500"/>
      <c r="AA46" s="500"/>
      <c r="AB46" s="500"/>
      <c r="AC46" s="505"/>
      <c r="AD46" s="500"/>
    </row>
    <row r="47" spans="1:30" ht="14.95" thickBot="1">
      <c r="A47" s="509" t="s">
        <v>178</v>
      </c>
      <c r="B47" s="500"/>
      <c r="C47" s="557"/>
      <c r="D47" s="500"/>
      <c r="E47" s="500"/>
      <c r="F47" s="576"/>
      <c r="G47" s="513" t="s">
        <v>389</v>
      </c>
      <c r="H47" s="1226" t="s">
        <v>390</v>
      </c>
      <c r="I47" s="1227"/>
      <c r="J47" s="1227"/>
      <c r="K47" s="1227"/>
      <c r="L47" s="1227"/>
      <c r="M47" s="1227"/>
      <c r="N47" s="1227"/>
      <c r="O47" s="1227"/>
      <c r="P47" s="1227"/>
      <c r="Q47" s="1227"/>
      <c r="R47" s="1227"/>
      <c r="S47" s="1228"/>
      <c r="AD47" s="500"/>
    </row>
    <row r="48" spans="1:30">
      <c r="A48" s="514" t="s">
        <v>121</v>
      </c>
      <c r="B48" s="515" t="s">
        <v>122</v>
      </c>
      <c r="C48" s="515"/>
      <c r="D48" s="515"/>
      <c r="E48" s="515" t="s">
        <v>847</v>
      </c>
      <c r="F48" s="516" t="s">
        <v>123</v>
      </c>
      <c r="G48" s="517" t="s">
        <v>388</v>
      </c>
      <c r="H48" s="517" t="s">
        <v>374</v>
      </c>
      <c r="I48" s="517" t="s">
        <v>375</v>
      </c>
      <c r="J48" s="517" t="s">
        <v>376</v>
      </c>
      <c r="K48" s="517" t="s">
        <v>377</v>
      </c>
      <c r="L48" s="517" t="s">
        <v>379</v>
      </c>
      <c r="M48" s="517" t="s">
        <v>380</v>
      </c>
      <c r="N48" s="517" t="s">
        <v>381</v>
      </c>
      <c r="O48" s="517" t="s">
        <v>382</v>
      </c>
      <c r="P48" s="517" t="s">
        <v>383</v>
      </c>
      <c r="Q48" s="517" t="s">
        <v>384</v>
      </c>
      <c r="R48" s="517" t="s">
        <v>385</v>
      </c>
      <c r="S48" s="903" t="s">
        <v>386</v>
      </c>
      <c r="T48" s="903" t="s">
        <v>378</v>
      </c>
      <c r="U48" s="903" t="s">
        <v>399</v>
      </c>
      <c r="V48" s="1195" t="s">
        <v>347</v>
      </c>
      <c r="W48" s="1196"/>
      <c r="X48" s="1196"/>
      <c r="Y48" s="1196"/>
      <c r="Z48" s="1196"/>
      <c r="AA48" s="1196"/>
      <c r="AB48" s="1196"/>
      <c r="AC48" s="1197"/>
      <c r="AD48" s="500"/>
    </row>
    <row r="49" spans="1:30">
      <c r="A49" s="532">
        <v>4</v>
      </c>
      <c r="B49" s="509"/>
      <c r="C49" s="557" t="s">
        <v>183</v>
      </c>
      <c r="D49" s="509"/>
      <c r="E49" s="510" t="s">
        <v>172</v>
      </c>
      <c r="F49" s="558" t="s">
        <v>185</v>
      </c>
      <c r="G49" s="578"/>
      <c r="H49" s="578"/>
      <c r="I49" s="578"/>
      <c r="J49" s="578"/>
      <c r="K49" s="578"/>
      <c r="L49" s="578"/>
      <c r="M49" s="578"/>
      <c r="N49" s="578"/>
      <c r="O49" s="578"/>
      <c r="P49" s="578"/>
      <c r="Q49" s="578"/>
      <c r="R49" s="578"/>
      <c r="S49" s="578"/>
      <c r="T49" s="529">
        <v>550567.19764400192</v>
      </c>
      <c r="U49" s="554"/>
      <c r="V49" s="904"/>
      <c r="W49" s="579"/>
      <c r="X49" s="579"/>
      <c r="Y49" s="579"/>
      <c r="Z49" s="579"/>
      <c r="AA49" s="579"/>
      <c r="AB49" s="579"/>
      <c r="AC49" s="910"/>
      <c r="AD49" s="500"/>
    </row>
    <row r="50" spans="1:30">
      <c r="A50" s="532">
        <v>5</v>
      </c>
      <c r="B50" s="509"/>
      <c r="C50" s="557" t="s">
        <v>184</v>
      </c>
      <c r="D50" s="509"/>
      <c r="E50" s="510" t="s">
        <v>172</v>
      </c>
      <c r="F50" s="558" t="s">
        <v>186</v>
      </c>
      <c r="G50" s="578"/>
      <c r="H50" s="578"/>
      <c r="I50" s="578"/>
      <c r="J50" s="578"/>
      <c r="K50" s="578"/>
      <c r="L50" s="578"/>
      <c r="M50" s="578"/>
      <c r="N50" s="578"/>
      <c r="O50" s="578"/>
      <c r="P50" s="578"/>
      <c r="Q50" s="578"/>
      <c r="R50" s="578"/>
      <c r="S50" s="578"/>
      <c r="T50" s="529">
        <v>99725</v>
      </c>
      <c r="U50" s="554"/>
      <c r="V50" s="904"/>
      <c r="W50" s="579"/>
      <c r="X50" s="579"/>
      <c r="Y50" s="579"/>
      <c r="Z50" s="579"/>
      <c r="AA50" s="579"/>
      <c r="AB50" s="579"/>
      <c r="AC50" s="910"/>
      <c r="AD50" s="500"/>
    </row>
    <row r="51" spans="1:30">
      <c r="A51" s="532">
        <v>1</v>
      </c>
      <c r="B51" s="500"/>
      <c r="C51" s="557" t="s">
        <v>179</v>
      </c>
      <c r="D51" s="500"/>
      <c r="E51" s="510" t="s">
        <v>172</v>
      </c>
      <c r="F51" s="558" t="s">
        <v>180</v>
      </c>
      <c r="G51" s="552"/>
      <c r="H51" s="552"/>
      <c r="I51" s="552"/>
      <c r="J51" s="552"/>
      <c r="K51" s="552"/>
      <c r="L51" s="552"/>
      <c r="M51" s="552"/>
      <c r="N51" s="552"/>
      <c r="O51" s="552"/>
      <c r="P51" s="552"/>
      <c r="Q51" s="552"/>
      <c r="R51" s="552"/>
      <c r="S51" s="552"/>
      <c r="T51" s="529">
        <v>33644.592990991281</v>
      </c>
      <c r="U51" s="554"/>
      <c r="V51" s="500"/>
      <c r="W51" s="500"/>
      <c r="X51" s="500"/>
      <c r="Y51" s="500"/>
      <c r="Z51" s="500"/>
      <c r="AA51" s="500"/>
      <c r="AB51" s="500"/>
      <c r="AC51" s="910"/>
      <c r="AD51" s="500"/>
    </row>
    <row r="52" spans="1:30" ht="14.95" thickBot="1">
      <c r="A52" s="561">
        <v>2</v>
      </c>
      <c r="B52" s="570"/>
      <c r="C52" s="571" t="s">
        <v>153</v>
      </c>
      <c r="D52" s="570"/>
      <c r="E52" s="570"/>
      <c r="F52" s="572" t="s">
        <v>181</v>
      </c>
      <c r="G52" s="574"/>
      <c r="H52" s="574"/>
      <c r="I52" s="574"/>
      <c r="J52" s="574"/>
      <c r="K52" s="574"/>
      <c r="L52" s="574"/>
      <c r="M52" s="574"/>
      <c r="N52" s="574"/>
      <c r="O52" s="574"/>
      <c r="P52" s="574"/>
      <c r="Q52" s="574"/>
      <c r="R52" s="574"/>
      <c r="S52" s="574"/>
      <c r="T52" s="573">
        <v>7</v>
      </c>
      <c r="U52" s="569"/>
      <c r="V52" s="570"/>
      <c r="W52" s="570"/>
      <c r="X52" s="570"/>
      <c r="Y52" s="570"/>
      <c r="Z52" s="570"/>
      <c r="AA52" s="570"/>
      <c r="AB52" s="570"/>
      <c r="AC52" s="911"/>
      <c r="AD52" s="500"/>
    </row>
    <row r="53" spans="1:30">
      <c r="A53" s="534"/>
      <c r="B53" s="500"/>
      <c r="C53" s="557"/>
      <c r="D53" s="500"/>
      <c r="E53" s="500"/>
      <c r="F53" s="576"/>
      <c r="G53" s="552"/>
      <c r="H53" s="552"/>
      <c r="I53" s="552"/>
      <c r="J53" s="552"/>
      <c r="K53" s="552"/>
      <c r="L53" s="552"/>
      <c r="M53" s="552"/>
      <c r="N53" s="552"/>
      <c r="O53" s="552"/>
      <c r="P53" s="552"/>
      <c r="Q53" s="552"/>
      <c r="R53" s="552"/>
      <c r="S53" s="552"/>
      <c r="T53" s="552"/>
      <c r="U53" s="500"/>
      <c r="V53" s="500"/>
      <c r="W53" s="500"/>
      <c r="X53" s="500"/>
      <c r="Y53" s="500"/>
      <c r="Z53" s="500"/>
      <c r="AA53" s="500"/>
      <c r="AB53" s="500"/>
      <c r="AC53" s="505"/>
      <c r="AD53" s="500"/>
    </row>
    <row r="54" spans="1:30">
      <c r="A54" s="533"/>
      <c r="C54" s="557"/>
      <c r="X54" s="1198" t="s">
        <v>1158</v>
      </c>
      <c r="Y54" s="1198"/>
      <c r="Z54" s="1198"/>
      <c r="AD54" s="500"/>
    </row>
    <row r="55" spans="1:30" ht="14.95" thickBot="1">
      <c r="A55" s="509" t="s">
        <v>441</v>
      </c>
      <c r="G55" s="513" t="s">
        <v>389</v>
      </c>
      <c r="H55" s="1210" t="s">
        <v>390</v>
      </c>
      <c r="I55" s="1211"/>
      <c r="J55" s="1211"/>
      <c r="K55" s="1211"/>
      <c r="L55" s="1211"/>
      <c r="M55" s="1211"/>
      <c r="N55" s="1211"/>
      <c r="O55" s="1211"/>
      <c r="P55" s="1211"/>
      <c r="Q55" s="1211"/>
      <c r="R55" s="1211"/>
      <c r="S55" s="1212"/>
      <c r="AD55" s="500"/>
    </row>
    <row r="56" spans="1:30">
      <c r="A56" s="514" t="s">
        <v>121</v>
      </c>
      <c r="B56" s="515" t="s">
        <v>122</v>
      </c>
      <c r="C56" s="515"/>
      <c r="D56" s="515"/>
      <c r="E56" s="515" t="s">
        <v>847</v>
      </c>
      <c r="F56" s="516" t="s">
        <v>123</v>
      </c>
      <c r="G56" s="517" t="s">
        <v>388</v>
      </c>
      <c r="H56" s="517" t="s">
        <v>374</v>
      </c>
      <c r="I56" s="517" t="s">
        <v>375</v>
      </c>
      <c r="J56" s="517" t="s">
        <v>376</v>
      </c>
      <c r="K56" s="517" t="s">
        <v>377</v>
      </c>
      <c r="L56" s="517" t="s">
        <v>379</v>
      </c>
      <c r="M56" s="517" t="s">
        <v>380</v>
      </c>
      <c r="N56" s="517" t="s">
        <v>381</v>
      </c>
      <c r="O56" s="517" t="s">
        <v>382</v>
      </c>
      <c r="P56" s="517" t="s">
        <v>383</v>
      </c>
      <c r="Q56" s="517" t="s">
        <v>384</v>
      </c>
      <c r="R56" s="517" t="s">
        <v>385</v>
      </c>
      <c r="S56" s="519" t="s">
        <v>386</v>
      </c>
      <c r="T56" s="519" t="s">
        <v>387</v>
      </c>
      <c r="U56" s="519" t="s">
        <v>438</v>
      </c>
      <c r="V56" s="1195" t="s">
        <v>347</v>
      </c>
      <c r="W56" s="1196"/>
      <c r="X56" s="1196"/>
      <c r="Y56" s="1196"/>
      <c r="Z56" s="1196"/>
      <c r="AA56" s="1196"/>
      <c r="AB56" s="1196"/>
      <c r="AC56" s="1197"/>
      <c r="AD56" s="500"/>
    </row>
    <row r="57" spans="1:30" ht="54" customHeight="1">
      <c r="A57" s="532">
        <f>+'Appendix A'!A53</f>
        <v>30</v>
      </c>
      <c r="B57" s="534"/>
      <c r="C57" s="544" t="str">
        <f>+'Appendix A'!C53</f>
        <v>Plant Held for Future Use (Including Land)</v>
      </c>
      <c r="D57" s="550"/>
      <c r="E57" s="576" t="str">
        <f>+'Appendix A'!E53</f>
        <v>(Notes C &amp; Q)</v>
      </c>
      <c r="F57" s="542" t="s">
        <v>198</v>
      </c>
      <c r="G57" s="529">
        <v>25646.190850000003</v>
      </c>
      <c r="H57" s="529">
        <v>25646.190850000003</v>
      </c>
      <c r="I57" s="529">
        <v>25646.190850000003</v>
      </c>
      <c r="J57" s="529">
        <v>25646.190850000003</v>
      </c>
      <c r="K57" s="529">
        <v>25646.190850000003</v>
      </c>
      <c r="L57" s="529">
        <v>25646.190850000003</v>
      </c>
      <c r="M57" s="529">
        <v>25646.190850000003</v>
      </c>
      <c r="N57" s="529">
        <v>14066.009740000001</v>
      </c>
      <c r="O57" s="529">
        <v>14066.009740000001</v>
      </c>
      <c r="P57" s="529">
        <v>14066.009740000001</v>
      </c>
      <c r="Q57" s="529">
        <v>14066.009740000001</v>
      </c>
      <c r="R57" s="529">
        <v>14066.009740000001</v>
      </c>
      <c r="S57" s="529">
        <v>13775.72674</v>
      </c>
      <c r="T57" s="552">
        <f>SUM(G57:S57)/13</f>
        <v>20279.162414615392</v>
      </c>
      <c r="U57" s="531">
        <f>U59</f>
        <v>8220.519250000003</v>
      </c>
      <c r="V57" s="1240" t="s">
        <v>1158</v>
      </c>
      <c r="W57" s="1241"/>
      <c r="X57" s="1241"/>
      <c r="Y57" s="1241"/>
      <c r="Z57" s="1241"/>
      <c r="AA57" s="1241"/>
      <c r="AB57" s="1241"/>
      <c r="AC57" s="1242"/>
      <c r="AD57" s="500"/>
    </row>
    <row r="58" spans="1:30" ht="41.95" customHeight="1">
      <c r="A58" s="532"/>
      <c r="B58" s="521"/>
      <c r="C58" s="546"/>
      <c r="D58" s="550"/>
      <c r="E58" s="531"/>
      <c r="F58" s="548"/>
      <c r="G58" s="534"/>
      <c r="H58" s="534"/>
      <c r="I58" s="534"/>
      <c r="J58" s="534"/>
      <c r="K58" s="534"/>
      <c r="L58" s="534"/>
      <c r="M58" s="534"/>
      <c r="N58" s="534"/>
      <c r="O58" s="534"/>
      <c r="P58" s="534"/>
      <c r="Q58" s="534"/>
      <c r="R58" s="534"/>
      <c r="S58" s="580" t="s">
        <v>398</v>
      </c>
      <c r="T58" s="579" t="s">
        <v>401</v>
      </c>
      <c r="U58" s="579" t="s">
        <v>438</v>
      </c>
      <c r="V58" s="1243"/>
      <c r="W58" s="1243"/>
      <c r="X58" s="1243"/>
      <c r="Y58" s="1243"/>
      <c r="Z58" s="1243"/>
      <c r="AA58" s="1243"/>
      <c r="AB58" s="1243"/>
      <c r="AC58" s="1244"/>
      <c r="AD58" s="500"/>
    </row>
    <row r="59" spans="1:30" ht="16.5" customHeight="1">
      <c r="A59" s="532"/>
      <c r="B59" s="560"/>
      <c r="C59" s="533"/>
      <c r="D59" s="527"/>
      <c r="E59" s="522"/>
      <c r="F59" s="542"/>
      <c r="G59" s="533"/>
      <c r="H59" s="533"/>
      <c r="I59" s="533"/>
      <c r="J59" s="533"/>
      <c r="K59" s="533"/>
      <c r="L59" s="533"/>
      <c r="M59" s="533"/>
      <c r="N59" s="533"/>
      <c r="O59" s="533"/>
      <c r="P59" s="533"/>
      <c r="Q59" s="533"/>
      <c r="R59" s="533"/>
      <c r="S59" s="581">
        <f>T57</f>
        <v>20279.162414615392</v>
      </c>
      <c r="T59" s="1142">
        <v>12058.643164615389</v>
      </c>
      <c r="U59" s="581">
        <f>S59-T59</f>
        <v>8220.519250000003</v>
      </c>
      <c r="V59" s="1204" t="s">
        <v>1194</v>
      </c>
      <c r="W59" s="1205"/>
      <c r="X59" s="1205"/>
      <c r="Y59" s="1205"/>
      <c r="Z59" s="1205"/>
      <c r="AA59" s="1205"/>
      <c r="AB59" s="1205"/>
      <c r="AC59" s="1206"/>
      <c r="AD59" s="500"/>
    </row>
    <row r="60" spans="1:30" ht="14.95" thickBot="1">
      <c r="A60" s="561"/>
      <c r="B60" s="562"/>
      <c r="C60" s="563"/>
      <c r="D60" s="564"/>
      <c r="E60" s="565"/>
      <c r="F60" s="582"/>
      <c r="G60" s="563"/>
      <c r="H60" s="563"/>
      <c r="I60" s="563"/>
      <c r="J60" s="563"/>
      <c r="K60" s="563"/>
      <c r="L60" s="563"/>
      <c r="M60" s="563"/>
      <c r="N60" s="563"/>
      <c r="O60" s="563"/>
      <c r="P60" s="563"/>
      <c r="Q60" s="563"/>
      <c r="R60" s="563"/>
      <c r="S60" s="570"/>
      <c r="T60" s="583"/>
      <c r="U60" s="570"/>
      <c r="V60" s="1208"/>
      <c r="W60" s="1208"/>
      <c r="X60" s="1208"/>
      <c r="Y60" s="1208"/>
      <c r="Z60" s="1208"/>
      <c r="AA60" s="1208"/>
      <c r="AB60" s="1208"/>
      <c r="AC60" s="1209"/>
      <c r="AD60" s="500"/>
    </row>
    <row r="61" spans="1:30">
      <c r="F61" s="542"/>
      <c r="AD61" s="500"/>
    </row>
    <row r="62" spans="1:30">
      <c r="F62" s="542"/>
    </row>
    <row r="63" spans="1:30" ht="14.95" thickBot="1">
      <c r="A63" s="509" t="s">
        <v>442</v>
      </c>
      <c r="F63" s="542"/>
    </row>
    <row r="64" spans="1:30">
      <c r="A64" s="514" t="s">
        <v>121</v>
      </c>
      <c r="B64" s="515" t="s">
        <v>122</v>
      </c>
      <c r="C64" s="515"/>
      <c r="D64" s="515"/>
      <c r="E64" s="515" t="s">
        <v>847</v>
      </c>
      <c r="F64" s="516" t="s">
        <v>123</v>
      </c>
      <c r="G64" s="517"/>
      <c r="H64" s="517"/>
      <c r="I64" s="517"/>
      <c r="J64" s="517"/>
      <c r="K64" s="517"/>
      <c r="L64" s="517"/>
      <c r="M64" s="517"/>
      <c r="N64" s="517"/>
      <c r="O64" s="517"/>
      <c r="P64" s="517"/>
      <c r="Q64" s="517"/>
      <c r="R64" s="517"/>
      <c r="S64" s="519" t="s">
        <v>52</v>
      </c>
      <c r="T64" s="519" t="s">
        <v>396</v>
      </c>
      <c r="U64" s="519"/>
      <c r="V64" s="1195" t="s">
        <v>347</v>
      </c>
      <c r="W64" s="1196"/>
      <c r="X64" s="1196"/>
      <c r="Y64" s="1196"/>
      <c r="Z64" s="1196"/>
      <c r="AA64" s="1196"/>
      <c r="AB64" s="1196"/>
      <c r="AC64" s="1197"/>
    </row>
    <row r="65" spans="1:30">
      <c r="A65" s="532"/>
      <c r="B65" s="521" t="s">
        <v>651</v>
      </c>
      <c r="C65" s="550"/>
      <c r="D65" s="550"/>
      <c r="E65" s="538"/>
      <c r="F65" s="551"/>
      <c r="G65" s="550"/>
      <c r="H65" s="550"/>
      <c r="I65" s="550"/>
      <c r="J65" s="550"/>
      <c r="K65" s="550"/>
      <c r="L65" s="550"/>
      <c r="M65" s="550"/>
      <c r="N65" s="550"/>
      <c r="O65" s="550"/>
      <c r="P65" s="550"/>
      <c r="Q65" s="550"/>
      <c r="R65" s="550"/>
      <c r="S65" s="518" t="s">
        <v>337</v>
      </c>
      <c r="T65" s="500"/>
      <c r="U65" s="500"/>
      <c r="V65" s="1204"/>
      <c r="W65" s="1205"/>
      <c r="X65" s="1205"/>
      <c r="Y65" s="1205"/>
      <c r="Z65" s="1205"/>
      <c r="AA65" s="1205"/>
      <c r="AB65" s="1205"/>
      <c r="AC65" s="1206"/>
    </row>
    <row r="66" spans="1:30" ht="14.95" thickBot="1">
      <c r="A66" s="561">
        <f>+'Appendix A'!A125</f>
        <v>73</v>
      </c>
      <c r="B66" s="565"/>
      <c r="C66" s="563" t="str">
        <f>+'Appendix A'!C125</f>
        <v xml:space="preserve">    Less EPRI Dues</v>
      </c>
      <c r="D66" s="570"/>
      <c r="E66" s="577" t="str">
        <f>+'Appendix A'!E125</f>
        <v>(Note D)</v>
      </c>
      <c r="F66" s="572" t="str">
        <f>+'Appendix A'!F125</f>
        <v>p352-353/Attachment 5</v>
      </c>
      <c r="G66" s="563"/>
      <c r="H66" s="563"/>
      <c r="I66" s="563"/>
      <c r="J66" s="563"/>
      <c r="K66" s="563"/>
      <c r="L66" s="563"/>
      <c r="M66" s="563"/>
      <c r="N66" s="563"/>
      <c r="O66" s="563"/>
      <c r="P66" s="563"/>
      <c r="Q66" s="563"/>
      <c r="R66" s="563"/>
      <c r="S66" s="867">
        <v>2776.1680000000001</v>
      </c>
      <c r="T66" s="574">
        <f>S66</f>
        <v>2776.1680000000001</v>
      </c>
      <c r="U66" s="585"/>
      <c r="V66" s="570"/>
      <c r="W66" s="1200" t="s">
        <v>456</v>
      </c>
      <c r="X66" s="1200"/>
      <c r="Y66" s="1200"/>
      <c r="Z66" s="586"/>
      <c r="AA66" s="586"/>
      <c r="AB66" s="586"/>
      <c r="AC66" s="587"/>
    </row>
    <row r="69" spans="1:30" ht="14.95" thickBot="1">
      <c r="A69" s="509" t="s">
        <v>443</v>
      </c>
    </row>
    <row r="70" spans="1:30" ht="48.25" customHeight="1">
      <c r="A70" s="514" t="s">
        <v>121</v>
      </c>
      <c r="B70" s="515" t="s">
        <v>122</v>
      </c>
      <c r="C70" s="515"/>
      <c r="D70" s="515"/>
      <c r="E70" s="515" t="s">
        <v>847</v>
      </c>
      <c r="F70" s="516" t="s">
        <v>123</v>
      </c>
      <c r="G70" s="517"/>
      <c r="H70" s="517"/>
      <c r="I70" s="517"/>
      <c r="J70" s="517"/>
      <c r="K70" s="517"/>
      <c r="L70" s="517"/>
      <c r="M70" s="517"/>
      <c r="N70" s="517"/>
      <c r="O70" s="517"/>
      <c r="P70" s="517"/>
      <c r="Q70" s="517"/>
      <c r="R70" s="517"/>
      <c r="S70" s="519" t="s">
        <v>398</v>
      </c>
      <c r="T70" s="519" t="s">
        <v>401</v>
      </c>
      <c r="U70" s="519" t="s">
        <v>438</v>
      </c>
      <c r="V70" s="1195" t="s">
        <v>347</v>
      </c>
      <c r="W70" s="1196"/>
      <c r="X70" s="1196"/>
      <c r="Y70" s="1196"/>
      <c r="Z70" s="1196"/>
      <c r="AA70" s="1196"/>
      <c r="AB70" s="1196"/>
      <c r="AC70" s="1197"/>
    </row>
    <row r="71" spans="1:30">
      <c r="A71" s="532"/>
      <c r="B71" s="521" t="s">
        <v>651</v>
      </c>
      <c r="C71" s="550"/>
      <c r="D71" s="550"/>
      <c r="E71" s="538"/>
      <c r="F71" s="551"/>
      <c r="G71" s="550"/>
      <c r="H71" s="550"/>
      <c r="I71" s="550"/>
      <c r="J71" s="550"/>
      <c r="K71" s="550"/>
      <c r="L71" s="550"/>
      <c r="M71" s="550"/>
      <c r="N71" s="550"/>
      <c r="O71" s="550"/>
      <c r="P71" s="550"/>
      <c r="Q71" s="550"/>
      <c r="R71" s="550"/>
      <c r="S71" s="500"/>
      <c r="T71" s="500"/>
      <c r="U71" s="500"/>
      <c r="V71" s="500"/>
      <c r="W71" s="500"/>
      <c r="X71" s="500"/>
      <c r="Y71" s="500"/>
      <c r="Z71" s="500"/>
      <c r="AA71" s="500"/>
      <c r="AB71" s="500"/>
      <c r="AC71" s="523"/>
    </row>
    <row r="72" spans="1:30">
      <c r="A72" s="532">
        <f>+'Appendix A'!A123</f>
        <v>71</v>
      </c>
      <c r="B72" s="534"/>
      <c r="C72" s="533" t="str">
        <f>+'Appendix A'!C123</f>
        <v xml:space="preserve">    Less Regulatory Commission Exp Account 928</v>
      </c>
      <c r="D72" s="588"/>
      <c r="E72" s="534" t="str">
        <f>+'Appendix A'!E123</f>
        <v>(Note E)</v>
      </c>
      <c r="F72" s="542" t="str">
        <f>+'Appendix A'!F123</f>
        <v>p323.189b/Attachment 5</v>
      </c>
      <c r="G72" s="533"/>
      <c r="H72" s="533"/>
      <c r="I72" s="533"/>
      <c r="J72" s="533"/>
      <c r="K72" s="533"/>
      <c r="L72" s="533"/>
      <c r="M72" s="533"/>
      <c r="N72" s="533"/>
      <c r="O72" s="533"/>
      <c r="P72" s="533"/>
      <c r="Q72" s="533"/>
      <c r="R72" s="533"/>
      <c r="S72" s="869">
        <v>27972.333333333332</v>
      </c>
      <c r="T72" s="807"/>
      <c r="U72" s="589">
        <f>S72-T72</f>
        <v>27972.333333333332</v>
      </c>
      <c r="W72" s="1238" t="s">
        <v>510</v>
      </c>
      <c r="X72" s="1238"/>
      <c r="Y72" s="1238"/>
      <c r="Z72" s="1238"/>
      <c r="AA72" s="1238"/>
      <c r="AB72" s="590"/>
      <c r="AC72" s="591"/>
      <c r="AD72" s="610"/>
    </row>
    <row r="73" spans="1:30">
      <c r="A73" s="532"/>
      <c r="B73" s="521" t="s">
        <v>650</v>
      </c>
      <c r="C73" s="549"/>
      <c r="D73" s="550"/>
      <c r="E73" s="531"/>
      <c r="F73" s="592"/>
      <c r="G73" s="545"/>
      <c r="H73" s="545"/>
      <c r="I73" s="545"/>
      <c r="J73" s="545"/>
      <c r="K73" s="545"/>
      <c r="L73" s="545"/>
      <c r="M73" s="545"/>
      <c r="N73" s="545"/>
      <c r="O73" s="545"/>
      <c r="P73" s="545"/>
      <c r="Q73" s="545"/>
      <c r="R73" s="545"/>
      <c r="S73" s="512"/>
      <c r="T73" s="512"/>
      <c r="U73" s="512"/>
      <c r="V73" s="500"/>
      <c r="W73" s="500"/>
      <c r="X73" s="500"/>
      <c r="Y73" s="500"/>
      <c r="Z73" s="500"/>
      <c r="AA73" s="500"/>
      <c r="AB73" s="500"/>
      <c r="AC73" s="523"/>
      <c r="AD73" s="610"/>
    </row>
    <row r="74" spans="1:30" ht="49.75" customHeight="1" thickBot="1">
      <c r="A74" s="561">
        <f>+'Appendix A'!A131</f>
        <v>77</v>
      </c>
      <c r="B74" s="562"/>
      <c r="C74" s="563" t="str">
        <f>+'Appendix A'!C131</f>
        <v>Regulatory Commission Exp Account 928</v>
      </c>
      <c r="D74" s="593"/>
      <c r="E74" s="565" t="str">
        <f>+'Appendix A'!E131</f>
        <v>(Note G)</v>
      </c>
      <c r="F74" s="582" t="str">
        <f>+'Appendix A'!F131</f>
        <v>p323.189b/Attachment 5</v>
      </c>
      <c r="G74" s="563"/>
      <c r="H74" s="563"/>
      <c r="I74" s="563"/>
      <c r="J74" s="563"/>
      <c r="K74" s="563"/>
      <c r="L74" s="563"/>
      <c r="M74" s="563"/>
      <c r="N74" s="563"/>
      <c r="O74" s="563"/>
      <c r="P74" s="563"/>
      <c r="Q74" s="563"/>
      <c r="R74" s="563"/>
      <c r="S74" s="594"/>
      <c r="T74" s="594">
        <f>T72</f>
        <v>0</v>
      </c>
      <c r="U74" s="594"/>
      <c r="V74" s="570"/>
      <c r="W74" s="1213"/>
      <c r="X74" s="1213"/>
      <c r="Y74" s="1213"/>
      <c r="Z74" s="1214"/>
      <c r="AA74" s="1214"/>
      <c r="AB74" s="1214"/>
      <c r="AC74" s="1215"/>
      <c r="AD74" s="671"/>
    </row>
    <row r="77" spans="1:30" ht="14.95" thickBot="1">
      <c r="A77" s="509" t="s">
        <v>444</v>
      </c>
    </row>
    <row r="78" spans="1:30" ht="32.299999999999997" customHeight="1">
      <c r="A78" s="514" t="s">
        <v>121</v>
      </c>
      <c r="B78" s="515" t="s">
        <v>122</v>
      </c>
      <c r="C78" s="515"/>
      <c r="D78" s="515"/>
      <c r="E78" s="515" t="s">
        <v>847</v>
      </c>
      <c r="F78" s="516" t="s">
        <v>123</v>
      </c>
      <c r="G78" s="517"/>
      <c r="H78" s="517"/>
      <c r="I78" s="517"/>
      <c r="J78" s="517"/>
      <c r="K78" s="517"/>
      <c r="L78" s="517"/>
      <c r="M78" s="517"/>
      <c r="N78" s="517"/>
      <c r="O78" s="517"/>
      <c r="P78" s="517"/>
      <c r="Q78" s="517"/>
      <c r="R78" s="517"/>
      <c r="S78" s="519" t="s">
        <v>398</v>
      </c>
      <c r="T78" s="519" t="s">
        <v>402</v>
      </c>
      <c r="U78" s="519" t="s">
        <v>439</v>
      </c>
      <c r="V78" s="1195" t="s">
        <v>347</v>
      </c>
      <c r="W78" s="1196"/>
      <c r="X78" s="1196"/>
      <c r="Y78" s="1196"/>
      <c r="Z78" s="1196"/>
      <c r="AA78" s="1196"/>
      <c r="AB78" s="1196"/>
      <c r="AC78" s="1197"/>
    </row>
    <row r="79" spans="1:30">
      <c r="A79" s="532"/>
      <c r="B79" s="521" t="s">
        <v>650</v>
      </c>
      <c r="C79" s="546"/>
      <c r="D79" s="550"/>
      <c r="E79" s="531"/>
      <c r="F79" s="548"/>
      <c r="G79" s="511"/>
      <c r="H79" s="511"/>
      <c r="I79" s="511"/>
      <c r="J79" s="511"/>
      <c r="K79" s="511"/>
      <c r="L79" s="511"/>
      <c r="M79" s="511"/>
      <c r="N79" s="511"/>
      <c r="O79" s="511"/>
      <c r="P79" s="511"/>
      <c r="Q79" s="511"/>
      <c r="R79" s="511"/>
      <c r="S79" s="500"/>
      <c r="T79" s="500"/>
      <c r="U79" s="500"/>
      <c r="V79" s="500"/>
      <c r="W79" s="500"/>
      <c r="X79" s="500"/>
      <c r="Y79" s="500"/>
      <c r="Z79" s="500"/>
      <c r="AA79" s="500"/>
      <c r="AB79" s="500"/>
      <c r="AC79" s="523"/>
    </row>
    <row r="80" spans="1:30" ht="14.95" thickBot="1">
      <c r="A80" s="595">
        <f>+'Appendix A'!A136</f>
        <v>81</v>
      </c>
      <c r="B80" s="562"/>
      <c r="C80" s="571" t="str">
        <f>+'Appendix A'!C136</f>
        <v>General Advertising Exp Account 930.1</v>
      </c>
      <c r="D80" s="564"/>
      <c r="E80" s="596" t="str">
        <f>+'Appendix A'!E136</f>
        <v>(Note F)</v>
      </c>
      <c r="F80" s="597" t="str">
        <f>+'Appendix A'!F136</f>
        <v>Attachment 5</v>
      </c>
      <c r="G80" s="571"/>
      <c r="H80" s="571"/>
      <c r="I80" s="571"/>
      <c r="J80" s="571"/>
      <c r="K80" s="571"/>
      <c r="L80" s="571"/>
      <c r="M80" s="571"/>
      <c r="N80" s="571"/>
      <c r="O80" s="571"/>
      <c r="P80" s="571"/>
      <c r="Q80" s="571"/>
      <c r="R80" s="571"/>
      <c r="S80" s="797">
        <v>2739.4340000000002</v>
      </c>
      <c r="T80" s="797">
        <v>0</v>
      </c>
      <c r="U80" s="598">
        <f>S80-T80</f>
        <v>2739.4340000000002</v>
      </c>
      <c r="V80" s="1218"/>
      <c r="W80" s="1218"/>
      <c r="X80" s="1218"/>
      <c r="Y80" s="1218"/>
      <c r="Z80" s="1218"/>
      <c r="AA80" s="1218"/>
      <c r="AB80" s="1218"/>
      <c r="AC80" s="1219"/>
    </row>
    <row r="81" spans="1:29">
      <c r="A81" s="510"/>
      <c r="B81" s="560"/>
      <c r="C81" s="533"/>
      <c r="D81" s="550"/>
      <c r="E81" s="527"/>
      <c r="F81" s="533"/>
      <c r="G81" s="533"/>
      <c r="H81" s="533"/>
      <c r="I81" s="533"/>
      <c r="J81" s="533"/>
      <c r="K81" s="533"/>
      <c r="L81" s="533"/>
      <c r="M81" s="533"/>
      <c r="N81" s="533"/>
      <c r="O81" s="533"/>
      <c r="P81" s="533"/>
      <c r="Q81" s="533"/>
      <c r="R81" s="533"/>
      <c r="S81" s="512"/>
      <c r="T81" s="512"/>
      <c r="U81" s="512"/>
      <c r="V81" s="524"/>
      <c r="W81" s="525"/>
      <c r="X81" s="525"/>
      <c r="Y81" s="525"/>
      <c r="Z81" s="525"/>
      <c r="AA81" s="525"/>
      <c r="AB81" s="525"/>
      <c r="AC81" s="525"/>
    </row>
    <row r="83" spans="1:29" ht="14.95" thickBot="1">
      <c r="A83" s="509" t="s">
        <v>397</v>
      </c>
    </row>
    <row r="84" spans="1:29">
      <c r="A84" s="514" t="s">
        <v>121</v>
      </c>
      <c r="B84" s="515" t="s">
        <v>122</v>
      </c>
      <c r="C84" s="515"/>
      <c r="D84" s="515"/>
      <c r="E84" s="515" t="s">
        <v>847</v>
      </c>
      <c r="F84" s="516" t="s">
        <v>123</v>
      </c>
      <c r="G84" s="517"/>
      <c r="H84" s="517"/>
      <c r="I84" s="517"/>
      <c r="J84" s="517"/>
      <c r="K84" s="517"/>
      <c r="L84" s="517"/>
      <c r="M84" s="517"/>
      <c r="N84" s="517"/>
      <c r="O84" s="517"/>
      <c r="P84" s="517"/>
      <c r="Q84" s="517"/>
      <c r="R84" s="517"/>
      <c r="S84" s="519" t="s">
        <v>404</v>
      </c>
      <c r="T84" s="519" t="s">
        <v>405</v>
      </c>
      <c r="U84" s="519" t="s">
        <v>406</v>
      </c>
      <c r="V84" s="519" t="s">
        <v>407</v>
      </c>
      <c r="W84" s="519" t="s">
        <v>408</v>
      </c>
      <c r="X84" s="1195" t="s">
        <v>347</v>
      </c>
      <c r="Y84" s="1196"/>
      <c r="Z84" s="1196"/>
      <c r="AA84" s="1196"/>
      <c r="AB84" s="1196"/>
      <c r="AC84" s="1197"/>
    </row>
    <row r="85" spans="1:29">
      <c r="A85" s="555" t="s">
        <v>630</v>
      </c>
      <c r="B85" s="599" t="s">
        <v>709</v>
      </c>
      <c r="C85" s="511"/>
      <c r="D85" s="511"/>
      <c r="E85" s="531"/>
      <c r="F85" s="600"/>
      <c r="G85" s="601"/>
      <c r="H85" s="601"/>
      <c r="I85" s="601"/>
      <c r="J85" s="601"/>
      <c r="K85" s="601"/>
      <c r="L85" s="601"/>
      <c r="M85" s="601"/>
      <c r="N85" s="601"/>
      <c r="O85" s="601"/>
      <c r="P85" s="601"/>
      <c r="Q85" s="601"/>
      <c r="R85" s="601"/>
      <c r="S85" s="500"/>
      <c r="T85" s="500"/>
      <c r="U85" s="500"/>
      <c r="V85" s="500"/>
      <c r="W85" s="500"/>
      <c r="X85" s="500"/>
      <c r="Y85" s="500"/>
      <c r="Z85" s="500"/>
      <c r="AA85" s="500"/>
      <c r="AB85" s="500"/>
      <c r="AC85" s="523"/>
    </row>
    <row r="86" spans="1:29">
      <c r="A86" s="555"/>
      <c r="B86" s="599"/>
      <c r="C86" s="511"/>
      <c r="D86" s="511"/>
      <c r="E86" s="531"/>
      <c r="F86" s="600"/>
      <c r="G86" s="601"/>
      <c r="H86" s="601"/>
      <c r="I86" s="601"/>
      <c r="J86" s="601"/>
      <c r="K86" s="601"/>
      <c r="L86" s="601"/>
      <c r="M86" s="601"/>
      <c r="N86" s="601"/>
      <c r="O86" s="601"/>
      <c r="P86" s="601"/>
      <c r="Q86" s="601"/>
      <c r="R86" s="601"/>
      <c r="S86" s="512" t="s">
        <v>372</v>
      </c>
      <c r="T86" s="512" t="s">
        <v>373</v>
      </c>
      <c r="U86" s="512" t="s">
        <v>59</v>
      </c>
      <c r="V86" s="512"/>
      <c r="W86" s="512"/>
      <c r="X86" s="1204" t="s">
        <v>403</v>
      </c>
      <c r="Y86" s="1220"/>
      <c r="Z86" s="1220"/>
      <c r="AA86" s="1220"/>
      <c r="AB86" s="1220"/>
      <c r="AC86" s="1221"/>
    </row>
    <row r="87" spans="1:29" ht="14.95" thickBot="1">
      <c r="A87" s="595">
        <f>+'Appendix A'!A216</f>
        <v>132</v>
      </c>
      <c r="B87" s="596"/>
      <c r="C87" s="571" t="str">
        <f>+'Appendix A'!C216</f>
        <v>SIT=State Income Tax Rate or Composite</v>
      </c>
      <c r="D87" s="602"/>
      <c r="E87" s="596" t="str">
        <f>+'Appendix A'!E216</f>
        <v>(Note I)</v>
      </c>
      <c r="F87" s="597"/>
      <c r="G87" s="571"/>
      <c r="H87" s="571"/>
      <c r="I87" s="571"/>
      <c r="J87" s="571"/>
      <c r="K87" s="571"/>
      <c r="L87" s="571"/>
      <c r="M87" s="571"/>
      <c r="N87" s="571"/>
      <c r="O87" s="571"/>
      <c r="P87" s="571"/>
      <c r="Q87" s="571"/>
      <c r="R87" s="571"/>
      <c r="S87" s="798">
        <v>5.5931000000000002E-2</v>
      </c>
      <c r="T87" s="798">
        <v>3.7299999999999998E-3</v>
      </c>
      <c r="U87" s="798">
        <v>1.812E-3</v>
      </c>
      <c r="V87" s="585"/>
      <c r="W87" s="585"/>
      <c r="X87" s="1222">
        <f>SUM(S87:W87)</f>
        <v>6.1473E-2</v>
      </c>
      <c r="Y87" s="1223"/>
      <c r="Z87" s="1223"/>
      <c r="AA87" s="1223"/>
      <c r="AB87" s="1223"/>
      <c r="AC87" s="1224"/>
    </row>
    <row r="90" spans="1:29" ht="14.95" thickBot="1">
      <c r="A90" s="509" t="s">
        <v>445</v>
      </c>
    </row>
    <row r="91" spans="1:29" ht="28.55">
      <c r="A91" s="514" t="s">
        <v>121</v>
      </c>
      <c r="B91" s="515" t="s">
        <v>122</v>
      </c>
      <c r="C91" s="515"/>
      <c r="D91" s="515"/>
      <c r="E91" s="515" t="s">
        <v>847</v>
      </c>
      <c r="F91" s="516" t="s">
        <v>123</v>
      </c>
      <c r="G91" s="517"/>
      <c r="H91" s="517"/>
      <c r="I91" s="517"/>
      <c r="J91" s="517"/>
      <c r="K91" s="517"/>
      <c r="L91" s="517"/>
      <c r="M91" s="517"/>
      <c r="N91" s="517"/>
      <c r="O91" s="517"/>
      <c r="P91" s="517"/>
      <c r="Q91" s="517"/>
      <c r="R91" s="517"/>
      <c r="S91" s="519" t="s">
        <v>398</v>
      </c>
      <c r="T91" s="519" t="s">
        <v>409</v>
      </c>
      <c r="U91" s="519" t="s">
        <v>410</v>
      </c>
      <c r="V91" s="1195" t="s">
        <v>347</v>
      </c>
      <c r="W91" s="1196"/>
      <c r="X91" s="1196"/>
      <c r="Y91" s="1196"/>
      <c r="Z91" s="1196"/>
      <c r="AA91" s="1196"/>
      <c r="AB91" s="1196"/>
      <c r="AC91" s="1197"/>
    </row>
    <row r="92" spans="1:29">
      <c r="A92" s="532"/>
      <c r="B92" s="521" t="s">
        <v>650</v>
      </c>
      <c r="C92" s="546"/>
      <c r="D92" s="550"/>
      <c r="E92" s="531"/>
      <c r="F92" s="548"/>
      <c r="G92" s="511"/>
      <c r="H92" s="511"/>
      <c r="I92" s="511"/>
      <c r="J92" s="511"/>
      <c r="K92" s="511"/>
      <c r="L92" s="511"/>
      <c r="M92" s="511"/>
      <c r="N92" s="511"/>
      <c r="O92" s="511"/>
      <c r="P92" s="511"/>
      <c r="Q92" s="511"/>
      <c r="R92" s="511"/>
      <c r="S92" s="500"/>
      <c r="T92" s="500"/>
      <c r="U92" s="500"/>
      <c r="V92" s="500"/>
      <c r="W92" s="500"/>
      <c r="X92" s="500"/>
      <c r="Y92" s="500"/>
      <c r="Z92" s="500"/>
      <c r="AA92" s="500"/>
      <c r="AB92" s="500"/>
      <c r="AC92" s="523"/>
    </row>
    <row r="93" spans="1:29" ht="14.95" thickBot="1">
      <c r="A93" s="595">
        <f>+'Appendix A'!A132</f>
        <v>78</v>
      </c>
      <c r="B93" s="562"/>
      <c r="C93" s="571" t="str">
        <f>+'Appendix A'!C132</f>
        <v>General Advertising Exp Account 930.1</v>
      </c>
      <c r="D93" s="564"/>
      <c r="E93" s="596" t="str">
        <f>+'Appendix A'!E132</f>
        <v>(Note K)</v>
      </c>
      <c r="F93" s="597" t="str">
        <f>+'Appendix A'!F132</f>
        <v>p323.191b</v>
      </c>
      <c r="G93" s="571"/>
      <c r="H93" s="571"/>
      <c r="I93" s="571"/>
      <c r="J93" s="571"/>
      <c r="K93" s="571"/>
      <c r="L93" s="571"/>
      <c r="M93" s="571"/>
      <c r="N93" s="571"/>
      <c r="O93" s="571"/>
      <c r="P93" s="571"/>
      <c r="Q93" s="571"/>
      <c r="R93" s="571"/>
      <c r="S93" s="868">
        <f>+S80</f>
        <v>2739.4340000000002</v>
      </c>
      <c r="T93" s="799">
        <v>0</v>
      </c>
      <c r="U93" s="603">
        <f>S93-T93</f>
        <v>2739.4340000000002</v>
      </c>
      <c r="V93" s="1229">
        <f>+V80</f>
        <v>0</v>
      </c>
      <c r="W93" s="1213"/>
      <c r="X93" s="1213"/>
      <c r="Y93" s="1213"/>
      <c r="Z93" s="1213"/>
      <c r="AA93" s="1213"/>
      <c r="AB93" s="1213"/>
      <c r="AC93" s="1230"/>
    </row>
    <row r="96" spans="1:29" ht="14.95" thickBot="1">
      <c r="A96" s="509" t="s">
        <v>447</v>
      </c>
    </row>
    <row r="97" spans="1:29">
      <c r="A97" s="514" t="s">
        <v>121</v>
      </c>
      <c r="B97" s="515" t="s">
        <v>122</v>
      </c>
      <c r="C97" s="515"/>
      <c r="D97" s="515"/>
      <c r="E97" s="515" t="s">
        <v>847</v>
      </c>
      <c r="F97" s="516" t="s">
        <v>123</v>
      </c>
      <c r="G97" s="517"/>
      <c r="H97" s="517"/>
      <c r="I97" s="517"/>
      <c r="J97" s="517"/>
      <c r="K97" s="517"/>
      <c r="L97" s="517"/>
      <c r="M97" s="517"/>
      <c r="N97" s="517"/>
      <c r="O97" s="517"/>
      <c r="P97" s="517"/>
      <c r="Q97" s="517"/>
      <c r="R97" s="517"/>
      <c r="S97" s="604">
        <f>+C99</f>
        <v>0</v>
      </c>
      <c r="T97" s="1195" t="s">
        <v>412</v>
      </c>
      <c r="U97" s="1216"/>
      <c r="V97" s="1216"/>
      <c r="W97" s="1216"/>
      <c r="X97" s="1216"/>
      <c r="Y97" s="1216"/>
      <c r="Z97" s="1216"/>
      <c r="AA97" s="1216"/>
      <c r="AB97" s="1216"/>
      <c r="AC97" s="1217"/>
    </row>
    <row r="98" spans="1:29">
      <c r="A98" s="605"/>
      <c r="B98" s="553" t="s">
        <v>653</v>
      </c>
      <c r="C98" s="521"/>
      <c r="D98" s="606"/>
      <c r="E98" s="607"/>
      <c r="F98" s="608"/>
      <c r="G98" s="609"/>
      <c r="H98" s="609"/>
      <c r="I98" s="609"/>
      <c r="J98" s="609"/>
      <c r="K98" s="609"/>
      <c r="L98" s="609"/>
      <c r="M98" s="609"/>
      <c r="N98" s="609"/>
      <c r="O98" s="609"/>
      <c r="P98" s="609"/>
      <c r="Q98" s="609"/>
      <c r="R98" s="609"/>
      <c r="S98" s="610"/>
      <c r="T98" s="500"/>
      <c r="U98" s="500"/>
      <c r="V98" s="500"/>
      <c r="W98" s="500"/>
      <c r="X98" s="500"/>
      <c r="Y98" s="500"/>
      <c r="Z98" s="500"/>
      <c r="AA98" s="500"/>
      <c r="AB98" s="500"/>
      <c r="AC98" s="523"/>
    </row>
    <row r="99" spans="1:29">
      <c r="A99" s="532"/>
      <c r="B99" s="534"/>
      <c r="C99" s="533"/>
      <c r="D99" s="606"/>
      <c r="E99" s="534"/>
      <c r="F99" s="542"/>
      <c r="G99" s="533" t="s">
        <v>48</v>
      </c>
      <c r="H99" s="533"/>
      <c r="I99" s="533"/>
      <c r="J99" s="533"/>
      <c r="K99" s="533"/>
      <c r="L99" s="533"/>
      <c r="M99" s="533"/>
      <c r="N99" s="533"/>
      <c r="O99" s="533"/>
      <c r="P99" s="533"/>
      <c r="Q99" s="533"/>
      <c r="R99" s="533"/>
      <c r="S99" s="611">
        <v>0</v>
      </c>
      <c r="T99" s="1204" t="s">
        <v>414</v>
      </c>
      <c r="U99" s="1205"/>
      <c r="V99" s="1205"/>
      <c r="W99" s="1205"/>
      <c r="X99" s="1205"/>
      <c r="Y99" s="1205"/>
      <c r="Z99" s="1205"/>
      <c r="AA99" s="1205"/>
      <c r="AB99" s="1205"/>
      <c r="AC99" s="1206"/>
    </row>
    <row r="100" spans="1:29" ht="14.95" thickBot="1">
      <c r="A100" s="561"/>
      <c r="B100" s="565"/>
      <c r="C100" s="567"/>
      <c r="D100" s="612"/>
      <c r="E100" s="568"/>
      <c r="F100" s="613"/>
      <c r="G100" s="588" t="s">
        <v>50</v>
      </c>
      <c r="H100" s="588"/>
      <c r="I100" s="588"/>
      <c r="J100" s="588"/>
      <c r="K100" s="588"/>
      <c r="L100" s="588"/>
      <c r="M100" s="588"/>
      <c r="N100" s="588"/>
      <c r="O100" s="588"/>
      <c r="P100" s="588"/>
      <c r="Q100" s="588"/>
      <c r="R100" s="588"/>
      <c r="S100" s="610"/>
      <c r="T100" s="500"/>
      <c r="U100" s="500"/>
      <c r="V100" s="500"/>
      <c r="W100" s="500"/>
      <c r="X100" s="500"/>
      <c r="Y100" s="500"/>
      <c r="Z100" s="500"/>
      <c r="AA100" s="512"/>
      <c r="AB100" s="500"/>
      <c r="AC100" s="523"/>
    </row>
    <row r="101" spans="1:29">
      <c r="A101" s="532"/>
      <c r="B101" s="534"/>
      <c r="C101" s="503" t="s">
        <v>519</v>
      </c>
      <c r="D101" s="606"/>
      <c r="E101" s="538"/>
      <c r="F101" s="588"/>
      <c r="G101" s="588"/>
      <c r="H101" s="588"/>
      <c r="I101" s="588"/>
      <c r="J101" s="588"/>
      <c r="K101" s="588"/>
      <c r="L101" s="588"/>
      <c r="M101" s="588"/>
      <c r="N101" s="588"/>
      <c r="O101" s="588"/>
      <c r="P101" s="588"/>
      <c r="Q101" s="588"/>
      <c r="R101" s="588"/>
      <c r="S101" s="614"/>
      <c r="T101" s="1204" t="s">
        <v>457</v>
      </c>
      <c r="U101" s="1205"/>
      <c r="V101" s="1205"/>
      <c r="W101" s="1205"/>
      <c r="X101" s="1205"/>
      <c r="Y101" s="1205"/>
      <c r="Z101" s="1205"/>
      <c r="AA101" s="1205"/>
      <c r="AB101" s="1205"/>
      <c r="AC101" s="1206"/>
    </row>
    <row r="102" spans="1:29">
      <c r="A102" s="532"/>
      <c r="B102" s="615">
        <v>1</v>
      </c>
      <c r="C102" s="616" t="s">
        <v>55</v>
      </c>
      <c r="D102" s="617"/>
      <c r="E102" s="618"/>
      <c r="F102" s="619"/>
      <c r="G102" s="619"/>
      <c r="H102" s="620"/>
      <c r="I102" s="588"/>
      <c r="J102" s="588"/>
      <c r="K102" s="588"/>
      <c r="L102" s="588"/>
      <c r="M102" s="588"/>
      <c r="N102" s="588"/>
      <c r="O102" s="588"/>
      <c r="P102" s="588"/>
      <c r="Q102" s="588"/>
      <c r="R102" s="588"/>
      <c r="S102" s="610"/>
      <c r="T102" s="1204"/>
      <c r="U102" s="1205"/>
      <c r="V102" s="1205"/>
      <c r="W102" s="1205"/>
      <c r="X102" s="1205"/>
      <c r="Y102" s="1205"/>
      <c r="Z102" s="1205"/>
      <c r="AA102" s="1205"/>
      <c r="AB102" s="1205"/>
      <c r="AC102" s="1206"/>
    </row>
    <row r="103" spans="1:29">
      <c r="A103" s="532"/>
      <c r="B103" s="621"/>
      <c r="C103" s="503" t="s">
        <v>56</v>
      </c>
      <c r="D103" s="606"/>
      <c r="E103" s="538"/>
      <c r="F103" s="588"/>
      <c r="G103" s="588"/>
      <c r="H103" s="622"/>
      <c r="I103" s="588"/>
      <c r="J103" s="588"/>
      <c r="K103" s="588"/>
      <c r="L103" s="588"/>
      <c r="M103" s="588"/>
      <c r="N103" s="588"/>
      <c r="O103" s="588"/>
      <c r="P103" s="588"/>
      <c r="Q103" s="588"/>
      <c r="R103" s="588"/>
      <c r="S103" s="610"/>
      <c r="T103" s="524"/>
      <c r="U103" s="525"/>
      <c r="V103" s="525"/>
      <c r="W103" s="525"/>
      <c r="X103" s="525"/>
      <c r="Y103" s="525"/>
      <c r="Z103" s="525"/>
      <c r="AA103" s="525"/>
      <c r="AB103" s="525"/>
      <c r="AC103" s="526"/>
    </row>
    <row r="104" spans="1:29">
      <c r="A104" s="532"/>
      <c r="B104" s="621">
        <v>2</v>
      </c>
      <c r="C104" s="503" t="s">
        <v>520</v>
      </c>
      <c r="D104" s="606"/>
      <c r="E104" s="538"/>
      <c r="F104" s="588"/>
      <c r="G104" s="623"/>
      <c r="H104" s="624"/>
      <c r="I104" s="588"/>
      <c r="J104" s="588"/>
      <c r="K104" s="588"/>
      <c r="L104" s="588"/>
      <c r="M104" s="588"/>
      <c r="N104" s="588"/>
      <c r="O104" s="588"/>
      <c r="P104" s="588"/>
      <c r="Q104" s="588"/>
      <c r="R104" s="588"/>
      <c r="S104" s="610"/>
      <c r="T104" s="1204"/>
      <c r="U104" s="1205"/>
      <c r="V104" s="1205"/>
      <c r="W104" s="1205"/>
      <c r="X104" s="1205"/>
      <c r="Y104" s="1205"/>
      <c r="Z104" s="1205"/>
      <c r="AA104" s="1205"/>
      <c r="AB104" s="1205"/>
      <c r="AC104" s="1206"/>
    </row>
    <row r="105" spans="1:29">
      <c r="A105" s="532"/>
      <c r="B105" s="621"/>
      <c r="C105" s="503" t="s">
        <v>521</v>
      </c>
      <c r="D105" s="578" t="s">
        <v>522</v>
      </c>
      <c r="E105" s="538"/>
      <c r="F105" s="588"/>
      <c r="G105" s="623"/>
      <c r="H105" s="624"/>
      <c r="I105" s="588"/>
      <c r="J105" s="588"/>
      <c r="K105" s="588"/>
      <c r="L105" s="588"/>
      <c r="M105" s="588"/>
      <c r="N105" s="588"/>
      <c r="O105" s="588"/>
      <c r="P105" s="588"/>
      <c r="Q105" s="588"/>
      <c r="R105" s="588"/>
      <c r="S105" s="610"/>
      <c r="T105" s="1204"/>
      <c r="U105" s="1205"/>
      <c r="V105" s="1205"/>
      <c r="W105" s="1205"/>
      <c r="X105" s="1205"/>
      <c r="Y105" s="1205"/>
      <c r="Z105" s="1205"/>
      <c r="AA105" s="1205"/>
      <c r="AB105" s="1205"/>
      <c r="AC105" s="1206"/>
    </row>
    <row r="106" spans="1:29">
      <c r="A106" s="625"/>
      <c r="B106" s="626" t="s">
        <v>632</v>
      </c>
      <c r="C106" s="503" t="s">
        <v>523</v>
      </c>
      <c r="D106" s="552">
        <v>1000000</v>
      </c>
      <c r="E106" s="546"/>
      <c r="F106" s="546"/>
      <c r="G106" s="627"/>
      <c r="H106" s="628"/>
      <c r="I106" s="546"/>
      <c r="J106" s="546"/>
      <c r="K106" s="546"/>
      <c r="L106" s="546"/>
      <c r="M106" s="546"/>
      <c r="N106" s="546"/>
      <c r="O106" s="546"/>
      <c r="P106" s="546"/>
      <c r="Q106" s="546"/>
      <c r="R106" s="546"/>
      <c r="S106" s="610"/>
      <c r="T106" s="1204"/>
      <c r="U106" s="1205"/>
      <c r="V106" s="1205"/>
      <c r="W106" s="1205"/>
      <c r="X106" s="1205"/>
      <c r="Y106" s="1205"/>
      <c r="Z106" s="1205"/>
      <c r="AA106" s="1205"/>
      <c r="AB106" s="1205"/>
      <c r="AC106" s="1206"/>
    </row>
    <row r="107" spans="1:29">
      <c r="A107" s="625"/>
      <c r="B107" s="626" t="s">
        <v>814</v>
      </c>
      <c r="C107" s="503" t="s">
        <v>524</v>
      </c>
      <c r="D107" s="552">
        <v>500000</v>
      </c>
      <c r="E107" s="546"/>
      <c r="F107" s="546"/>
      <c r="G107" s="546"/>
      <c r="H107" s="629"/>
      <c r="I107" s="546"/>
      <c r="J107" s="546"/>
      <c r="K107" s="546"/>
      <c r="L107" s="546"/>
      <c r="M107" s="546"/>
      <c r="N107" s="546"/>
      <c r="O107" s="546"/>
      <c r="P107" s="546"/>
      <c r="Q107" s="546"/>
      <c r="R107" s="546"/>
      <c r="S107" s="610"/>
      <c r="T107" s="1204"/>
      <c r="U107" s="1205"/>
      <c r="V107" s="1205"/>
      <c r="W107" s="1205"/>
      <c r="X107" s="1205"/>
      <c r="Y107" s="1205"/>
      <c r="Z107" s="1205"/>
      <c r="AA107" s="1205"/>
      <c r="AB107" s="1205"/>
      <c r="AC107" s="1206"/>
    </row>
    <row r="108" spans="1:29">
      <c r="A108" s="625"/>
      <c r="B108" s="626" t="s">
        <v>610</v>
      </c>
      <c r="C108" s="503" t="s">
        <v>525</v>
      </c>
      <c r="D108" s="552">
        <v>400000</v>
      </c>
      <c r="E108" s="546"/>
      <c r="F108" s="546"/>
      <c r="G108" s="546"/>
      <c r="H108" s="629"/>
      <c r="I108" s="546"/>
      <c r="J108" s="546"/>
      <c r="K108" s="546"/>
      <c r="L108" s="546"/>
      <c r="M108" s="546"/>
      <c r="N108" s="546"/>
      <c r="O108" s="546"/>
      <c r="P108" s="546"/>
      <c r="Q108" s="546"/>
      <c r="R108" s="546"/>
      <c r="S108" s="610"/>
      <c r="T108" s="1204"/>
      <c r="U108" s="1205"/>
      <c r="V108" s="1205"/>
      <c r="W108" s="1205"/>
      <c r="X108" s="1205"/>
      <c r="Y108" s="1205"/>
      <c r="Z108" s="1205"/>
      <c r="AA108" s="1205"/>
      <c r="AB108" s="1205"/>
      <c r="AC108" s="1206"/>
    </row>
    <row r="109" spans="1:29">
      <c r="A109" s="625"/>
      <c r="B109" s="630" t="s">
        <v>633</v>
      </c>
      <c r="C109" s="631" t="s">
        <v>526</v>
      </c>
      <c r="D109" s="632">
        <f>+D106*(D108/(D107+D108))</f>
        <v>444444.44444444444</v>
      </c>
      <c r="E109" s="633"/>
      <c r="F109" s="633"/>
      <c r="G109" s="633"/>
      <c r="H109" s="634"/>
      <c r="I109" s="546"/>
      <c r="J109" s="546"/>
      <c r="K109" s="546"/>
      <c r="L109" s="546"/>
      <c r="M109" s="546"/>
      <c r="N109" s="546"/>
      <c r="O109" s="546"/>
      <c r="P109" s="546"/>
      <c r="Q109" s="546"/>
      <c r="R109" s="546"/>
      <c r="S109" s="610"/>
      <c r="T109" s="1204"/>
      <c r="U109" s="1205"/>
      <c r="V109" s="1205"/>
      <c r="W109" s="1205"/>
      <c r="X109" s="1205"/>
      <c r="Y109" s="1205"/>
      <c r="Z109" s="1205"/>
      <c r="AA109" s="1205"/>
      <c r="AB109" s="1205"/>
      <c r="AC109" s="1206"/>
    </row>
    <row r="110" spans="1:29" ht="14.95" thickBot="1">
      <c r="A110" s="635"/>
      <c r="B110" s="570"/>
      <c r="C110" s="570"/>
      <c r="D110" s="570"/>
      <c r="E110" s="570"/>
      <c r="F110" s="570"/>
      <c r="G110" s="570"/>
      <c r="H110" s="570"/>
      <c r="I110" s="570"/>
      <c r="J110" s="570"/>
      <c r="K110" s="570"/>
      <c r="L110" s="570"/>
      <c r="M110" s="570"/>
      <c r="N110" s="570"/>
      <c r="O110" s="570"/>
      <c r="P110" s="570"/>
      <c r="Q110" s="570"/>
      <c r="R110" s="570"/>
      <c r="S110" s="635"/>
      <c r="T110" s="570"/>
      <c r="U110" s="570"/>
      <c r="V110" s="570"/>
      <c r="W110" s="636" t="s">
        <v>413</v>
      </c>
      <c r="X110" s="570"/>
      <c r="Y110" s="570"/>
      <c r="Z110" s="570"/>
      <c r="AA110" s="570"/>
      <c r="AB110" s="570"/>
      <c r="AC110" s="584"/>
    </row>
    <row r="111" spans="1:29">
      <c r="A111" s="500"/>
      <c r="B111" s="500"/>
      <c r="C111" s="500"/>
      <c r="D111" s="500"/>
      <c r="E111" s="500"/>
      <c r="F111" s="500"/>
      <c r="G111" s="500"/>
      <c r="H111" s="500"/>
      <c r="I111" s="500"/>
      <c r="J111" s="500"/>
      <c r="K111" s="500"/>
      <c r="L111" s="500"/>
      <c r="M111" s="500"/>
      <c r="N111" s="500"/>
      <c r="O111" s="500"/>
      <c r="P111" s="500"/>
      <c r="Q111" s="500"/>
      <c r="R111" s="500"/>
      <c r="S111" s="500"/>
      <c r="T111" s="500"/>
      <c r="U111" s="500"/>
      <c r="V111" s="500"/>
      <c r="W111" s="637"/>
      <c r="X111" s="500"/>
      <c r="Y111" s="500"/>
      <c r="Z111" s="500"/>
      <c r="AA111" s="500"/>
      <c r="AB111" s="500"/>
      <c r="AC111" s="500"/>
    </row>
    <row r="112" spans="1:29" ht="27" customHeight="1" thickBot="1">
      <c r="A112" s="509" t="s">
        <v>835</v>
      </c>
    </row>
    <row r="113" spans="1:29" ht="50.95" customHeight="1">
      <c r="A113" s="514" t="s">
        <v>121</v>
      </c>
      <c r="B113" s="515" t="s">
        <v>122</v>
      </c>
      <c r="C113" s="515"/>
      <c r="D113" s="515"/>
      <c r="E113" s="515" t="s">
        <v>847</v>
      </c>
      <c r="F113" s="515" t="s">
        <v>123</v>
      </c>
      <c r="G113" s="604" t="s">
        <v>392</v>
      </c>
      <c r="H113" s="922" t="s">
        <v>393</v>
      </c>
      <c r="I113" s="922" t="s">
        <v>394</v>
      </c>
      <c r="J113" s="922" t="s">
        <v>838</v>
      </c>
      <c r="K113" s="922" t="s">
        <v>401</v>
      </c>
      <c r="L113" s="922"/>
      <c r="M113" s="517"/>
      <c r="N113" s="517"/>
      <c r="O113" s="517"/>
      <c r="P113" s="517"/>
      <c r="Q113" s="517"/>
      <c r="R113" s="517"/>
      <c r="S113" s="517"/>
      <c r="T113" s="517"/>
      <c r="U113" s="517"/>
      <c r="V113" s="1195" t="s">
        <v>347</v>
      </c>
      <c r="W113" s="1196"/>
      <c r="X113" s="1196"/>
      <c r="Y113" s="1196"/>
      <c r="Z113" s="1196"/>
      <c r="AA113" s="1196"/>
      <c r="AB113" s="1196"/>
      <c r="AC113" s="1197"/>
    </row>
    <row r="114" spans="1:29">
      <c r="A114" s="532">
        <f>+'Appendix A'!A82</f>
        <v>47</v>
      </c>
      <c r="B114" s="521" t="s">
        <v>518</v>
      </c>
      <c r="C114" s="546"/>
      <c r="D114" s="550"/>
      <c r="E114" s="538"/>
      <c r="F114" s="511"/>
      <c r="G114" s="638" t="s">
        <v>411</v>
      </c>
      <c r="H114" s="639" t="s">
        <v>411</v>
      </c>
      <c r="I114" s="500"/>
      <c r="J114" s="639"/>
      <c r="K114" s="639" t="s">
        <v>337</v>
      </c>
      <c r="L114" s="639"/>
      <c r="M114" s="511"/>
      <c r="N114" s="511"/>
      <c r="O114" s="511"/>
      <c r="P114" s="511"/>
      <c r="Q114" s="511"/>
      <c r="R114" s="511"/>
      <c r="S114" s="511"/>
      <c r="T114" s="511"/>
      <c r="U114" s="511"/>
      <c r="V114" s="500"/>
      <c r="W114" s="500"/>
      <c r="X114" s="500"/>
      <c r="Y114" s="500"/>
      <c r="Z114" s="500"/>
      <c r="AA114" s="500"/>
      <c r="AB114" s="500"/>
      <c r="AC114" s="523"/>
    </row>
    <row r="115" spans="1:29">
      <c r="A115" s="532"/>
      <c r="B115" s="521"/>
      <c r="C115" s="546" t="s">
        <v>836</v>
      </c>
      <c r="D115" s="550"/>
      <c r="E115" s="538"/>
      <c r="F115" s="511"/>
      <c r="G115" s="665">
        <v>6082.5813289373109</v>
      </c>
      <c r="H115" s="804">
        <v>6466.4216052623142</v>
      </c>
      <c r="I115" s="559">
        <f>(G115+H115)/2</f>
        <v>6274.5014670998125</v>
      </c>
      <c r="J115" s="640">
        <v>1</v>
      </c>
      <c r="K115" s="639">
        <f>I115*J115</f>
        <v>6274.5014670998125</v>
      </c>
      <c r="L115" s="639"/>
      <c r="M115" s="511"/>
      <c r="N115" s="511"/>
      <c r="O115" s="511"/>
      <c r="P115" s="511"/>
      <c r="Q115" s="511"/>
      <c r="R115" s="511"/>
      <c r="S115" s="511"/>
      <c r="T115" s="511"/>
      <c r="U115" s="511"/>
      <c r="V115" s="500"/>
      <c r="W115" s="500"/>
      <c r="X115" s="500"/>
      <c r="Y115" s="500"/>
      <c r="Z115" s="500"/>
      <c r="AA115" s="500"/>
      <c r="AB115" s="500"/>
      <c r="AC115" s="523"/>
    </row>
    <row r="116" spans="1:29">
      <c r="A116" s="532"/>
      <c r="B116" s="521"/>
      <c r="C116" s="546" t="s">
        <v>837</v>
      </c>
      <c r="D116" s="550"/>
      <c r="E116" s="538"/>
      <c r="F116" s="511"/>
      <c r="G116" s="665">
        <v>334.71954999999997</v>
      </c>
      <c r="H116" s="804">
        <v>302.41730000000001</v>
      </c>
      <c r="I116" s="559">
        <f>(G116+H116)/2</f>
        <v>318.56842499999999</v>
      </c>
      <c r="J116" s="641">
        <f>'Appendix A'!H91</f>
        <v>7.4610569211962935E-2</v>
      </c>
      <c r="K116" s="639">
        <f>I116*J116</f>
        <v>23.768571522208521</v>
      </c>
      <c r="L116" s="639"/>
      <c r="M116" s="511"/>
      <c r="N116" s="511"/>
      <c r="O116" s="511"/>
      <c r="P116" s="511"/>
      <c r="Q116" s="511"/>
      <c r="R116" s="511"/>
      <c r="S116" s="511"/>
      <c r="T116" s="511"/>
      <c r="U116" s="511"/>
      <c r="V116" s="500"/>
      <c r="W116" s="500"/>
      <c r="X116" s="500"/>
      <c r="Y116" s="500"/>
      <c r="Z116" s="500"/>
      <c r="AA116" s="500"/>
      <c r="AB116" s="500"/>
      <c r="AC116" s="523"/>
    </row>
    <row r="117" spans="1:29">
      <c r="A117" s="532"/>
      <c r="B117" s="521"/>
      <c r="C117" s="546" t="s">
        <v>327</v>
      </c>
      <c r="D117" s="550"/>
      <c r="E117" s="538"/>
      <c r="F117" s="511"/>
      <c r="G117" s="665">
        <v>2570.9988399999997</v>
      </c>
      <c r="H117" s="804">
        <v>5864.9930699999995</v>
      </c>
      <c r="I117" s="559">
        <f>(G117+H117)/2</f>
        <v>4217.9959549999994</v>
      </c>
      <c r="J117" s="642">
        <f>'Appendix A'!H34</f>
        <v>0.17746429425606966</v>
      </c>
      <c r="K117" s="639">
        <f>I117*J117</f>
        <v>748.54367532903143</v>
      </c>
      <c r="L117" s="639"/>
      <c r="M117" s="511"/>
      <c r="N117" s="511"/>
      <c r="O117" s="511"/>
      <c r="P117" s="511"/>
      <c r="Q117" s="511"/>
      <c r="R117" s="511"/>
      <c r="S117" s="511"/>
      <c r="T117" s="511"/>
      <c r="U117" s="511"/>
      <c r="V117" s="500"/>
      <c r="W117" s="500"/>
      <c r="X117" s="500"/>
      <c r="Y117" s="500"/>
      <c r="Z117" s="500"/>
      <c r="AA117" s="500"/>
      <c r="AB117" s="500"/>
      <c r="AC117" s="523"/>
    </row>
    <row r="118" spans="1:29">
      <c r="A118" s="532"/>
      <c r="B118" s="521"/>
      <c r="C118" s="546" t="s">
        <v>410</v>
      </c>
      <c r="D118" s="550"/>
      <c r="E118" s="538"/>
      <c r="F118" s="511"/>
      <c r="G118" s="665">
        <v>194657.89590106267</v>
      </c>
      <c r="H118" s="804">
        <v>164425.2969647377</v>
      </c>
      <c r="I118" s="559">
        <f>(G118+H118)/2</f>
        <v>179541.59643290017</v>
      </c>
      <c r="J118" s="642">
        <v>0</v>
      </c>
      <c r="K118" s="639">
        <f>I118*J118</f>
        <v>0</v>
      </c>
      <c r="L118" s="639"/>
      <c r="M118" s="511"/>
      <c r="N118" s="511"/>
      <c r="O118" s="511"/>
      <c r="P118" s="511"/>
      <c r="Q118" s="511"/>
      <c r="R118" s="511"/>
      <c r="S118" s="511"/>
      <c r="T118" s="511"/>
      <c r="U118" s="511"/>
      <c r="V118" s="500"/>
      <c r="W118" s="500"/>
      <c r="X118" s="500"/>
      <c r="Y118" s="500"/>
      <c r="Z118" s="500"/>
      <c r="AA118" s="500"/>
      <c r="AB118" s="500"/>
      <c r="AC118" s="523"/>
    </row>
    <row r="119" spans="1:29" ht="14.95" thickBot="1">
      <c r="A119" s="643"/>
      <c r="B119" s="562"/>
      <c r="C119" s="563" t="s">
        <v>527</v>
      </c>
      <c r="D119" s="564"/>
      <c r="E119" s="565"/>
      <c r="F119" s="571"/>
      <c r="G119" s="923"/>
      <c r="H119" s="805"/>
      <c r="I119" s="644">
        <f>(G119+H119)/2</f>
        <v>0</v>
      </c>
      <c r="J119" s="645"/>
      <c r="K119" s="603">
        <f>SUM(K115:K118)</f>
        <v>7046.8137139510527</v>
      </c>
      <c r="L119" s="603" t="s">
        <v>1007</v>
      </c>
      <c r="M119" s="571"/>
      <c r="N119" s="571"/>
      <c r="O119" s="571"/>
      <c r="P119" s="571"/>
      <c r="Q119" s="571"/>
      <c r="R119" s="571"/>
      <c r="S119" s="571"/>
      <c r="T119" s="571"/>
      <c r="U119" s="571"/>
      <c r="V119" s="1229"/>
      <c r="W119" s="1213"/>
      <c r="X119" s="1213"/>
      <c r="Y119" s="1213"/>
      <c r="Z119" s="1213"/>
      <c r="AA119" s="1213"/>
      <c r="AB119" s="1213"/>
      <c r="AC119" s="1230"/>
    </row>
    <row r="120" spans="1:29">
      <c r="A120" s="534"/>
      <c r="B120" s="534"/>
      <c r="C120" s="534"/>
      <c r="D120" s="534"/>
      <c r="E120" s="534"/>
      <c r="F120" s="534"/>
      <c r="G120" s="534"/>
      <c r="H120" s="534"/>
      <c r="I120" s="534"/>
      <c r="J120" s="534"/>
      <c r="K120" s="534"/>
      <c r="L120" s="534"/>
      <c r="M120" s="534"/>
      <c r="N120" s="534"/>
      <c r="O120" s="534"/>
      <c r="P120" s="534"/>
      <c r="Q120" s="534"/>
      <c r="R120" s="534"/>
      <c r="S120" s="534"/>
      <c r="T120" s="534"/>
      <c r="U120" s="534"/>
      <c r="V120" s="500"/>
      <c r="W120" s="637"/>
      <c r="X120" s="500"/>
      <c r="Y120" s="500"/>
      <c r="Z120" s="500"/>
      <c r="AA120" s="500"/>
      <c r="AB120" s="500"/>
      <c r="AC120" s="500"/>
    </row>
    <row r="121" spans="1:29">
      <c r="A121" s="534"/>
      <c r="B121" s="534"/>
      <c r="C121" s="534"/>
      <c r="D121" s="534"/>
      <c r="E121" s="534"/>
      <c r="F121" s="534"/>
      <c r="G121" s="534"/>
      <c r="H121" s="534"/>
      <c r="I121" s="534"/>
      <c r="J121" s="534"/>
      <c r="K121" s="534"/>
      <c r="L121" s="534"/>
      <c r="M121" s="534"/>
      <c r="N121" s="534"/>
      <c r="O121" s="534"/>
      <c r="P121" s="534"/>
      <c r="Q121" s="534"/>
      <c r="R121" s="534"/>
      <c r="S121" s="500"/>
      <c r="T121" s="500"/>
      <c r="U121" s="500"/>
      <c r="V121" s="500"/>
      <c r="W121" s="637"/>
      <c r="X121" s="500"/>
      <c r="Y121" s="500"/>
      <c r="Z121" s="500"/>
      <c r="AA121" s="500"/>
      <c r="AB121" s="500"/>
      <c r="AC121" s="500"/>
    </row>
    <row r="122" spans="1:29" ht="14.95" thickBot="1">
      <c r="A122" s="509" t="s">
        <v>668</v>
      </c>
    </row>
    <row r="123" spans="1:29">
      <c r="A123" s="514" t="s">
        <v>121</v>
      </c>
      <c r="B123" s="515" t="s">
        <v>122</v>
      </c>
      <c r="C123" s="515"/>
      <c r="D123" s="515"/>
      <c r="E123" s="515" t="s">
        <v>847</v>
      </c>
      <c r="F123" s="516" t="s">
        <v>123</v>
      </c>
      <c r="G123" s="517"/>
      <c r="H123" s="517"/>
      <c r="I123" s="517"/>
      <c r="J123" s="517"/>
      <c r="K123" s="517"/>
      <c r="L123" s="517"/>
      <c r="M123" s="517"/>
      <c r="N123" s="517"/>
      <c r="O123" s="517"/>
      <c r="P123" s="517"/>
      <c r="Q123" s="517"/>
      <c r="R123" s="517"/>
      <c r="S123" s="519"/>
      <c r="T123" s="1195" t="s">
        <v>528</v>
      </c>
      <c r="U123" s="1216"/>
      <c r="V123" s="1216"/>
      <c r="W123" s="1216"/>
      <c r="X123" s="1216"/>
      <c r="Y123" s="1216"/>
      <c r="Z123" s="1216"/>
      <c r="AA123" s="1216"/>
      <c r="AB123" s="1216"/>
      <c r="AC123" s="1217"/>
    </row>
    <row r="124" spans="1:29" ht="45.7" customHeight="1">
      <c r="A124" s="532">
        <f>+'Appendix A'!A85</f>
        <v>48</v>
      </c>
      <c r="B124" s="544" t="s">
        <v>668</v>
      </c>
      <c r="C124" s="637"/>
      <c r="F124" s="542"/>
      <c r="G124" s="646" t="s">
        <v>392</v>
      </c>
      <c r="H124" s="647" t="s">
        <v>393</v>
      </c>
      <c r="I124" s="646" t="s">
        <v>394</v>
      </c>
      <c r="J124" s="531"/>
      <c r="K124" s="607" t="s">
        <v>1008</v>
      </c>
      <c r="M124" s="607"/>
      <c r="N124" s="607"/>
      <c r="O124" s="607"/>
      <c r="P124" s="607"/>
      <c r="Q124" s="607"/>
      <c r="R124" s="607"/>
      <c r="S124" s="500"/>
      <c r="T124" s="500"/>
      <c r="U124" s="500"/>
      <c r="V124" s="500"/>
      <c r="W124" s="500"/>
      <c r="X124" s="500"/>
      <c r="Y124" s="500"/>
      <c r="Z124" s="500"/>
      <c r="AA124" s="500"/>
      <c r="AB124" s="500"/>
      <c r="AC124" s="523"/>
    </row>
    <row r="125" spans="1:29">
      <c r="A125" s="532"/>
      <c r="B125" s="534"/>
      <c r="C125" s="546" t="str">
        <f>+'Appendix A'!B18</f>
        <v>Wages &amp; Salary Allocator</v>
      </c>
      <c r="F125" s="542"/>
      <c r="G125" s="648"/>
      <c r="H125" s="649"/>
      <c r="I125" s="500"/>
      <c r="J125" s="649">
        <f>'Appendix A'!H18</f>
        <v>7.4610569211962935E-2</v>
      </c>
      <c r="K125" s="533"/>
      <c r="M125" s="533"/>
      <c r="N125" s="533"/>
      <c r="O125" s="533"/>
      <c r="P125" s="533"/>
      <c r="Q125" s="533"/>
      <c r="R125" s="533"/>
      <c r="S125" s="637"/>
      <c r="T125" s="1204"/>
      <c r="U125" s="1205"/>
      <c r="V125" s="1205"/>
      <c r="W125" s="1205"/>
      <c r="X125" s="1205"/>
      <c r="Y125" s="1205"/>
      <c r="Z125" s="1205"/>
      <c r="AA125" s="1205"/>
      <c r="AB125" s="1205"/>
      <c r="AC125" s="1206"/>
    </row>
    <row r="126" spans="1:29">
      <c r="A126" s="532"/>
      <c r="B126" s="534"/>
      <c r="C126" s="546" t="s">
        <v>433</v>
      </c>
      <c r="F126" s="542"/>
      <c r="G126" s="650">
        <v>46.908360000000002</v>
      </c>
      <c r="H126" s="650">
        <v>70.183549999999997</v>
      </c>
      <c r="I126" s="559">
        <f>(G126+H126)/2</f>
        <v>58.545954999999999</v>
      </c>
      <c r="J126" s="649">
        <f>+J125</f>
        <v>7.4610569211962935E-2</v>
      </c>
      <c r="K126" s="651">
        <f>I126*J126</f>
        <v>4.368147027607967</v>
      </c>
      <c r="M126" s="651"/>
      <c r="N126" s="651"/>
      <c r="O126" s="651"/>
      <c r="P126" s="651"/>
      <c r="Q126" s="651"/>
      <c r="R126" s="651"/>
      <c r="S126" s="652"/>
      <c r="T126" s="653"/>
      <c r="U126" s="525"/>
      <c r="V126" s="525"/>
      <c r="W126" s="525"/>
      <c r="X126" s="525"/>
      <c r="Y126" s="525"/>
      <c r="Z126" s="525"/>
      <c r="AA126" s="525"/>
      <c r="AB126" s="525"/>
      <c r="AC126" s="526"/>
    </row>
    <row r="127" spans="1:29">
      <c r="A127" s="532"/>
      <c r="B127" s="534"/>
      <c r="C127" s="546"/>
      <c r="F127" s="542"/>
      <c r="G127" s="650"/>
      <c r="H127" s="650"/>
      <c r="I127" s="559">
        <f>(G127+H127)/2</f>
        <v>0</v>
      </c>
      <c r="J127" s="500"/>
      <c r="K127" s="533"/>
      <c r="M127" s="533"/>
      <c r="N127" s="533"/>
      <c r="O127" s="533"/>
      <c r="P127" s="533"/>
      <c r="Q127" s="533"/>
      <c r="R127" s="533"/>
      <c r="S127" s="637"/>
      <c r="T127" s="524"/>
      <c r="U127" s="525"/>
      <c r="V127" s="525"/>
      <c r="W127" s="525"/>
      <c r="X127" s="525"/>
      <c r="Y127" s="525"/>
      <c r="Z127" s="525"/>
      <c r="AA127" s="525"/>
      <c r="AB127" s="525"/>
      <c r="AC127" s="526"/>
    </row>
    <row r="128" spans="1:29">
      <c r="A128" s="532"/>
      <c r="B128" s="534"/>
      <c r="C128" s="546"/>
      <c r="F128" s="542"/>
      <c r="G128" s="500"/>
      <c r="J128" s="654"/>
      <c r="K128" s="500"/>
      <c r="M128" s="651"/>
      <c r="N128" s="651"/>
      <c r="O128" s="651"/>
      <c r="P128" s="651"/>
      <c r="Q128" s="651"/>
      <c r="R128" s="651"/>
      <c r="S128" s="500"/>
      <c r="T128" s="1204"/>
      <c r="U128" s="1205"/>
      <c r="V128" s="1205"/>
      <c r="W128" s="1205"/>
      <c r="X128" s="1205"/>
      <c r="Y128" s="1205"/>
      <c r="Z128" s="1205"/>
      <c r="AA128" s="1205"/>
      <c r="AB128" s="1205"/>
      <c r="AC128" s="1206"/>
    </row>
    <row r="129" spans="1:29">
      <c r="A129" s="532"/>
      <c r="B129" s="534"/>
      <c r="C129" s="546" t="s">
        <v>513</v>
      </c>
      <c r="F129" s="542"/>
      <c r="G129" s="650">
        <v>21533.866460000001</v>
      </c>
      <c r="H129" s="804">
        <v>53385.042129999987</v>
      </c>
      <c r="I129" s="559">
        <f>(G129+H129)/2</f>
        <v>37459.454294999996</v>
      </c>
      <c r="J129" s="654">
        <f>J126</f>
        <v>7.4610569211962935E-2</v>
      </c>
      <c r="K129" s="651">
        <f>+I129*J129</f>
        <v>2794.8712073194592</v>
      </c>
      <c r="M129" s="651"/>
      <c r="N129" s="651"/>
      <c r="O129" s="651"/>
      <c r="P129" s="651"/>
      <c r="Q129" s="651"/>
      <c r="R129" s="651"/>
      <c r="S129" s="640"/>
      <c r="T129" s="655"/>
      <c r="U129" s="525"/>
      <c r="V129" s="525"/>
      <c r="W129" s="525"/>
      <c r="X129" s="525"/>
      <c r="Y129" s="525"/>
      <c r="Z129" s="525"/>
      <c r="AA129" s="525"/>
      <c r="AB129" s="525"/>
      <c r="AC129" s="526"/>
    </row>
    <row r="130" spans="1:29">
      <c r="A130" s="532"/>
      <c r="B130" s="534"/>
      <c r="C130" s="546" t="s">
        <v>64</v>
      </c>
      <c r="F130" s="656"/>
      <c r="G130" s="650"/>
      <c r="H130" s="650"/>
      <c r="I130" s="559">
        <f>(G130+H130)/2</f>
        <v>0</v>
      </c>
      <c r="J130" s="806">
        <f>J129</f>
        <v>7.4610569211962935E-2</v>
      </c>
      <c r="K130" s="651">
        <f>+I130*J130</f>
        <v>0</v>
      </c>
      <c r="M130" s="657"/>
      <c r="N130" s="657"/>
      <c r="O130" s="657"/>
      <c r="P130" s="657"/>
      <c r="Q130" s="657"/>
      <c r="R130" s="657"/>
      <c r="S130" s="658"/>
      <c r="T130" s="653"/>
      <c r="U130" s="525"/>
      <c r="V130" s="525"/>
      <c r="W130" s="525"/>
      <c r="X130" s="525"/>
      <c r="Y130" s="525"/>
      <c r="Z130" s="525"/>
      <c r="AA130" s="525"/>
      <c r="AB130" s="525"/>
      <c r="AC130" s="526"/>
    </row>
    <row r="131" spans="1:29" ht="14.95" thickBot="1">
      <c r="A131" s="561"/>
      <c r="B131" s="565"/>
      <c r="C131" s="565"/>
      <c r="D131" s="565"/>
      <c r="E131" s="565"/>
      <c r="F131" s="659"/>
      <c r="G131" s="561"/>
      <c r="H131" s="565"/>
      <c r="I131" s="565"/>
      <c r="J131" s="565"/>
      <c r="K131" s="565"/>
      <c r="L131" s="565"/>
      <c r="M131" s="565"/>
      <c r="N131" s="565"/>
      <c r="O131" s="565"/>
      <c r="P131" s="565"/>
      <c r="Q131" s="565"/>
      <c r="R131" s="565"/>
      <c r="S131" s="570"/>
      <c r="T131" s="570"/>
      <c r="U131" s="570"/>
      <c r="V131" s="570"/>
      <c r="W131" s="636"/>
      <c r="X131" s="570"/>
      <c r="Y131" s="570"/>
      <c r="Z131" s="570"/>
      <c r="AA131" s="570"/>
      <c r="AB131" s="570"/>
      <c r="AC131" s="584"/>
    </row>
    <row r="132" spans="1:29">
      <c r="A132" s="500"/>
      <c r="B132" s="500"/>
      <c r="C132" s="500"/>
      <c r="D132" s="500"/>
      <c r="E132" s="500"/>
      <c r="F132" s="500"/>
      <c r="G132" s="500"/>
      <c r="H132" s="500"/>
      <c r="I132" s="500"/>
      <c r="J132" s="500"/>
      <c r="K132" s="500"/>
      <c r="L132" s="500"/>
      <c r="M132" s="500"/>
      <c r="N132" s="500"/>
      <c r="O132" s="500"/>
      <c r="P132" s="500"/>
      <c r="Q132" s="500"/>
      <c r="R132" s="500"/>
      <c r="S132" s="500"/>
      <c r="T132" s="500"/>
      <c r="U132" s="500"/>
      <c r="V132" s="500"/>
      <c r="W132" s="637"/>
      <c r="X132" s="500"/>
      <c r="Y132" s="500"/>
      <c r="Z132" s="500"/>
      <c r="AA132" s="500"/>
      <c r="AB132" s="500"/>
      <c r="AC132" s="500"/>
    </row>
    <row r="133" spans="1:29">
      <c r="A133" s="500"/>
      <c r="B133" s="500"/>
      <c r="C133" s="499"/>
      <c r="D133" s="500"/>
      <c r="E133" s="500"/>
      <c r="F133" s="500"/>
      <c r="G133" s="500"/>
      <c r="H133" s="500"/>
      <c r="I133" s="500"/>
      <c r="J133" s="500"/>
      <c r="K133" s="500"/>
      <c r="L133" s="500"/>
      <c r="M133" s="500"/>
      <c r="N133" s="500"/>
      <c r="O133" s="500"/>
      <c r="P133" s="500"/>
      <c r="Q133" s="500"/>
      <c r="R133" s="500"/>
      <c r="S133" s="500"/>
      <c r="T133" s="500"/>
      <c r="U133" s="500"/>
      <c r="V133" s="500"/>
      <c r="W133" s="637"/>
      <c r="X133" s="500"/>
      <c r="Y133" s="500"/>
      <c r="Z133" s="500"/>
      <c r="AA133" s="500"/>
      <c r="AB133" s="500"/>
      <c r="AC133" s="500"/>
    </row>
    <row r="134" spans="1:29" ht="14.95" thickBot="1">
      <c r="A134" s="509" t="s">
        <v>448</v>
      </c>
    </row>
    <row r="135" spans="1:29">
      <c r="A135" s="514" t="s">
        <v>121</v>
      </c>
      <c r="B135" s="515" t="s">
        <v>122</v>
      </c>
      <c r="C135" s="515"/>
      <c r="D135" s="515"/>
      <c r="E135" s="515" t="s">
        <v>847</v>
      </c>
      <c r="F135" s="516" t="s">
        <v>123</v>
      </c>
      <c r="G135" s="517"/>
      <c r="H135" s="517"/>
      <c r="I135" s="517"/>
      <c r="J135" s="517"/>
      <c r="K135" s="517"/>
      <c r="L135" s="517"/>
      <c r="M135" s="517"/>
      <c r="N135" s="517"/>
      <c r="O135" s="517"/>
      <c r="P135" s="517"/>
      <c r="Q135" s="517"/>
      <c r="R135" s="517"/>
      <c r="S135" s="519"/>
      <c r="T135" s="1195" t="s">
        <v>416</v>
      </c>
      <c r="U135" s="1216"/>
      <c r="V135" s="1216"/>
      <c r="W135" s="1216"/>
      <c r="X135" s="1216"/>
      <c r="Y135" s="1216"/>
      <c r="Z135" s="1216"/>
      <c r="AA135" s="1216"/>
      <c r="AB135" s="1216"/>
      <c r="AC135" s="1217"/>
    </row>
    <row r="136" spans="1:29" ht="32.950000000000003" customHeight="1">
      <c r="A136" s="611"/>
      <c r="B136" s="544" t="s">
        <v>350</v>
      </c>
      <c r="C136" s="637"/>
      <c r="D136" s="648"/>
      <c r="E136" s="531"/>
      <c r="F136" s="600"/>
      <c r="G136" s="646" t="s">
        <v>392</v>
      </c>
      <c r="H136" s="647" t="s">
        <v>393</v>
      </c>
      <c r="I136" s="646" t="s">
        <v>394</v>
      </c>
      <c r="J136" s="601"/>
      <c r="K136" s="601"/>
      <c r="L136" s="601"/>
      <c r="M136" s="601"/>
      <c r="N136" s="601"/>
      <c r="O136" s="601"/>
      <c r="P136" s="601"/>
      <c r="Q136" s="601"/>
      <c r="R136" s="601"/>
      <c r="S136" s="512"/>
      <c r="T136" s="500"/>
      <c r="U136" s="500"/>
      <c r="V136" s="500"/>
      <c r="W136" s="500"/>
      <c r="X136" s="500"/>
      <c r="Y136" s="500"/>
      <c r="Z136" s="500"/>
      <c r="AA136" s="500"/>
      <c r="AB136" s="500"/>
      <c r="AC136" s="523"/>
    </row>
    <row r="137" spans="1:29">
      <c r="A137" s="610"/>
      <c r="D137" s="499"/>
      <c r="F137" s="542"/>
      <c r="G137" s="500"/>
      <c r="H137" s="649"/>
      <c r="I137" s="500"/>
      <c r="J137" s="533"/>
      <c r="K137" s="533"/>
      <c r="L137" s="533"/>
      <c r="M137" s="533"/>
      <c r="N137" s="533"/>
      <c r="O137" s="533"/>
      <c r="P137" s="533"/>
      <c r="Q137" s="533"/>
      <c r="R137" s="533"/>
      <c r="S137" s="512"/>
      <c r="T137" s="1204" t="s">
        <v>415</v>
      </c>
      <c r="U137" s="1205"/>
      <c r="V137" s="1205"/>
      <c r="W137" s="1205"/>
      <c r="X137" s="1205"/>
      <c r="Y137" s="1205"/>
      <c r="Z137" s="1205"/>
      <c r="AA137" s="1205"/>
      <c r="AB137" s="1205"/>
      <c r="AC137" s="1206"/>
    </row>
    <row r="138" spans="1:29">
      <c r="A138" s="532">
        <f>+'Appendix A'!A102</f>
        <v>58</v>
      </c>
      <c r="B138" s="534"/>
      <c r="C138" s="544" t="str">
        <f>+'Appendix A'!C102</f>
        <v>Outstanding Network Credits</v>
      </c>
      <c r="D138" s="499"/>
      <c r="E138" s="534" t="str">
        <f>+'Appendix A'!E102</f>
        <v>(Note N)</v>
      </c>
      <c r="F138" s="542" t="s">
        <v>368</v>
      </c>
      <c r="G138" s="650">
        <v>0</v>
      </c>
      <c r="H138" s="650">
        <v>0</v>
      </c>
      <c r="I138" s="559">
        <f>(G138+H138)/2</f>
        <v>0</v>
      </c>
      <c r="J138" s="533"/>
      <c r="K138" s="533"/>
      <c r="L138" s="533"/>
      <c r="M138" s="533"/>
      <c r="N138" s="533"/>
      <c r="O138" s="533"/>
      <c r="P138" s="533"/>
      <c r="Q138" s="533"/>
      <c r="R138" s="533"/>
      <c r="S138" s="500"/>
      <c r="T138" s="500"/>
      <c r="U138" s="500"/>
      <c r="V138" s="500"/>
      <c r="W138" s="500"/>
      <c r="X138" s="500"/>
      <c r="Y138" s="500"/>
      <c r="Z138" s="500"/>
      <c r="AA138" s="512"/>
      <c r="AB138" s="500"/>
      <c r="AC138" s="523"/>
    </row>
    <row r="139" spans="1:29">
      <c r="A139" s="532"/>
      <c r="B139" s="534"/>
      <c r="C139" s="544"/>
      <c r="D139" s="534"/>
      <c r="E139" s="534"/>
      <c r="F139" s="542"/>
      <c r="I139" s="559"/>
      <c r="J139" s="533"/>
      <c r="K139" s="533"/>
      <c r="L139" s="533"/>
      <c r="M139" s="533"/>
      <c r="N139" s="533"/>
      <c r="O139" s="533"/>
      <c r="P139" s="533"/>
      <c r="Q139" s="533"/>
      <c r="R139" s="533"/>
      <c r="T139" s="1204" t="s">
        <v>457</v>
      </c>
      <c r="U139" s="1205"/>
      <c r="V139" s="1205"/>
      <c r="W139" s="1205"/>
      <c r="X139" s="1205"/>
      <c r="Y139" s="1205"/>
      <c r="Z139" s="1205"/>
      <c r="AA139" s="1205"/>
      <c r="AB139" s="1205"/>
      <c r="AC139" s="1206"/>
    </row>
    <row r="140" spans="1:29">
      <c r="A140" s="532">
        <f>+'Appendix A'!A103</f>
        <v>59</v>
      </c>
      <c r="B140" s="534"/>
      <c r="C140" s="544" t="s">
        <v>493</v>
      </c>
      <c r="D140" s="534"/>
      <c r="E140" s="534" t="str">
        <f>+'Appendix A'!E103</f>
        <v>(Note N)</v>
      </c>
      <c r="F140" s="542" t="s">
        <v>368</v>
      </c>
      <c r="G140" s="650">
        <v>0</v>
      </c>
      <c r="H140" s="650">
        <v>0</v>
      </c>
      <c r="I140" s="559">
        <f>(G140+H140)/2</f>
        <v>0</v>
      </c>
      <c r="J140" s="533"/>
      <c r="K140" s="533"/>
      <c r="L140" s="533"/>
      <c r="M140" s="533"/>
      <c r="N140" s="533"/>
      <c r="O140" s="533"/>
      <c r="P140" s="533"/>
      <c r="Q140" s="533"/>
      <c r="R140" s="533"/>
      <c r="S140" s="512"/>
      <c r="T140" s="1204"/>
      <c r="U140" s="1205"/>
      <c r="V140" s="1205"/>
      <c r="W140" s="1205"/>
      <c r="X140" s="1205"/>
      <c r="Y140" s="1205"/>
      <c r="Z140" s="1205"/>
      <c r="AA140" s="1205"/>
      <c r="AB140" s="1205"/>
      <c r="AC140" s="1206"/>
    </row>
    <row r="141" spans="1:29" ht="14.95" thickBot="1">
      <c r="A141" s="561"/>
      <c r="B141" s="565"/>
      <c r="C141" s="660" t="s">
        <v>494</v>
      </c>
      <c r="D141" s="565"/>
      <c r="E141" s="565"/>
      <c r="F141" s="659"/>
      <c r="G141" s="565"/>
      <c r="H141" s="565"/>
      <c r="I141" s="565"/>
      <c r="J141" s="565"/>
      <c r="K141" s="565"/>
      <c r="L141" s="565"/>
      <c r="M141" s="565"/>
      <c r="N141" s="565"/>
      <c r="O141" s="565"/>
      <c r="P141" s="565"/>
      <c r="Q141" s="565"/>
      <c r="R141" s="565"/>
      <c r="S141" s="570"/>
      <c r="T141" s="570"/>
      <c r="U141" s="570"/>
      <c r="V141" s="570"/>
      <c r="W141" s="636" t="s">
        <v>413</v>
      </c>
      <c r="X141" s="570"/>
      <c r="Y141" s="570"/>
      <c r="Z141" s="570"/>
      <c r="AA141" s="570"/>
      <c r="AB141" s="570"/>
      <c r="AC141" s="584"/>
    </row>
    <row r="142" spans="1:29">
      <c r="A142" s="534"/>
      <c r="B142" s="534"/>
      <c r="C142" s="534"/>
      <c r="D142" s="534"/>
      <c r="E142" s="534"/>
      <c r="F142" s="534"/>
      <c r="G142" s="534"/>
      <c r="H142" s="534"/>
      <c r="I142" s="534"/>
      <c r="J142" s="534"/>
      <c r="K142" s="534"/>
      <c r="L142" s="534"/>
      <c r="M142" s="534"/>
      <c r="N142" s="534"/>
      <c r="O142" s="534"/>
      <c r="P142" s="534"/>
      <c r="Q142" s="534"/>
      <c r="R142" s="534"/>
      <c r="S142" s="500"/>
      <c r="T142" s="500"/>
      <c r="U142" s="500"/>
      <c r="V142" s="500"/>
      <c r="W142" s="637"/>
      <c r="X142" s="500"/>
      <c r="Y142" s="500"/>
      <c r="Z142" s="500"/>
      <c r="AA142" s="500"/>
      <c r="AB142" s="500"/>
      <c r="AC142" s="500"/>
    </row>
    <row r="143" spans="1:29" ht="14.95" thickBot="1">
      <c r="A143" s="544" t="s">
        <v>76</v>
      </c>
      <c r="B143" s="534"/>
      <c r="C143" s="534"/>
      <c r="D143" s="499"/>
      <c r="E143" s="534"/>
      <c r="F143" s="534"/>
      <c r="G143" s="534"/>
      <c r="H143" s="534"/>
      <c r="I143" s="534"/>
      <c r="J143" s="534"/>
      <c r="K143" s="534"/>
      <c r="L143" s="534"/>
      <c r="M143" s="534"/>
      <c r="N143" s="534"/>
      <c r="O143" s="534"/>
      <c r="P143" s="534"/>
      <c r="Q143" s="534"/>
      <c r="R143" s="534"/>
      <c r="S143" s="500"/>
      <c r="T143" s="500"/>
      <c r="U143" s="500"/>
      <c r="V143" s="500"/>
      <c r="W143" s="637"/>
      <c r="X143" s="500"/>
      <c r="Y143" s="500"/>
      <c r="Z143" s="500"/>
      <c r="AA143" s="500"/>
      <c r="AB143" s="500"/>
      <c r="AC143" s="500"/>
    </row>
    <row r="144" spans="1:29">
      <c r="A144" s="514" t="s">
        <v>121</v>
      </c>
      <c r="B144" s="515" t="s">
        <v>122</v>
      </c>
      <c r="C144" s="515"/>
      <c r="D144" s="515"/>
      <c r="E144" s="515" t="s">
        <v>847</v>
      </c>
      <c r="F144" s="516" t="s">
        <v>123</v>
      </c>
      <c r="G144" s="517" t="s">
        <v>337</v>
      </c>
      <c r="H144" s="517" t="s">
        <v>46</v>
      </c>
      <c r="I144" s="517" t="s">
        <v>829</v>
      </c>
      <c r="J144" s="517" t="s">
        <v>47</v>
      </c>
      <c r="K144" s="517"/>
      <c r="L144" s="517"/>
      <c r="M144" s="517"/>
      <c r="N144" s="517"/>
      <c r="O144" s="517"/>
      <c r="P144" s="517"/>
      <c r="Q144" s="517"/>
      <c r="R144" s="517"/>
      <c r="S144" s="661" t="s">
        <v>515</v>
      </c>
      <c r="T144" s="662" t="s">
        <v>77</v>
      </c>
      <c r="U144" s="662" t="s">
        <v>829</v>
      </c>
      <c r="V144" s="662"/>
      <c r="W144" s="663"/>
      <c r="X144" s="662"/>
      <c r="Y144" s="662"/>
      <c r="Z144" s="662"/>
      <c r="AA144" s="662"/>
      <c r="AB144" s="662"/>
      <c r="AC144" s="664"/>
    </row>
    <row r="145" spans="1:29">
      <c r="A145" s="532"/>
      <c r="B145" s="534"/>
      <c r="C145" s="533"/>
      <c r="D145" s="534"/>
      <c r="E145" s="534"/>
      <c r="F145" s="656"/>
      <c r="G145" s="534"/>
      <c r="H145" s="534"/>
      <c r="I145" s="534"/>
      <c r="J145" s="534"/>
      <c r="K145" s="534"/>
      <c r="L145" s="534"/>
      <c r="M145" s="534"/>
      <c r="N145" s="534"/>
      <c r="O145" s="534"/>
      <c r="P145" s="534"/>
      <c r="Q145" s="534"/>
      <c r="R145" s="534"/>
      <c r="S145" s="665">
        <v>0</v>
      </c>
      <c r="T145" s="500"/>
      <c r="U145" s="500"/>
      <c r="V145" s="500"/>
      <c r="W145" s="637"/>
      <c r="X145" s="500"/>
      <c r="Y145" s="500"/>
      <c r="Z145" s="500"/>
      <c r="AA145" s="500"/>
      <c r="AB145" s="500"/>
      <c r="AC145" s="523"/>
    </row>
    <row r="146" spans="1:29" ht="14.95" thickBot="1">
      <c r="A146" s="561">
        <f>+'Appendix A'!A149</f>
        <v>89</v>
      </c>
      <c r="B146" s="565"/>
      <c r="C146" s="563"/>
      <c r="D146" s="565"/>
      <c r="E146" s="565"/>
      <c r="F146" s="659"/>
      <c r="G146" s="565"/>
      <c r="H146" s="565"/>
      <c r="I146" s="565"/>
      <c r="J146" s="565"/>
      <c r="K146" s="565"/>
      <c r="L146" s="565"/>
      <c r="M146" s="565"/>
      <c r="N146" s="565"/>
      <c r="O146" s="565"/>
      <c r="P146" s="565"/>
      <c r="Q146" s="565"/>
      <c r="R146" s="565"/>
      <c r="S146" s="635"/>
      <c r="T146" s="666">
        <v>5</v>
      </c>
      <c r="U146" s="667">
        <f>S145*1/T146</f>
        <v>0</v>
      </c>
      <c r="V146" s="667"/>
      <c r="W146" s="636"/>
      <c r="X146" s="570"/>
      <c r="Y146" s="570"/>
      <c r="Z146" s="570"/>
      <c r="AA146" s="570"/>
      <c r="AB146" s="570"/>
      <c r="AC146" s="584"/>
    </row>
    <row r="147" spans="1:29">
      <c r="A147" s="534"/>
      <c r="B147" s="534"/>
      <c r="C147" s="534"/>
      <c r="D147" s="534"/>
      <c r="E147" s="534"/>
      <c r="F147" s="534"/>
      <c r="G147" s="534"/>
      <c r="H147" s="534"/>
      <c r="I147" s="534"/>
      <c r="J147" s="534"/>
      <c r="K147" s="534"/>
      <c r="L147" s="534"/>
      <c r="M147" s="534"/>
      <c r="N147" s="534"/>
      <c r="O147" s="534"/>
      <c r="P147" s="534"/>
      <c r="Q147" s="534"/>
      <c r="R147" s="534"/>
      <c r="S147" s="500"/>
      <c r="T147" s="500"/>
      <c r="U147" s="500"/>
      <c r="V147" s="500"/>
      <c r="W147" s="637"/>
      <c r="X147" s="500"/>
      <c r="Y147" s="500"/>
      <c r="Z147" s="500"/>
      <c r="AA147" s="500"/>
      <c r="AB147" s="500"/>
      <c r="AC147" s="500"/>
    </row>
    <row r="148" spans="1:29">
      <c r="A148" s="534"/>
      <c r="B148" s="534"/>
      <c r="C148" s="499"/>
      <c r="D148" s="534"/>
      <c r="E148" s="534"/>
      <c r="F148" s="534"/>
      <c r="G148" s="534"/>
      <c r="H148" s="534"/>
      <c r="I148" s="534"/>
      <c r="J148" s="534"/>
      <c r="K148" s="534"/>
      <c r="L148" s="534"/>
      <c r="M148" s="534"/>
      <c r="N148" s="534"/>
      <c r="O148" s="534"/>
      <c r="P148" s="534"/>
      <c r="Q148" s="534"/>
      <c r="R148" s="534"/>
      <c r="S148" s="500"/>
      <c r="T148" s="500"/>
      <c r="U148" s="500"/>
      <c r="V148" s="500"/>
      <c r="W148" s="637"/>
      <c r="X148" s="500"/>
      <c r="Y148" s="500"/>
      <c r="Z148" s="500"/>
      <c r="AA148" s="500"/>
      <c r="AB148" s="500"/>
      <c r="AC148" s="500"/>
    </row>
    <row r="149" spans="1:29" ht="14.95" thickBot="1">
      <c r="A149" s="509" t="s">
        <v>449</v>
      </c>
    </row>
    <row r="150" spans="1:29">
      <c r="A150" s="514" t="s">
        <v>121</v>
      </c>
      <c r="B150" s="515" t="s">
        <v>122</v>
      </c>
      <c r="C150" s="515"/>
      <c r="D150" s="515"/>
      <c r="E150" s="515" t="s">
        <v>847</v>
      </c>
      <c r="F150" s="516" t="s">
        <v>123</v>
      </c>
      <c r="G150" s="517"/>
      <c r="H150" s="517"/>
      <c r="I150" s="517"/>
      <c r="J150" s="517"/>
      <c r="K150" s="517"/>
      <c r="L150" s="517"/>
      <c r="M150" s="517"/>
      <c r="N150" s="517"/>
      <c r="O150" s="517"/>
      <c r="P150" s="517"/>
      <c r="Q150" s="517"/>
      <c r="R150" s="517"/>
      <c r="S150" s="519">
        <f>+C152</f>
        <v>0</v>
      </c>
      <c r="T150" s="1195" t="s">
        <v>418</v>
      </c>
      <c r="U150" s="1216"/>
      <c r="V150" s="1216"/>
      <c r="W150" s="1216"/>
      <c r="X150" s="1216"/>
      <c r="Y150" s="1216"/>
      <c r="Z150" s="1216"/>
      <c r="AA150" s="1216"/>
      <c r="AB150" s="1216"/>
      <c r="AC150" s="1217"/>
    </row>
    <row r="151" spans="1:29">
      <c r="A151" s="532"/>
      <c r="B151" s="544"/>
      <c r="C151" s="534"/>
      <c r="D151" s="534"/>
      <c r="E151" s="534"/>
      <c r="F151" s="656"/>
      <c r="G151" s="534"/>
      <c r="H151" s="534"/>
      <c r="I151" s="534"/>
      <c r="J151" s="534"/>
      <c r="K151" s="534"/>
      <c r="L151" s="534"/>
      <c r="M151" s="534"/>
      <c r="N151" s="534"/>
      <c r="O151" s="534"/>
      <c r="P151" s="534"/>
      <c r="Q151" s="534"/>
      <c r="R151" s="534"/>
      <c r="S151" s="500"/>
      <c r="T151" s="500"/>
      <c r="U151" s="500"/>
      <c r="V151" s="500"/>
      <c r="W151" s="500"/>
      <c r="X151" s="500"/>
      <c r="Y151" s="500"/>
      <c r="Z151" s="500"/>
      <c r="AA151" s="500"/>
      <c r="AB151" s="500"/>
      <c r="AC151" s="523"/>
    </row>
    <row r="152" spans="1:29">
      <c r="A152" s="532"/>
      <c r="B152" s="534"/>
      <c r="C152" s="533"/>
      <c r="D152" s="534"/>
      <c r="E152" s="534"/>
      <c r="F152" s="542"/>
      <c r="G152" s="533"/>
      <c r="H152" s="533"/>
      <c r="I152" s="533"/>
      <c r="J152" s="533"/>
      <c r="K152" s="533"/>
      <c r="L152" s="533"/>
      <c r="M152" s="533"/>
      <c r="N152" s="533"/>
      <c r="O152" s="533"/>
      <c r="P152" s="533"/>
      <c r="Q152" s="533"/>
      <c r="R152" s="533"/>
      <c r="S152" s="668">
        <v>0</v>
      </c>
      <c r="T152" s="1204" t="s">
        <v>415</v>
      </c>
      <c r="U152" s="1205"/>
      <c r="V152" s="1205"/>
      <c r="W152" s="1205"/>
      <c r="X152" s="1205"/>
      <c r="Y152" s="1205"/>
      <c r="Z152" s="1205"/>
      <c r="AA152" s="1205"/>
      <c r="AB152" s="1205"/>
      <c r="AC152" s="1206"/>
    </row>
    <row r="153" spans="1:29">
      <c r="A153" s="532"/>
      <c r="B153" s="534"/>
      <c r="C153" s="534"/>
      <c r="D153" s="534"/>
      <c r="E153" s="534"/>
      <c r="F153" s="656"/>
      <c r="G153" s="534"/>
      <c r="H153" s="534"/>
      <c r="I153" s="534"/>
      <c r="J153" s="534"/>
      <c r="K153" s="534"/>
      <c r="L153" s="534"/>
      <c r="M153" s="534"/>
      <c r="N153" s="534"/>
      <c r="O153" s="534"/>
      <c r="P153" s="534"/>
      <c r="Q153" s="534"/>
      <c r="R153" s="534"/>
      <c r="S153" s="500"/>
      <c r="T153" s="500"/>
      <c r="U153" s="500"/>
      <c r="V153" s="500"/>
      <c r="W153" s="500"/>
      <c r="X153" s="500"/>
      <c r="Y153" s="500"/>
      <c r="Z153" s="500"/>
      <c r="AA153" s="512"/>
      <c r="AB153" s="500"/>
      <c r="AC153" s="523"/>
    </row>
    <row r="154" spans="1:29">
      <c r="A154" s="532"/>
      <c r="B154" s="534"/>
      <c r="C154" s="499"/>
      <c r="D154" s="534"/>
      <c r="E154" s="534"/>
      <c r="F154" s="656"/>
      <c r="G154" s="534"/>
      <c r="H154" s="534"/>
      <c r="I154" s="534"/>
      <c r="J154" s="534"/>
      <c r="K154" s="534"/>
      <c r="L154" s="534"/>
      <c r="M154" s="534"/>
      <c r="N154" s="534"/>
      <c r="O154" s="534"/>
      <c r="P154" s="534"/>
      <c r="Q154" s="534"/>
      <c r="R154" s="534"/>
      <c r="S154" s="512" t="s">
        <v>411</v>
      </c>
      <c r="T154" s="1204" t="s">
        <v>457</v>
      </c>
      <c r="U154" s="1205"/>
      <c r="V154" s="1205"/>
      <c r="W154" s="1205"/>
      <c r="X154" s="1205"/>
      <c r="Y154" s="1205"/>
      <c r="Z154" s="1205"/>
      <c r="AA154" s="1205"/>
      <c r="AB154" s="1205"/>
      <c r="AC154" s="1206"/>
    </row>
    <row r="155" spans="1:29">
      <c r="A155" s="532"/>
      <c r="B155" s="534"/>
      <c r="C155" s="499"/>
      <c r="D155" s="534"/>
      <c r="E155" s="534"/>
      <c r="F155" s="656"/>
      <c r="G155" s="534"/>
      <c r="H155" s="534"/>
      <c r="I155" s="534"/>
      <c r="J155" s="534"/>
      <c r="K155" s="534"/>
      <c r="L155" s="534"/>
      <c r="M155" s="534"/>
      <c r="N155" s="534"/>
      <c r="O155" s="534"/>
      <c r="P155" s="534"/>
      <c r="Q155" s="534"/>
      <c r="R155" s="534"/>
      <c r="S155" s="512"/>
      <c r="T155" s="1204"/>
      <c r="U155" s="1205"/>
      <c r="V155" s="1205"/>
      <c r="W155" s="1205"/>
      <c r="X155" s="1205"/>
      <c r="Y155" s="1205"/>
      <c r="Z155" s="1205"/>
      <c r="AA155" s="1205"/>
      <c r="AB155" s="1205"/>
      <c r="AC155" s="1206"/>
    </row>
    <row r="156" spans="1:29" ht="14.95" thickBot="1">
      <c r="A156" s="561"/>
      <c r="B156" s="565"/>
      <c r="C156" s="565"/>
      <c r="D156" s="565"/>
      <c r="E156" s="565"/>
      <c r="F156" s="659"/>
      <c r="G156" s="565"/>
      <c r="H156" s="565"/>
      <c r="I156" s="565"/>
      <c r="J156" s="565"/>
      <c r="K156" s="565"/>
      <c r="L156" s="565"/>
      <c r="M156" s="565"/>
      <c r="N156" s="565"/>
      <c r="O156" s="565"/>
      <c r="P156" s="565"/>
      <c r="Q156" s="565"/>
      <c r="R156" s="565"/>
      <c r="S156" s="570"/>
      <c r="T156" s="570"/>
      <c r="U156" s="570"/>
      <c r="V156" s="570"/>
      <c r="W156" s="636" t="s">
        <v>413</v>
      </c>
      <c r="X156" s="570"/>
      <c r="Y156" s="570"/>
      <c r="Z156" s="570"/>
      <c r="AA156" s="570"/>
      <c r="AB156" s="570"/>
      <c r="AC156" s="584"/>
    </row>
    <row r="157" spans="1:29">
      <c r="A157" s="534"/>
      <c r="B157" s="534"/>
      <c r="C157" s="534"/>
      <c r="D157" s="534"/>
      <c r="E157" s="534"/>
      <c r="F157" s="534"/>
      <c r="G157" s="534"/>
      <c r="H157" s="534"/>
      <c r="I157" s="534"/>
      <c r="J157" s="534"/>
      <c r="K157" s="534"/>
      <c r="L157" s="534"/>
      <c r="M157" s="534"/>
      <c r="N157" s="534"/>
      <c r="O157" s="534"/>
      <c r="P157" s="534"/>
      <c r="Q157" s="534"/>
      <c r="R157" s="534"/>
      <c r="S157" s="500"/>
      <c r="T157" s="500"/>
      <c r="U157" s="500"/>
      <c r="V157" s="500"/>
      <c r="W157" s="637"/>
      <c r="X157" s="500"/>
      <c r="Y157" s="500"/>
      <c r="Z157" s="500"/>
      <c r="AA157" s="500"/>
      <c r="AB157" s="500"/>
      <c r="AC157" s="500"/>
    </row>
    <row r="158" spans="1:29" ht="14.95" thickBot="1">
      <c r="A158" s="509" t="str">
        <f>+'Appendix A'!C266</f>
        <v>Facility Credits under Section 30.9 of the PJM OATT.</v>
      </c>
    </row>
    <row r="159" spans="1:29">
      <c r="A159" s="514" t="s">
        <v>121</v>
      </c>
      <c r="B159" s="515" t="s">
        <v>122</v>
      </c>
      <c r="C159" s="515"/>
      <c r="D159" s="515"/>
      <c r="E159" s="515" t="s">
        <v>847</v>
      </c>
      <c r="F159" s="516" t="s">
        <v>123</v>
      </c>
      <c r="G159" s="517"/>
      <c r="H159" s="517"/>
      <c r="I159" s="517"/>
      <c r="J159" s="517"/>
      <c r="K159" s="517"/>
      <c r="L159" s="517"/>
      <c r="M159" s="517"/>
      <c r="N159" s="517"/>
      <c r="O159" s="517"/>
      <c r="P159" s="517"/>
      <c r="Q159" s="517"/>
      <c r="R159" s="517"/>
      <c r="S159" s="519" t="s">
        <v>337</v>
      </c>
      <c r="T159" s="1195" t="s">
        <v>417</v>
      </c>
      <c r="U159" s="1216"/>
      <c r="V159" s="1216"/>
      <c r="W159" s="1216"/>
      <c r="X159" s="1216"/>
      <c r="Y159" s="1216"/>
      <c r="Z159" s="1216"/>
      <c r="AA159" s="1216"/>
      <c r="AB159" s="1216"/>
      <c r="AC159" s="1217"/>
    </row>
    <row r="160" spans="1:29">
      <c r="A160" s="532"/>
      <c r="B160" s="553" t="str">
        <f>+'Appendix A'!C263</f>
        <v>Revenue Requirement</v>
      </c>
      <c r="C160" s="546"/>
      <c r="D160" s="546"/>
      <c r="E160" s="522"/>
      <c r="F160" s="548"/>
      <c r="G160" s="511"/>
      <c r="H160" s="511"/>
      <c r="I160" s="511"/>
      <c r="J160" s="511"/>
      <c r="K160" s="511"/>
      <c r="L160" s="511"/>
      <c r="M160" s="511"/>
      <c r="N160" s="511"/>
      <c r="O160" s="511"/>
      <c r="P160" s="511"/>
      <c r="Q160" s="511"/>
      <c r="R160" s="511"/>
      <c r="S160" s="500"/>
      <c r="T160" s="500"/>
      <c r="U160" s="546"/>
      <c r="V160" s="500"/>
      <c r="W160" s="500"/>
      <c r="X160" s="500"/>
      <c r="Y160" s="500"/>
      <c r="Z160" s="500"/>
      <c r="AA160" s="500"/>
      <c r="AB160" s="500"/>
      <c r="AC160" s="523"/>
    </row>
    <row r="161" spans="1:29" ht="14.95" thickBot="1">
      <c r="A161" s="561">
        <f>+'Appendix A'!A266</f>
        <v>165</v>
      </c>
      <c r="B161" s="596"/>
      <c r="C161" s="563" t="str">
        <f>+'Appendix A'!C266</f>
        <v>Facility Credits under Section 30.9 of the PJM OATT.</v>
      </c>
      <c r="D161" s="564"/>
      <c r="E161" s="565"/>
      <c r="F161" s="659"/>
      <c r="G161" s="565"/>
      <c r="H161" s="565"/>
      <c r="I161" s="565"/>
      <c r="J161" s="565"/>
      <c r="K161" s="565"/>
      <c r="L161" s="565"/>
      <c r="M161" s="565"/>
      <c r="N161" s="565"/>
      <c r="O161" s="565"/>
      <c r="P161" s="565"/>
      <c r="Q161" s="565"/>
      <c r="R161" s="565"/>
      <c r="S161" s="924">
        <f>(178915*12)/1000</f>
        <v>2146.98</v>
      </c>
      <c r="T161" s="1213" t="s">
        <v>1420</v>
      </c>
      <c r="U161" s="1213"/>
      <c r="V161" s="1213"/>
      <c r="W161" s="1213"/>
      <c r="X161" s="1213"/>
      <c r="Y161" s="1213"/>
      <c r="Z161" s="1213"/>
      <c r="AA161" s="1213"/>
      <c r="AB161" s="1213"/>
      <c r="AC161" s="1230"/>
    </row>
    <row r="162" spans="1:29">
      <c r="A162" s="534"/>
      <c r="B162" s="534"/>
      <c r="C162" s="534"/>
      <c r="D162" s="534"/>
      <c r="E162" s="534"/>
      <c r="F162" s="534"/>
      <c r="G162" s="534"/>
      <c r="H162" s="534"/>
      <c r="I162" s="534"/>
      <c r="J162" s="534"/>
      <c r="K162" s="534"/>
      <c r="L162" s="534"/>
      <c r="M162" s="534"/>
      <c r="N162" s="534"/>
      <c r="O162" s="534"/>
      <c r="P162" s="534"/>
      <c r="Q162" s="534"/>
      <c r="R162" s="534"/>
      <c r="S162" s="500"/>
      <c r="T162" s="500"/>
      <c r="U162" s="500"/>
      <c r="V162" s="500"/>
      <c r="W162" s="637"/>
      <c r="X162" s="500"/>
      <c r="Y162" s="500"/>
      <c r="Z162" s="500"/>
      <c r="AA162" s="500"/>
      <c r="AB162" s="500"/>
      <c r="AC162" s="500"/>
    </row>
    <row r="163" spans="1:29">
      <c r="A163" s="534"/>
      <c r="B163" s="534"/>
      <c r="C163" s="534"/>
      <c r="D163" s="534"/>
      <c r="E163" s="534"/>
      <c r="F163" s="534"/>
      <c r="G163" s="534"/>
      <c r="H163" s="534"/>
      <c r="I163" s="534"/>
      <c r="J163" s="534"/>
      <c r="K163" s="534"/>
      <c r="L163" s="534"/>
      <c r="M163" s="534"/>
      <c r="N163" s="534"/>
      <c r="O163" s="534"/>
      <c r="P163" s="534"/>
      <c r="Q163" s="534"/>
      <c r="R163" s="534"/>
      <c r="S163" s="500"/>
      <c r="T163" s="500"/>
      <c r="U163" s="500"/>
      <c r="V163" s="500"/>
      <c r="W163" s="637"/>
      <c r="X163" s="500"/>
      <c r="Y163" s="500"/>
      <c r="Z163" s="500"/>
      <c r="AA163" s="500"/>
      <c r="AB163" s="500"/>
      <c r="AC163" s="500"/>
    </row>
    <row r="164" spans="1:29">
      <c r="A164" s="534"/>
      <c r="B164" s="534"/>
      <c r="C164" s="534"/>
      <c r="D164" s="534"/>
      <c r="E164" s="534"/>
      <c r="F164" s="534"/>
      <c r="G164" s="534"/>
      <c r="H164" s="534"/>
      <c r="I164" s="534"/>
      <c r="J164" s="534"/>
      <c r="K164" s="534"/>
      <c r="L164" s="534"/>
      <c r="M164" s="534"/>
      <c r="N164" s="534"/>
      <c r="O164" s="534"/>
      <c r="P164" s="534"/>
      <c r="Q164" s="534"/>
      <c r="R164" s="534"/>
      <c r="S164" s="500"/>
      <c r="T164" s="500"/>
      <c r="U164" s="500"/>
      <c r="V164" s="500"/>
      <c r="W164" s="637"/>
      <c r="X164" s="500"/>
      <c r="Y164" s="500"/>
      <c r="Z164" s="500"/>
      <c r="AA164" s="500"/>
      <c r="AB164" s="500"/>
      <c r="AC164" s="500"/>
    </row>
    <row r="166" spans="1:29" ht="14.95" thickBot="1">
      <c r="A166" s="509" t="s">
        <v>446</v>
      </c>
    </row>
    <row r="167" spans="1:29">
      <c r="A167" s="514" t="s">
        <v>121</v>
      </c>
      <c r="B167" s="515" t="s">
        <v>122</v>
      </c>
      <c r="C167" s="515"/>
      <c r="D167" s="515"/>
      <c r="E167" s="515" t="s">
        <v>847</v>
      </c>
      <c r="F167" s="516" t="s">
        <v>123</v>
      </c>
      <c r="G167" s="517"/>
      <c r="H167" s="517"/>
      <c r="I167" s="517"/>
      <c r="J167" s="517"/>
      <c r="K167" s="517"/>
      <c r="L167" s="517"/>
      <c r="M167" s="517"/>
      <c r="N167" s="517"/>
      <c r="O167" s="517"/>
      <c r="P167" s="517"/>
      <c r="Q167" s="517"/>
      <c r="R167" s="517"/>
      <c r="S167" s="519" t="str">
        <f>+C169</f>
        <v>1 CP Peak</v>
      </c>
      <c r="T167" s="1195" t="s">
        <v>417</v>
      </c>
      <c r="U167" s="1216"/>
      <c r="V167" s="1216"/>
      <c r="W167" s="1216"/>
      <c r="X167" s="1216"/>
      <c r="Y167" s="1216"/>
      <c r="Z167" s="1216"/>
      <c r="AA167" s="1216"/>
      <c r="AB167" s="1216"/>
      <c r="AC167" s="1217"/>
    </row>
    <row r="168" spans="1:29">
      <c r="A168" s="532"/>
      <c r="B168" s="553" t="s">
        <v>395</v>
      </c>
      <c r="C168" s="546"/>
      <c r="D168" s="546"/>
      <c r="E168" s="522"/>
      <c r="F168" s="548"/>
      <c r="G168" s="511"/>
      <c r="H168" s="511"/>
      <c r="I168" s="511"/>
      <c r="J168" s="511"/>
      <c r="K168" s="511"/>
      <c r="L168" s="511"/>
      <c r="M168" s="511"/>
      <c r="N168" s="511"/>
      <c r="O168" s="511"/>
      <c r="P168" s="511"/>
      <c r="Q168" s="511"/>
      <c r="R168" s="511"/>
      <c r="S168" s="500" t="s">
        <v>400</v>
      </c>
      <c r="T168" s="500"/>
      <c r="U168" s="500"/>
      <c r="V168" s="500"/>
      <c r="W168" s="500"/>
      <c r="X168" s="500"/>
      <c r="Y168" s="500"/>
      <c r="Z168" s="500"/>
      <c r="AA168" s="500"/>
      <c r="AB168" s="500"/>
      <c r="AC168" s="523"/>
    </row>
    <row r="169" spans="1:29" ht="14.95" thickBot="1">
      <c r="A169" s="561">
        <f>+'Appendix A'!A272</f>
        <v>169</v>
      </c>
      <c r="B169" s="596"/>
      <c r="C169" s="563" t="str">
        <f>+'Appendix A'!C272</f>
        <v>1 CP Peak</v>
      </c>
      <c r="D169" s="564"/>
      <c r="E169" s="565" t="str">
        <f>+'Appendix A'!E272</f>
        <v>(Note L)</v>
      </c>
      <c r="F169" s="582" t="str">
        <f>+'Appendix A'!F272</f>
        <v>PJM Data</v>
      </c>
      <c r="G169" s="563"/>
      <c r="H169" s="563"/>
      <c r="I169" s="563"/>
      <c r="J169" s="563"/>
      <c r="K169" s="563"/>
      <c r="L169" s="563"/>
      <c r="M169" s="563"/>
      <c r="N169" s="563"/>
      <c r="O169" s="563"/>
      <c r="P169" s="563"/>
      <c r="Q169" s="563"/>
      <c r="R169" s="563"/>
      <c r="S169" s="858">
        <v>19785</v>
      </c>
      <c r="T169" s="1237"/>
      <c r="U169" s="1213"/>
      <c r="V169" s="1213"/>
      <c r="W169" s="1213"/>
      <c r="X169" s="1213"/>
      <c r="Y169" s="1213"/>
      <c r="Z169" s="1213"/>
      <c r="AA169" s="1213"/>
      <c r="AB169" s="1213"/>
      <c r="AC169" s="1230"/>
    </row>
    <row r="171" spans="1:29">
      <c r="D171" s="669"/>
    </row>
    <row r="172" spans="1:29">
      <c r="A172" s="509"/>
    </row>
    <row r="173" spans="1:29" ht="14.95" thickBot="1">
      <c r="A173" s="509" t="s">
        <v>577</v>
      </c>
    </row>
    <row r="174" spans="1:29">
      <c r="A174" s="514" t="s">
        <v>121</v>
      </c>
      <c r="B174" s="515" t="s">
        <v>122</v>
      </c>
      <c r="C174" s="515"/>
      <c r="D174" s="515"/>
      <c r="E174" s="515" t="s">
        <v>847</v>
      </c>
      <c r="F174" s="516" t="s">
        <v>123</v>
      </c>
      <c r="G174" s="517"/>
      <c r="H174" s="517"/>
      <c r="I174" s="517"/>
      <c r="J174" s="517"/>
      <c r="K174" s="517"/>
      <c r="L174" s="517"/>
      <c r="M174" s="517"/>
      <c r="N174" s="517"/>
      <c r="O174" s="517"/>
      <c r="P174" s="517"/>
      <c r="Q174" s="517"/>
      <c r="R174" s="517"/>
      <c r="S174" s="519" t="s">
        <v>337</v>
      </c>
      <c r="T174" s="1195"/>
      <c r="U174" s="1216"/>
      <c r="V174" s="1216"/>
      <c r="W174" s="1216"/>
      <c r="X174" s="1216"/>
      <c r="Y174" s="1216"/>
      <c r="Z174" s="1216"/>
      <c r="AA174" s="1216"/>
      <c r="AB174" s="1216"/>
      <c r="AC174" s="1217"/>
    </row>
    <row r="175" spans="1:29">
      <c r="A175" s="532"/>
      <c r="B175" s="544"/>
      <c r="C175" s="534"/>
      <c r="D175" s="534"/>
      <c r="E175" s="534"/>
      <c r="F175" s="656"/>
      <c r="G175" s="534"/>
      <c r="H175" s="534"/>
      <c r="I175" s="534"/>
      <c r="J175" s="534"/>
      <c r="K175" s="534"/>
      <c r="L175" s="534"/>
      <c r="M175" s="534"/>
      <c r="N175" s="534"/>
      <c r="O175" s="534"/>
      <c r="P175" s="534"/>
      <c r="Q175" s="534"/>
      <c r="R175" s="534"/>
      <c r="S175" s="500"/>
      <c r="T175" s="500"/>
      <c r="U175" s="500"/>
      <c r="V175" s="500"/>
      <c r="W175" s="500"/>
      <c r="X175" s="500"/>
      <c r="Y175" s="500"/>
      <c r="Z175" s="500"/>
      <c r="AA175" s="500"/>
      <c r="AB175" s="500"/>
      <c r="AC175" s="523"/>
    </row>
    <row r="176" spans="1:29">
      <c r="A176" s="532"/>
      <c r="B176" s="534"/>
      <c r="C176" s="533" t="s">
        <v>452</v>
      </c>
      <c r="D176" s="534"/>
      <c r="E176" s="534"/>
      <c r="F176" s="542" t="s">
        <v>580</v>
      </c>
      <c r="G176" s="533"/>
      <c r="H176" s="533"/>
      <c r="I176" s="533"/>
      <c r="J176" s="533"/>
      <c r="K176" s="533"/>
      <c r="L176" s="533"/>
      <c r="M176" s="533"/>
      <c r="N176" s="533"/>
      <c r="O176" s="533"/>
      <c r="P176" s="533"/>
      <c r="Q176" s="533"/>
      <c r="R176" s="533"/>
      <c r="S176" s="801">
        <v>385596.51255184616</v>
      </c>
      <c r="T176" s="1204"/>
      <c r="U176" s="1205"/>
      <c r="V176" s="1205"/>
      <c r="W176" s="1205"/>
      <c r="X176" s="1205"/>
      <c r="Y176" s="1205"/>
      <c r="Z176" s="1205"/>
      <c r="AA176" s="1205"/>
      <c r="AB176" s="1205"/>
      <c r="AC176" s="1206"/>
    </row>
    <row r="177" spans="1:29">
      <c r="A177" s="532"/>
      <c r="B177" s="534"/>
      <c r="C177" s="533" t="s">
        <v>578</v>
      </c>
      <c r="D177" s="534"/>
      <c r="E177" s="534"/>
      <c r="F177" s="656"/>
      <c r="G177" s="534"/>
      <c r="H177" s="534"/>
      <c r="I177" s="534"/>
      <c r="J177" s="534"/>
      <c r="K177" s="534"/>
      <c r="L177" s="534"/>
      <c r="M177" s="534"/>
      <c r="N177" s="534"/>
      <c r="O177" s="534"/>
      <c r="P177" s="534"/>
      <c r="Q177" s="534"/>
      <c r="R177" s="534"/>
      <c r="S177" s="801">
        <v>-17582.662551846108</v>
      </c>
      <c r="T177" s="500"/>
      <c r="U177" s="500"/>
      <c r="V177" s="500"/>
      <c r="W177" s="500"/>
      <c r="X177" s="500"/>
      <c r="Y177" s="500"/>
      <c r="Z177" s="500"/>
      <c r="AA177" s="512"/>
      <c r="AB177" s="500"/>
      <c r="AC177" s="523"/>
    </row>
    <row r="178" spans="1:29">
      <c r="A178" s="532"/>
      <c r="B178" s="534"/>
      <c r="C178" s="544" t="s">
        <v>581</v>
      </c>
      <c r="D178" s="534"/>
      <c r="E178" s="534"/>
      <c r="F178" s="542" t="s">
        <v>267</v>
      </c>
      <c r="G178" s="534"/>
      <c r="H178" s="534"/>
      <c r="I178" s="534"/>
      <c r="J178" s="534"/>
      <c r="K178" s="534"/>
      <c r="L178" s="534"/>
      <c r="M178" s="534"/>
      <c r="N178" s="534"/>
      <c r="O178" s="534"/>
      <c r="P178" s="534"/>
      <c r="Q178" s="534"/>
      <c r="R178" s="534"/>
      <c r="S178" s="800">
        <v>27658</v>
      </c>
      <c r="T178" s="1204"/>
      <c r="U178" s="1205"/>
      <c r="V178" s="1205"/>
      <c r="W178" s="1205"/>
      <c r="X178" s="1205"/>
      <c r="Y178" s="1205"/>
      <c r="Z178" s="1205"/>
      <c r="AA178" s="1205"/>
      <c r="AB178" s="1205"/>
      <c r="AC178" s="1206"/>
    </row>
    <row r="179" spans="1:29">
      <c r="A179" s="532">
        <f>+'Appendix A'!A121</f>
        <v>69</v>
      </c>
      <c r="B179" s="534"/>
      <c r="C179" s="544" t="s">
        <v>579</v>
      </c>
      <c r="D179" s="534"/>
      <c r="E179" s="534"/>
      <c r="F179" s="656"/>
      <c r="G179" s="534"/>
      <c r="H179" s="534"/>
      <c r="I179" s="534"/>
      <c r="J179" s="534"/>
      <c r="K179" s="534"/>
      <c r="L179" s="534"/>
      <c r="M179" s="534"/>
      <c r="N179" s="534"/>
      <c r="O179" s="534"/>
      <c r="P179" s="534"/>
      <c r="Q179" s="534"/>
      <c r="R179" s="534"/>
      <c r="S179" s="670">
        <f>SUM(S176:S178)</f>
        <v>395671.85000000003</v>
      </c>
      <c r="T179" s="1204"/>
      <c r="U179" s="1205"/>
      <c r="V179" s="1205"/>
      <c r="W179" s="1205"/>
      <c r="X179" s="1205"/>
      <c r="Y179" s="1205"/>
      <c r="Z179" s="1205"/>
      <c r="AA179" s="1205"/>
      <c r="AB179" s="1205"/>
      <c r="AC179" s="1206"/>
    </row>
    <row r="180" spans="1:29" ht="14.95" thickBot="1">
      <c r="A180" s="561"/>
      <c r="B180" s="565"/>
      <c r="C180" s="565"/>
      <c r="D180" s="565"/>
      <c r="E180" s="565"/>
      <c r="F180" s="659"/>
      <c r="G180" s="565"/>
      <c r="H180" s="565"/>
      <c r="I180" s="565"/>
      <c r="J180" s="565"/>
      <c r="K180" s="565"/>
      <c r="L180" s="565"/>
      <c r="M180" s="565"/>
      <c r="N180" s="565"/>
      <c r="O180" s="565"/>
      <c r="P180" s="565"/>
      <c r="Q180" s="565"/>
      <c r="R180" s="565"/>
      <c r="S180" s="570"/>
      <c r="T180" s="570"/>
      <c r="U180" s="570"/>
      <c r="V180" s="570"/>
      <c r="W180" s="636"/>
      <c r="X180" s="570"/>
      <c r="Y180" s="570"/>
      <c r="Z180" s="570"/>
      <c r="AA180" s="570"/>
      <c r="AB180" s="570"/>
      <c r="AC180" s="584"/>
    </row>
    <row r="181" spans="1:29">
      <c r="A181" s="534"/>
      <c r="B181" s="534"/>
      <c r="C181" s="534"/>
      <c r="D181" s="534"/>
      <c r="E181" s="534"/>
      <c r="F181" s="534"/>
      <c r="G181" s="534"/>
      <c r="H181" s="534"/>
      <c r="I181" s="534"/>
      <c r="J181" s="534"/>
      <c r="K181" s="534"/>
      <c r="L181" s="534"/>
      <c r="M181" s="534"/>
      <c r="N181" s="534"/>
      <c r="O181" s="534"/>
      <c r="P181" s="534"/>
      <c r="Q181" s="534"/>
      <c r="R181" s="534"/>
      <c r="S181" s="500"/>
      <c r="T181" s="500"/>
      <c r="U181" s="500"/>
      <c r="V181" s="500"/>
      <c r="W181" s="637"/>
      <c r="X181" s="500"/>
      <c r="Y181" s="500"/>
      <c r="Z181" s="500"/>
      <c r="AA181" s="500"/>
      <c r="AB181" s="500"/>
      <c r="AC181" s="500"/>
    </row>
    <row r="183" spans="1:29" ht="14.95" thickBot="1">
      <c r="A183" s="509" t="s">
        <v>992</v>
      </c>
      <c r="B183" s="750"/>
      <c r="C183" s="750"/>
      <c r="D183" s="750"/>
      <c r="E183" s="750"/>
      <c r="F183" s="750"/>
      <c r="G183" s="750"/>
      <c r="H183" s="750"/>
      <c r="I183" s="750"/>
      <c r="J183" s="750"/>
      <c r="K183" s="750"/>
      <c r="L183" s="750"/>
      <c r="M183" s="750"/>
      <c r="N183" s="750"/>
      <c r="O183" s="750"/>
      <c r="P183" s="750"/>
      <c r="Q183" s="750"/>
      <c r="R183" s="750"/>
      <c r="S183" s="750"/>
      <c r="T183" s="750"/>
      <c r="U183" s="750"/>
      <c r="V183" s="750"/>
      <c r="W183" s="750"/>
      <c r="X183" s="750"/>
      <c r="Y183" s="750"/>
      <c r="Z183" s="750"/>
      <c r="AA183" s="750"/>
      <c r="AB183" s="750"/>
      <c r="AC183" s="750"/>
    </row>
    <row r="184" spans="1:29">
      <c r="A184" s="514" t="s">
        <v>121</v>
      </c>
      <c r="B184" s="515" t="s">
        <v>122</v>
      </c>
      <c r="C184" s="515"/>
      <c r="D184" s="515"/>
      <c r="E184" s="515" t="s">
        <v>847</v>
      </c>
      <c r="F184" s="516" t="s">
        <v>123</v>
      </c>
      <c r="G184" s="751"/>
      <c r="H184" s="751"/>
      <c r="I184" s="751"/>
      <c r="J184" s="751"/>
      <c r="K184" s="751"/>
      <c r="L184" s="751"/>
      <c r="M184" s="751"/>
      <c r="N184" s="751"/>
      <c r="O184" s="751"/>
      <c r="P184" s="751"/>
      <c r="Q184" s="751"/>
      <c r="R184" s="751"/>
      <c r="S184" s="771" t="s">
        <v>337</v>
      </c>
      <c r="T184" s="1234"/>
      <c r="U184" s="1235"/>
      <c r="V184" s="1235"/>
      <c r="W184" s="1235"/>
      <c r="X184" s="1235"/>
      <c r="Y184" s="1235"/>
      <c r="Z184" s="1235"/>
      <c r="AA184" s="1235"/>
      <c r="AB184" s="1235"/>
      <c r="AC184" s="1236"/>
    </row>
    <row r="185" spans="1:29">
      <c r="A185" s="532"/>
      <c r="B185" s="544"/>
      <c r="C185" s="534"/>
      <c r="D185" s="534"/>
      <c r="E185" s="534"/>
      <c r="F185" s="656"/>
      <c r="G185" s="752"/>
      <c r="H185" s="752"/>
      <c r="I185" s="752"/>
      <c r="J185" s="752"/>
      <c r="K185" s="752"/>
      <c r="L185" s="752"/>
      <c r="M185" s="752"/>
      <c r="N185" s="752"/>
      <c r="O185" s="752"/>
      <c r="P185" s="752"/>
      <c r="Q185" s="752"/>
      <c r="R185" s="752"/>
      <c r="S185" s="753"/>
      <c r="T185" s="753"/>
      <c r="U185" s="753"/>
      <c r="V185" s="753"/>
      <c r="W185" s="753"/>
      <c r="X185" s="753"/>
      <c r="Y185" s="753"/>
      <c r="Z185" s="753"/>
      <c r="AA185" s="753"/>
      <c r="AB185" s="753"/>
      <c r="AC185" s="754"/>
    </row>
    <row r="186" spans="1:29">
      <c r="A186" s="532"/>
      <c r="B186" s="534"/>
      <c r="C186" s="533" t="s">
        <v>992</v>
      </c>
      <c r="D186" s="534"/>
      <c r="E186" s="534"/>
      <c r="F186" s="542" t="s">
        <v>993</v>
      </c>
      <c r="G186" s="755"/>
      <c r="H186" s="755"/>
      <c r="I186" s="755"/>
      <c r="J186" s="755"/>
      <c r="K186" s="755"/>
      <c r="L186" s="755"/>
      <c r="M186" s="755"/>
      <c r="N186" s="755"/>
      <c r="O186" s="755"/>
      <c r="P186" s="755"/>
      <c r="Q186" s="755"/>
      <c r="R186" s="755"/>
      <c r="S186" s="801">
        <v>388959.02799999999</v>
      </c>
      <c r="T186" s="1231"/>
      <c r="U186" s="1232"/>
      <c r="V186" s="1232"/>
      <c r="W186" s="1232"/>
      <c r="X186" s="1232"/>
      <c r="Y186" s="1232"/>
      <c r="Z186" s="1232"/>
      <c r="AA186" s="1232"/>
      <c r="AB186" s="1232"/>
      <c r="AC186" s="1233"/>
    </row>
    <row r="187" spans="1:29" ht="16.3">
      <c r="A187" s="532"/>
      <c r="B187" s="534"/>
      <c r="C187" s="533" t="s">
        <v>995</v>
      </c>
      <c r="D187" s="534"/>
      <c r="E187" s="534"/>
      <c r="F187" s="656"/>
      <c r="G187" s="752"/>
      <c r="H187" s="752"/>
      <c r="I187" s="752"/>
      <c r="J187" s="752"/>
      <c r="K187" s="752"/>
      <c r="L187" s="752"/>
      <c r="M187" s="752"/>
      <c r="N187" s="752"/>
      <c r="O187" s="752"/>
      <c r="P187" s="752"/>
      <c r="Q187" s="752"/>
      <c r="R187" s="752"/>
      <c r="S187" s="802">
        <v>-1009.51711</v>
      </c>
      <c r="T187" s="753"/>
      <c r="U187" s="753"/>
      <c r="V187" s="753"/>
      <c r="W187" s="753"/>
      <c r="X187" s="753"/>
      <c r="Y187" s="753"/>
      <c r="Z187" s="753"/>
      <c r="AA187" s="756"/>
      <c r="AB187" s="753"/>
      <c r="AC187" s="754"/>
    </row>
    <row r="188" spans="1:29">
      <c r="A188" s="532">
        <v>104</v>
      </c>
      <c r="B188" s="534"/>
      <c r="C188" s="544" t="s">
        <v>994</v>
      </c>
      <c r="D188" s="534"/>
      <c r="E188" s="534"/>
      <c r="F188" s="656"/>
      <c r="G188" s="752"/>
      <c r="H188" s="752"/>
      <c r="I188" s="752"/>
      <c r="J188" s="752"/>
      <c r="K188" s="752"/>
      <c r="L188" s="752"/>
      <c r="M188" s="752"/>
      <c r="N188" s="752"/>
      <c r="O188" s="752"/>
      <c r="P188" s="752"/>
      <c r="Q188" s="752"/>
      <c r="R188" s="752"/>
      <c r="S188" s="670">
        <f>SUM(S186:S187)</f>
        <v>387949.51088999998</v>
      </c>
      <c r="T188" s="1231"/>
      <c r="U188" s="1232"/>
      <c r="V188" s="1232"/>
      <c r="W188" s="1232"/>
      <c r="X188" s="1232"/>
      <c r="Y188" s="1232"/>
      <c r="Z188" s="1232"/>
      <c r="AA188" s="1232"/>
      <c r="AB188" s="1232"/>
      <c r="AC188" s="1233"/>
    </row>
    <row r="189" spans="1:29" ht="14.95" thickBot="1">
      <c r="A189" s="757"/>
      <c r="B189" s="758"/>
      <c r="C189" s="758"/>
      <c r="D189" s="758"/>
      <c r="E189" s="758"/>
      <c r="F189" s="759"/>
      <c r="G189" s="758"/>
      <c r="H189" s="758"/>
      <c r="I189" s="758"/>
      <c r="J189" s="758"/>
      <c r="K189" s="758"/>
      <c r="L189" s="758"/>
      <c r="M189" s="758"/>
      <c r="N189" s="758"/>
      <c r="O189" s="758"/>
      <c r="P189" s="758"/>
      <c r="Q189" s="758"/>
      <c r="R189" s="758"/>
      <c r="S189" s="760"/>
      <c r="T189" s="760"/>
      <c r="U189" s="760"/>
      <c r="V189" s="760"/>
      <c r="W189" s="761"/>
      <c r="X189" s="760"/>
      <c r="Y189" s="760"/>
      <c r="Z189" s="760"/>
      <c r="AA189" s="760"/>
      <c r="AB189" s="760"/>
      <c r="AC189" s="762"/>
    </row>
    <row r="190" spans="1:29">
      <c r="A190" s="750"/>
      <c r="B190" s="750"/>
      <c r="C190" s="750"/>
      <c r="D190" s="750"/>
      <c r="E190" s="750"/>
      <c r="F190" s="750"/>
      <c r="G190" s="750"/>
      <c r="H190" s="750"/>
      <c r="I190" s="750"/>
      <c r="J190" s="750"/>
      <c r="K190" s="750"/>
      <c r="L190" s="750"/>
      <c r="M190" s="750"/>
      <c r="N190" s="750"/>
      <c r="O190" s="750"/>
      <c r="P190" s="750"/>
      <c r="Q190" s="750"/>
      <c r="R190" s="750"/>
      <c r="S190" s="750"/>
      <c r="T190" s="750"/>
      <c r="U190" s="750"/>
      <c r="V190" s="750"/>
      <c r="W190" s="750"/>
      <c r="X190" s="750"/>
      <c r="Y190" s="750"/>
      <c r="Z190" s="750"/>
      <c r="AA190" s="750"/>
      <c r="AB190" s="750"/>
      <c r="AC190" s="750"/>
    </row>
  </sheetData>
  <mergeCells count="76">
    <mergeCell ref="W72:AA72"/>
    <mergeCell ref="J4:M4"/>
    <mergeCell ref="V91:AC91"/>
    <mergeCell ref="T161:AC161"/>
    <mergeCell ref="T167:AC167"/>
    <mergeCell ref="T128:AC128"/>
    <mergeCell ref="T125:AC125"/>
    <mergeCell ref="T140:AC140"/>
    <mergeCell ref="T137:AC137"/>
    <mergeCell ref="T139:AC139"/>
    <mergeCell ref="T135:AC135"/>
    <mergeCell ref="V64:AC64"/>
    <mergeCell ref="V65:AC65"/>
    <mergeCell ref="V59:AC59"/>
    <mergeCell ref="V57:AC57"/>
    <mergeCell ref="V58:AC58"/>
    <mergeCell ref="T169:AC169"/>
    <mergeCell ref="T150:AC150"/>
    <mergeCell ref="T152:AC152"/>
    <mergeCell ref="T154:AC154"/>
    <mergeCell ref="T155:AC155"/>
    <mergeCell ref="T159:AC159"/>
    <mergeCell ref="T186:AC186"/>
    <mergeCell ref="T188:AC188"/>
    <mergeCell ref="T179:AC179"/>
    <mergeCell ref="T174:AC174"/>
    <mergeCell ref="T176:AC176"/>
    <mergeCell ref="T178:AC178"/>
    <mergeCell ref="T184:AC184"/>
    <mergeCell ref="A1:AC1"/>
    <mergeCell ref="A2:AC2"/>
    <mergeCell ref="A3:AC3"/>
    <mergeCell ref="H41:S41"/>
    <mergeCell ref="V119:AC119"/>
    <mergeCell ref="H5:S5"/>
    <mergeCell ref="T102:AC102"/>
    <mergeCell ref="V42:AC42"/>
    <mergeCell ref="T104:AC104"/>
    <mergeCell ref="T105:AC105"/>
    <mergeCell ref="T106:AC106"/>
    <mergeCell ref="T107:AC107"/>
    <mergeCell ref="H47:S47"/>
    <mergeCell ref="V93:AC93"/>
    <mergeCell ref="T97:AC97"/>
    <mergeCell ref="V48:AC48"/>
    <mergeCell ref="V60:AC60"/>
    <mergeCell ref="H55:S55"/>
    <mergeCell ref="W74:AC74"/>
    <mergeCell ref="T123:AC123"/>
    <mergeCell ref="T108:AC108"/>
    <mergeCell ref="W66:Y66"/>
    <mergeCell ref="X84:AC84"/>
    <mergeCell ref="V70:AC70"/>
    <mergeCell ref="V78:AC78"/>
    <mergeCell ref="V113:AC113"/>
    <mergeCell ref="T109:AC109"/>
    <mergeCell ref="V80:AC80"/>
    <mergeCell ref="T99:AC99"/>
    <mergeCell ref="T101:AC101"/>
    <mergeCell ref="X86:AC86"/>
    <mergeCell ref="X87:AC87"/>
    <mergeCell ref="V6:AC6"/>
    <mergeCell ref="V7:AC7"/>
    <mergeCell ref="V32:AC32"/>
    <mergeCell ref="V31:AC31"/>
    <mergeCell ref="V12:AC12"/>
    <mergeCell ref="W11:Y11"/>
    <mergeCell ref="W28:Y28"/>
    <mergeCell ref="W35:Y35"/>
    <mergeCell ref="V56:AC56"/>
    <mergeCell ref="V38:AC38"/>
    <mergeCell ref="V39:AC39"/>
    <mergeCell ref="V13:AC13"/>
    <mergeCell ref="V19:AC19"/>
    <mergeCell ref="V26:AC26"/>
    <mergeCell ref="X54:Z54"/>
  </mergeCells>
  <phoneticPr fontId="45" type="noConversion"/>
  <printOptions horizontalCentered="1"/>
  <pageMargins left="0.22" right="0.21" top="0.75" bottom="0.5" header="0.5" footer="0.5"/>
  <pageSetup scale="31" fitToHeight="3" orientation="landscape" r:id="rId1"/>
  <headerFooter alignWithMargins="0">
    <oddHeader>&amp;RPage &amp;P of &amp;N</oddHeader>
  </headerFooter>
  <rowBreaks count="2" manualBreakCount="2">
    <brk id="68" max="28" man="1"/>
    <brk id="133" max="28" man="1"/>
  </rowBreaks>
</worksheet>
</file>

<file path=xl/worksheets/sheet11.xml><?xml version="1.0" encoding="utf-8"?>
<worksheet xmlns="http://schemas.openxmlformats.org/spreadsheetml/2006/main" xmlns:r="http://schemas.openxmlformats.org/officeDocument/2006/relationships">
  <sheetPr codeName="Sheet8">
    <pageSetUpPr fitToPage="1"/>
  </sheetPr>
  <dimension ref="A1:N74"/>
  <sheetViews>
    <sheetView zoomScale="70" zoomScaleNormal="70" workbookViewId="0">
      <selection activeCell="J64" sqref="J64"/>
    </sheetView>
  </sheetViews>
  <sheetFormatPr defaultRowHeight="12.9"/>
  <cols>
    <col min="1" max="1" width="7.75" customWidth="1"/>
    <col min="2" max="2" width="7" customWidth="1"/>
    <col min="3" max="3" width="8" customWidth="1"/>
    <col min="6" max="6" width="57.75" customWidth="1"/>
    <col min="7" max="7" width="11.875" bestFit="1" customWidth="1"/>
    <col min="9" max="9" width="14.25" bestFit="1" customWidth="1"/>
    <col min="10" max="10" width="8" bestFit="1" customWidth="1"/>
    <col min="11" max="11" width="15.625" customWidth="1"/>
    <col min="14" max="14" width="13.125" customWidth="1"/>
    <col min="15" max="15" width="10.125" customWidth="1"/>
  </cols>
  <sheetData>
    <row r="1" spans="1:14" ht="18" customHeight="1">
      <c r="A1" s="1160" t="str">
        <f>'Appendix A'!A4</f>
        <v xml:space="preserve">Virginia Electric and Power Company  </v>
      </c>
      <c r="B1" s="1160"/>
      <c r="C1" s="1160"/>
      <c r="D1" s="1160"/>
      <c r="E1" s="1160"/>
      <c r="F1" s="1160"/>
      <c r="G1" s="1160"/>
      <c r="H1" s="1160"/>
      <c r="I1" s="1160"/>
      <c r="J1" s="1132"/>
      <c r="K1" s="1134"/>
      <c r="L1" s="1134"/>
      <c r="M1" s="1134"/>
      <c r="N1" s="1134"/>
    </row>
    <row r="2" spans="1:14" ht="18.350000000000001">
      <c r="A2" s="1160" t="s">
        <v>880</v>
      </c>
      <c r="B2" s="1160"/>
      <c r="C2" s="1160"/>
      <c r="D2" s="1160"/>
      <c r="E2" s="1160"/>
      <c r="F2" s="1160"/>
      <c r="G2" s="1160"/>
      <c r="H2" s="1160"/>
      <c r="I2" s="1160"/>
      <c r="J2" s="1134"/>
      <c r="K2" s="1134"/>
      <c r="L2" s="1134"/>
      <c r="M2" s="1134"/>
      <c r="N2" s="1134"/>
    </row>
    <row r="3" spans="1:14" ht="15.65">
      <c r="A3" s="1245" t="s">
        <v>232</v>
      </c>
      <c r="B3" s="1245"/>
      <c r="C3" s="1245"/>
      <c r="D3" s="1245"/>
      <c r="E3" s="1245"/>
      <c r="F3" s="1245"/>
      <c r="G3" s="1245"/>
      <c r="H3" s="1245"/>
      <c r="I3" s="1245"/>
      <c r="J3" s="1134"/>
      <c r="K3" s="1134"/>
      <c r="L3" s="1134"/>
      <c r="M3" s="1134"/>
      <c r="N3" s="1134"/>
    </row>
    <row r="4" spans="1:14" ht="15.65">
      <c r="A4" s="167"/>
      <c r="B4" s="204"/>
      <c r="C4" s="205"/>
      <c r="D4" s="205"/>
      <c r="E4" s="436"/>
      <c r="F4" s="436"/>
      <c r="G4" s="34"/>
      <c r="H4" s="34"/>
      <c r="I4" s="34"/>
      <c r="J4" s="34"/>
      <c r="K4" s="34"/>
      <c r="L4" s="34"/>
      <c r="M4" s="34"/>
      <c r="N4" s="34"/>
    </row>
    <row r="5" spans="1:14" ht="15.65">
      <c r="A5" s="167"/>
      <c r="B5" s="34"/>
      <c r="C5" s="34"/>
      <c r="D5" s="34"/>
      <c r="E5" s="34"/>
      <c r="F5" s="34"/>
      <c r="G5" s="34"/>
      <c r="H5" s="34"/>
      <c r="I5" s="34"/>
      <c r="J5" s="34"/>
      <c r="K5" s="34"/>
      <c r="L5" s="34"/>
      <c r="M5" s="34"/>
      <c r="N5" s="34"/>
    </row>
    <row r="6" spans="1:14" ht="15.65">
      <c r="A6" s="34" t="s">
        <v>99</v>
      </c>
      <c r="B6" s="34"/>
      <c r="C6" s="167"/>
      <c r="D6" s="34"/>
      <c r="E6" s="34"/>
      <c r="F6" s="34"/>
      <c r="G6" s="34"/>
      <c r="H6" s="34"/>
      <c r="I6" s="34"/>
      <c r="J6" s="34"/>
      <c r="K6" s="38"/>
      <c r="L6" s="34"/>
      <c r="M6" s="34"/>
      <c r="N6" s="34"/>
    </row>
    <row r="7" spans="1:14" ht="15.65">
      <c r="A7" s="34" t="s">
        <v>100</v>
      </c>
      <c r="B7" s="437">
        <v>1</v>
      </c>
      <c r="C7" s="167"/>
      <c r="D7" s="167"/>
      <c r="E7" s="34"/>
      <c r="F7" s="34"/>
      <c r="G7" s="34"/>
      <c r="H7" s="34"/>
      <c r="I7" s="34"/>
      <c r="J7" s="34"/>
      <c r="K7" s="34"/>
      <c r="L7" s="34"/>
      <c r="M7" s="34"/>
      <c r="N7" s="34"/>
    </row>
    <row r="8" spans="1:14" ht="15.65">
      <c r="A8" s="34"/>
      <c r="B8" s="34"/>
      <c r="C8" s="167"/>
      <c r="D8" s="34"/>
      <c r="E8" s="34"/>
      <c r="F8" s="34"/>
      <c r="G8" s="34"/>
      <c r="H8" s="34"/>
      <c r="I8" s="34"/>
      <c r="J8" s="34"/>
      <c r="K8" s="34"/>
      <c r="L8" s="34"/>
      <c r="M8" s="34"/>
      <c r="N8" s="34"/>
    </row>
    <row r="9" spans="1:14" ht="15.65">
      <c r="A9" s="34" t="s">
        <v>70</v>
      </c>
      <c r="B9" s="34" t="s">
        <v>209</v>
      </c>
      <c r="C9" s="167"/>
      <c r="D9" s="34"/>
      <c r="E9" s="34"/>
      <c r="F9" s="34"/>
      <c r="G9" s="34"/>
      <c r="H9" s="34"/>
      <c r="I9" s="34"/>
      <c r="J9" s="34"/>
      <c r="K9" s="34"/>
      <c r="L9" s="34"/>
      <c r="M9" s="34"/>
      <c r="N9" s="34"/>
    </row>
    <row r="10" spans="1:14" ht="15.65">
      <c r="A10" s="34"/>
      <c r="B10" s="34" t="s">
        <v>210</v>
      </c>
      <c r="C10" s="167"/>
      <c r="D10" s="34"/>
      <c r="E10" s="34"/>
      <c r="F10" s="34"/>
      <c r="G10" s="34"/>
      <c r="H10" s="34"/>
      <c r="I10" s="34"/>
      <c r="J10" s="34"/>
      <c r="K10" s="34"/>
      <c r="L10" s="34"/>
      <c r="M10" s="34"/>
      <c r="N10" s="34"/>
    </row>
    <row r="11" spans="1:14" ht="18.350000000000001">
      <c r="A11" s="34"/>
      <c r="B11" s="34" t="s">
        <v>21</v>
      </c>
      <c r="C11" s="167"/>
      <c r="D11" s="34"/>
      <c r="E11" s="34"/>
      <c r="F11" s="34"/>
      <c r="G11" s="438"/>
      <c r="H11" s="167"/>
      <c r="I11" s="34"/>
      <c r="J11" s="34"/>
      <c r="K11" s="34"/>
      <c r="L11" s="34"/>
      <c r="M11" s="34"/>
      <c r="N11" s="34"/>
    </row>
    <row r="12" spans="1:14" ht="15.65">
      <c r="A12" s="34"/>
      <c r="B12" s="34"/>
      <c r="C12" s="167"/>
      <c r="D12" s="34"/>
      <c r="E12" s="34"/>
      <c r="F12" s="34"/>
      <c r="G12" s="34"/>
      <c r="H12" s="34"/>
      <c r="I12" s="34"/>
      <c r="J12" s="34"/>
      <c r="K12" s="34"/>
      <c r="L12" s="34"/>
      <c r="M12" s="34"/>
      <c r="N12" s="34"/>
    </row>
    <row r="13" spans="1:14" ht="15.65">
      <c r="A13" s="34" t="s">
        <v>71</v>
      </c>
      <c r="B13" s="34" t="s">
        <v>514</v>
      </c>
      <c r="C13" s="167"/>
      <c r="D13" s="34"/>
      <c r="E13" s="34"/>
      <c r="F13" s="34"/>
      <c r="G13" s="34"/>
      <c r="H13" s="34"/>
      <c r="I13" s="34"/>
      <c r="J13" s="34"/>
      <c r="K13" s="34"/>
      <c r="L13" s="34"/>
      <c r="M13" s="34"/>
      <c r="N13" s="34"/>
    </row>
    <row r="14" spans="1:14" ht="15.65">
      <c r="A14" s="34"/>
      <c r="B14" s="34" t="s">
        <v>24</v>
      </c>
      <c r="C14" s="167"/>
      <c r="D14" s="34"/>
      <c r="E14" s="34"/>
      <c r="F14" s="34"/>
      <c r="G14" s="34"/>
      <c r="H14" s="34"/>
      <c r="I14" s="34"/>
      <c r="J14" s="34"/>
      <c r="K14" s="34"/>
      <c r="L14" s="34"/>
      <c r="M14" s="34"/>
      <c r="N14" s="34"/>
    </row>
    <row r="15" spans="1:14" ht="14.95" customHeight="1">
      <c r="A15" s="34"/>
      <c r="B15" s="34" t="s">
        <v>25</v>
      </c>
      <c r="C15" s="167"/>
      <c r="D15" s="34"/>
      <c r="E15" s="34"/>
      <c r="F15" s="34"/>
      <c r="G15" s="34"/>
      <c r="H15" s="34"/>
      <c r="I15" s="34"/>
      <c r="J15" s="34"/>
      <c r="K15" s="1246" t="s">
        <v>1195</v>
      </c>
      <c r="L15" s="34"/>
      <c r="M15" s="34"/>
      <c r="N15" s="34"/>
    </row>
    <row r="16" spans="1:14" ht="14.95" customHeight="1">
      <c r="A16" s="34"/>
      <c r="B16" s="34"/>
      <c r="C16" s="167"/>
      <c r="D16" s="34"/>
      <c r="E16" s="34"/>
      <c r="F16" s="34"/>
      <c r="G16" s="34"/>
      <c r="H16" s="34"/>
      <c r="I16" s="34"/>
      <c r="J16" s="34"/>
      <c r="K16" s="1246"/>
      <c r="L16" s="34"/>
      <c r="M16" s="34"/>
      <c r="N16" s="34"/>
    </row>
    <row r="17" spans="1:14" ht="14.95" customHeight="1">
      <c r="A17" s="34" t="s">
        <v>72</v>
      </c>
      <c r="B17" s="34" t="s">
        <v>358</v>
      </c>
      <c r="C17" s="167"/>
      <c r="D17" s="34"/>
      <c r="E17" s="34"/>
      <c r="F17" s="34"/>
      <c r="G17" s="34"/>
      <c r="H17" s="34"/>
      <c r="I17" s="34"/>
      <c r="J17" s="34"/>
      <c r="K17" s="1246"/>
      <c r="L17" s="34"/>
      <c r="M17" s="34"/>
      <c r="N17" s="34"/>
    </row>
    <row r="18" spans="1:14" ht="15.65">
      <c r="A18" s="34"/>
      <c r="B18" s="34"/>
      <c r="C18" s="167"/>
      <c r="D18" s="34"/>
      <c r="E18" s="34"/>
      <c r="F18" s="34"/>
      <c r="G18" s="34"/>
      <c r="H18" s="34"/>
      <c r="I18" s="34"/>
      <c r="J18" s="167"/>
      <c r="K18" s="1246"/>
      <c r="L18" s="34"/>
      <c r="M18" s="34"/>
      <c r="N18" s="34"/>
    </row>
    <row r="19" spans="1:14" ht="14.95" customHeight="1">
      <c r="A19" s="167"/>
      <c r="B19" s="34" t="s">
        <v>245</v>
      </c>
      <c r="C19" s="34"/>
      <c r="D19" s="167"/>
      <c r="E19" s="34"/>
      <c r="F19" s="34"/>
      <c r="G19" s="34"/>
      <c r="H19" s="34"/>
      <c r="I19" s="34"/>
      <c r="J19" s="439"/>
      <c r="K19" s="1246"/>
      <c r="L19" s="34"/>
      <c r="M19" s="34"/>
      <c r="N19" s="34"/>
    </row>
    <row r="20" spans="1:14" ht="15.65">
      <c r="A20" s="167"/>
      <c r="B20" s="167"/>
      <c r="C20" s="34"/>
      <c r="D20" s="167"/>
      <c r="E20" s="34"/>
      <c r="F20" s="34"/>
      <c r="G20" s="34"/>
      <c r="H20" s="34"/>
      <c r="I20" s="34"/>
      <c r="J20" s="34"/>
      <c r="K20" s="1246"/>
      <c r="L20" s="34"/>
      <c r="M20" s="34"/>
      <c r="N20" s="34"/>
    </row>
    <row r="21" spans="1:14" ht="15.65">
      <c r="A21" s="167"/>
      <c r="B21" s="34" t="s">
        <v>359</v>
      </c>
      <c r="C21" s="1133" t="s">
        <v>211</v>
      </c>
      <c r="D21" s="34" t="s">
        <v>360</v>
      </c>
      <c r="E21" s="167"/>
      <c r="F21" s="34"/>
      <c r="G21" s="34"/>
      <c r="H21" s="34"/>
      <c r="I21" s="34"/>
      <c r="J21" s="34"/>
      <c r="K21" s="1246"/>
      <c r="L21" s="34"/>
      <c r="M21" s="34"/>
      <c r="N21" s="34"/>
    </row>
    <row r="22" spans="1:14" ht="15.65">
      <c r="A22" s="167"/>
      <c r="B22" s="167"/>
      <c r="C22" s="167"/>
      <c r="D22" s="34" t="s">
        <v>233</v>
      </c>
      <c r="E22" s="34"/>
      <c r="F22" s="34"/>
      <c r="G22" s="34"/>
      <c r="H22" s="34"/>
      <c r="K22" s="1141">
        <v>2.7000000000000001E-3</v>
      </c>
      <c r="L22" s="34"/>
      <c r="M22" s="34"/>
      <c r="N22" s="34"/>
    </row>
    <row r="23" spans="1:14" ht="15.65">
      <c r="A23" s="167"/>
      <c r="B23" s="167"/>
      <c r="C23" s="167"/>
      <c r="D23" s="167"/>
      <c r="E23" s="34"/>
      <c r="F23" s="34"/>
      <c r="G23" s="34"/>
      <c r="H23" s="34"/>
      <c r="I23" s="34"/>
      <c r="J23" s="34"/>
      <c r="K23" s="34"/>
      <c r="L23" s="34"/>
      <c r="M23" s="34"/>
      <c r="N23" s="34"/>
    </row>
    <row r="24" spans="1:14" ht="15.65">
      <c r="A24" s="167"/>
      <c r="B24" s="167"/>
      <c r="C24" s="167"/>
      <c r="D24" s="34" t="s">
        <v>365</v>
      </c>
      <c r="E24" s="167"/>
      <c r="F24" s="167"/>
      <c r="G24" s="167"/>
      <c r="H24" s="34"/>
      <c r="I24" s="34"/>
      <c r="J24" s="34"/>
      <c r="K24" s="34"/>
      <c r="L24" s="34"/>
      <c r="M24" s="34"/>
      <c r="N24" s="34"/>
    </row>
    <row r="25" spans="1:14" ht="15.65">
      <c r="A25" s="34"/>
      <c r="B25" s="167"/>
      <c r="C25" s="167"/>
      <c r="D25" s="34" t="s">
        <v>366</v>
      </c>
      <c r="E25" s="167"/>
      <c r="F25" s="34"/>
      <c r="G25" s="34"/>
      <c r="H25" s="34"/>
      <c r="I25" s="34"/>
      <c r="J25" s="34"/>
      <c r="K25" s="34"/>
      <c r="L25" s="34"/>
      <c r="M25" s="34"/>
      <c r="N25" s="34"/>
    </row>
    <row r="26" spans="1:14" ht="15.65">
      <c r="A26" s="167"/>
      <c r="B26" s="167"/>
      <c r="C26" s="34"/>
      <c r="D26" s="167"/>
      <c r="E26" s="167"/>
      <c r="F26" s="34"/>
      <c r="G26" s="34"/>
      <c r="H26" s="34"/>
      <c r="I26" s="34"/>
      <c r="J26" s="34"/>
      <c r="K26" s="34"/>
      <c r="L26" s="34"/>
      <c r="M26" s="34"/>
      <c r="N26" s="34"/>
    </row>
    <row r="27" spans="1:14" ht="15.65">
      <c r="A27" s="436" t="s">
        <v>113</v>
      </c>
      <c r="B27" s="440"/>
      <c r="C27" s="440"/>
      <c r="D27" s="436"/>
      <c r="E27" s="436"/>
      <c r="F27" s="436"/>
      <c r="G27" s="436"/>
      <c r="H27" s="436"/>
      <c r="I27" s="34"/>
      <c r="J27" s="34"/>
      <c r="K27" s="34"/>
      <c r="L27" s="34"/>
      <c r="M27" s="34"/>
      <c r="N27" s="34"/>
    </row>
    <row r="28" spans="1:14" ht="15.65">
      <c r="A28" s="167"/>
      <c r="B28" s="167"/>
      <c r="C28" s="167"/>
      <c r="D28" s="167"/>
      <c r="E28" s="167"/>
      <c r="F28" s="167"/>
      <c r="G28" s="167"/>
      <c r="H28" s="167"/>
      <c r="I28" s="167"/>
      <c r="J28" s="167"/>
      <c r="K28" s="167"/>
      <c r="L28" s="167"/>
      <c r="M28" s="167"/>
      <c r="N28" s="34"/>
    </row>
    <row r="29" spans="1:14" ht="15.65">
      <c r="A29" s="167"/>
      <c r="B29" s="167"/>
      <c r="C29" s="167"/>
      <c r="D29" s="167"/>
      <c r="E29" s="167"/>
      <c r="F29" s="167"/>
      <c r="G29" s="167"/>
      <c r="H29" s="167"/>
      <c r="I29" s="167"/>
      <c r="J29" s="167"/>
      <c r="K29" s="167"/>
      <c r="L29" s="167"/>
      <c r="M29" s="167"/>
      <c r="N29" s="34"/>
    </row>
    <row r="30" spans="1:14" ht="15.65">
      <c r="A30" s="34" t="s">
        <v>540</v>
      </c>
      <c r="B30" s="34" t="s">
        <v>541</v>
      </c>
      <c r="C30" s="34" t="s">
        <v>542</v>
      </c>
      <c r="D30" s="167"/>
      <c r="E30" s="34"/>
      <c r="F30" s="34"/>
      <c r="G30" s="34"/>
      <c r="H30" s="34"/>
      <c r="I30" s="167"/>
      <c r="J30" s="167"/>
      <c r="K30" s="167"/>
      <c r="L30" s="167"/>
      <c r="M30" s="167"/>
      <c r="N30" s="34"/>
    </row>
    <row r="31" spans="1:14" ht="15.65">
      <c r="A31" s="34"/>
      <c r="B31" s="34"/>
      <c r="C31" s="34"/>
      <c r="D31" s="167"/>
      <c r="E31" s="34"/>
      <c r="F31" s="34"/>
      <c r="G31" s="34"/>
      <c r="H31" s="34"/>
      <c r="I31" s="167"/>
      <c r="J31" s="167"/>
      <c r="K31" s="167"/>
      <c r="L31" s="167"/>
      <c r="M31" s="167"/>
      <c r="N31" s="167"/>
    </row>
    <row r="32" spans="1:14" ht="15.65">
      <c r="A32" s="1133" t="s">
        <v>105</v>
      </c>
      <c r="B32" s="1133">
        <v>2007</v>
      </c>
      <c r="C32" s="34" t="s">
        <v>106</v>
      </c>
      <c r="D32" s="167"/>
      <c r="E32" s="34"/>
      <c r="F32" s="34"/>
      <c r="G32" s="34"/>
      <c r="H32" s="34"/>
      <c r="I32" s="167"/>
      <c r="J32" s="167"/>
      <c r="K32" s="167"/>
      <c r="L32" s="167"/>
      <c r="M32" s="167"/>
      <c r="N32" s="167"/>
    </row>
    <row r="33" spans="1:14" ht="15.65">
      <c r="A33" s="1133" t="s">
        <v>108</v>
      </c>
      <c r="B33" s="1133">
        <v>2008</v>
      </c>
      <c r="C33" s="34" t="s">
        <v>107</v>
      </c>
      <c r="D33" s="167"/>
      <c r="E33" s="34"/>
      <c r="F33" s="34"/>
      <c r="G33" s="34"/>
      <c r="H33" s="34"/>
      <c r="I33" s="167"/>
      <c r="J33" s="167"/>
      <c r="K33" s="167"/>
      <c r="L33" s="167"/>
      <c r="M33" s="167"/>
      <c r="N33" s="167"/>
    </row>
    <row r="34" spans="1:14" ht="15.65">
      <c r="A34" s="1133" t="s">
        <v>543</v>
      </c>
      <c r="B34" s="1133">
        <v>2009</v>
      </c>
      <c r="C34" s="34" t="s">
        <v>110</v>
      </c>
      <c r="D34" s="167"/>
      <c r="E34" s="34"/>
      <c r="F34" s="34"/>
      <c r="G34" s="34"/>
      <c r="H34" s="34"/>
      <c r="I34" s="167"/>
      <c r="J34" s="167"/>
      <c r="K34" s="167"/>
      <c r="L34" s="167"/>
      <c r="M34" s="167"/>
      <c r="N34" s="167"/>
    </row>
    <row r="35" spans="1:14" ht="15.65">
      <c r="A35" s="1133" t="s">
        <v>108</v>
      </c>
      <c r="B35" s="1133">
        <v>2009</v>
      </c>
      <c r="C35" s="34" t="s">
        <v>118</v>
      </c>
      <c r="D35" s="167"/>
      <c r="E35" s="34"/>
      <c r="F35" s="34"/>
      <c r="G35" s="34"/>
      <c r="H35" s="34"/>
      <c r="I35" s="167"/>
      <c r="J35" s="167"/>
      <c r="K35" s="167"/>
      <c r="L35" s="167"/>
      <c r="M35" s="167"/>
      <c r="N35" s="167"/>
    </row>
    <row r="36" spans="1:14" ht="15.65">
      <c r="A36" s="1133" t="s">
        <v>108</v>
      </c>
      <c r="B36" s="1133">
        <f>+B35</f>
        <v>2009</v>
      </c>
      <c r="C36" s="34" t="s">
        <v>119</v>
      </c>
      <c r="D36" s="167"/>
      <c r="E36" s="34"/>
      <c r="F36" s="34"/>
      <c r="G36" s="34"/>
      <c r="H36" s="34"/>
      <c r="I36" s="167"/>
      <c r="J36" s="167"/>
      <c r="K36" s="167"/>
      <c r="L36" s="167"/>
      <c r="M36" s="167"/>
      <c r="N36" s="167"/>
    </row>
    <row r="37" spans="1:14" ht="15.65">
      <c r="A37" s="1133" t="s">
        <v>543</v>
      </c>
      <c r="B37" s="1133">
        <v>2010</v>
      </c>
      <c r="C37" s="34" t="s">
        <v>111</v>
      </c>
      <c r="D37" s="167"/>
      <c r="E37" s="34"/>
      <c r="F37" s="34"/>
      <c r="G37" s="34"/>
      <c r="H37" s="34"/>
      <c r="I37" s="167"/>
      <c r="J37" s="167"/>
      <c r="K37" s="167"/>
      <c r="L37" s="167"/>
      <c r="M37" s="167"/>
      <c r="N37" s="167"/>
    </row>
    <row r="38" spans="1:14" ht="15.65">
      <c r="A38" s="1133" t="s">
        <v>108</v>
      </c>
      <c r="B38" s="1133">
        <v>2010</v>
      </c>
      <c r="C38" s="34" t="s">
        <v>120</v>
      </c>
      <c r="D38" s="167"/>
      <c r="E38" s="34"/>
      <c r="F38" s="34"/>
      <c r="G38" s="34"/>
      <c r="H38" s="34"/>
      <c r="I38" s="167"/>
      <c r="J38" s="167"/>
      <c r="K38" s="167"/>
      <c r="L38" s="167"/>
      <c r="M38" s="167"/>
      <c r="N38" s="167"/>
    </row>
    <row r="39" spans="1:14" ht="15.65">
      <c r="A39" s="1133" t="str">
        <f>+A38</f>
        <v>Sept</v>
      </c>
      <c r="B39" s="1133">
        <f>+B38</f>
        <v>2010</v>
      </c>
      <c r="C39" s="34" t="s">
        <v>124</v>
      </c>
      <c r="D39" s="167"/>
      <c r="E39" s="34"/>
      <c r="F39" s="34"/>
      <c r="G39" s="34"/>
      <c r="H39" s="34"/>
      <c r="I39" s="167"/>
      <c r="J39" s="167"/>
      <c r="K39" s="167"/>
      <c r="L39" s="167"/>
      <c r="M39" s="167"/>
      <c r="N39" s="167"/>
    </row>
    <row r="40" spans="1:14" ht="15.65">
      <c r="A40" s="1133" t="s">
        <v>543</v>
      </c>
      <c r="B40" s="1133" t="s">
        <v>109</v>
      </c>
      <c r="C40" s="34" t="s">
        <v>112</v>
      </c>
      <c r="D40" s="167"/>
      <c r="E40" s="34"/>
      <c r="F40" s="34"/>
      <c r="G40" s="34"/>
      <c r="H40" s="34"/>
      <c r="I40" s="167"/>
      <c r="J40" s="167"/>
      <c r="K40" s="167"/>
      <c r="L40" s="167"/>
      <c r="M40" s="167"/>
      <c r="N40" s="167"/>
    </row>
    <row r="41" spans="1:14" ht="15.65">
      <c r="A41" s="1133" t="s">
        <v>108</v>
      </c>
      <c r="B41" s="1133" t="s">
        <v>109</v>
      </c>
      <c r="C41" s="34" t="s">
        <v>125</v>
      </c>
      <c r="D41" s="167"/>
      <c r="E41" s="34"/>
      <c r="F41" s="34"/>
      <c r="G41" s="34"/>
      <c r="H41" s="34"/>
      <c r="I41" s="167"/>
      <c r="J41" s="167"/>
      <c r="K41" s="167"/>
      <c r="L41" s="167"/>
      <c r="M41" s="167"/>
      <c r="N41" s="167"/>
    </row>
    <row r="42" spans="1:14" ht="15.65">
      <c r="A42" s="1133" t="str">
        <f>+A41</f>
        <v>Sept</v>
      </c>
      <c r="B42" s="1133" t="s">
        <v>109</v>
      </c>
      <c r="C42" s="34" t="s">
        <v>126</v>
      </c>
      <c r="D42" s="167"/>
      <c r="E42" s="34"/>
      <c r="F42" s="34"/>
      <c r="G42" s="34"/>
      <c r="H42" s="34"/>
      <c r="I42" s="167"/>
      <c r="J42" s="167"/>
      <c r="K42" s="167"/>
      <c r="L42" s="167"/>
      <c r="M42" s="167"/>
      <c r="N42" s="167"/>
    </row>
    <row r="43" spans="1:14" ht="15.65">
      <c r="A43" s="167"/>
      <c r="B43" s="167"/>
      <c r="C43" s="167"/>
      <c r="D43" s="34"/>
      <c r="E43" s="34"/>
      <c r="F43" s="34"/>
      <c r="G43" s="34"/>
      <c r="H43" s="34"/>
      <c r="I43" s="167"/>
      <c r="J43" s="167"/>
      <c r="K43" s="167"/>
      <c r="L43" s="167"/>
      <c r="M43" s="167"/>
      <c r="N43" s="167"/>
    </row>
    <row r="44" spans="1:14" ht="15.65">
      <c r="A44" s="167"/>
      <c r="B44" s="167"/>
      <c r="C44" s="167"/>
      <c r="D44" s="34"/>
      <c r="E44" s="34"/>
      <c r="F44" s="34"/>
      <c r="G44" s="34"/>
      <c r="H44" s="34"/>
      <c r="I44" s="167"/>
      <c r="J44" s="167"/>
      <c r="K44" s="167"/>
      <c r="L44" s="167"/>
      <c r="M44" s="167"/>
      <c r="N44" s="167"/>
    </row>
    <row r="45" spans="1:14" ht="18.350000000000001">
      <c r="A45" s="496">
        <v>1</v>
      </c>
      <c r="B45" s="34" t="s">
        <v>22</v>
      </c>
      <c r="C45" s="34"/>
      <c r="D45" s="34"/>
      <c r="E45" s="34"/>
      <c r="F45" s="34"/>
      <c r="G45" s="34"/>
      <c r="H45" s="34"/>
      <c r="I45" s="34"/>
      <c r="J45" s="34"/>
      <c r="K45" s="167"/>
      <c r="L45" s="167"/>
      <c r="M45" s="167"/>
      <c r="N45" s="167"/>
    </row>
    <row r="46" spans="1:14" ht="18.350000000000001">
      <c r="A46" s="497"/>
      <c r="B46" s="34" t="s">
        <v>117</v>
      </c>
      <c r="C46" s="34"/>
      <c r="D46" s="34"/>
      <c r="E46" s="34"/>
      <c r="F46" s="34"/>
      <c r="G46" s="34"/>
      <c r="H46" s="34"/>
      <c r="I46" s="34"/>
      <c r="J46" s="34"/>
      <c r="K46" s="167"/>
      <c r="L46" s="167"/>
      <c r="M46" s="167"/>
      <c r="N46" s="167"/>
    </row>
    <row r="47" spans="1:14" ht="18.350000000000001">
      <c r="A47" s="497"/>
      <c r="B47" s="34"/>
      <c r="C47" s="34"/>
      <c r="D47" s="34"/>
      <c r="E47" s="34"/>
      <c r="F47" s="34"/>
      <c r="G47" s="34"/>
      <c r="H47" s="34"/>
      <c r="I47" s="34"/>
      <c r="J47" s="34"/>
      <c r="K47" s="167"/>
      <c r="L47" s="167"/>
      <c r="M47" s="167"/>
      <c r="N47" s="167"/>
    </row>
    <row r="48" spans="1:14" ht="18.350000000000001">
      <c r="A48" s="496">
        <v>2</v>
      </c>
      <c r="B48" s="34" t="s">
        <v>218</v>
      </c>
      <c r="C48" s="34"/>
      <c r="D48" s="34"/>
      <c r="E48" s="34"/>
      <c r="F48" s="34"/>
      <c r="G48" s="34"/>
      <c r="H48" s="34"/>
      <c r="I48" s="34"/>
      <c r="J48" s="34"/>
      <c r="K48" s="167"/>
      <c r="L48" s="167"/>
      <c r="M48" s="167"/>
      <c r="N48" s="167"/>
    </row>
    <row r="49" spans="1:14" ht="15.65">
      <c r="A49" s="34"/>
      <c r="B49" s="34" t="s">
        <v>219</v>
      </c>
      <c r="C49" s="34"/>
      <c r="D49" s="34"/>
      <c r="E49" s="34"/>
      <c r="F49" s="34"/>
      <c r="G49" s="34"/>
      <c r="H49" s="34"/>
      <c r="I49" s="34"/>
      <c r="J49" s="34"/>
      <c r="K49" s="167"/>
      <c r="L49" s="167"/>
      <c r="M49" s="167"/>
      <c r="N49" s="167"/>
    </row>
    <row r="50" spans="1:14" ht="15.65">
      <c r="A50" s="34"/>
      <c r="B50" s="34" t="s">
        <v>23</v>
      </c>
      <c r="C50" s="34"/>
      <c r="D50" s="34"/>
      <c r="E50" s="34"/>
      <c r="F50" s="34"/>
      <c r="G50" s="34"/>
      <c r="H50" s="34"/>
      <c r="I50" s="34"/>
      <c r="J50" s="34"/>
      <c r="K50" s="167"/>
      <c r="L50" s="167"/>
      <c r="M50" s="167"/>
      <c r="N50" s="167"/>
    </row>
    <row r="51" spans="1:14" ht="15.65">
      <c r="A51" s="34"/>
      <c r="B51" s="34" t="s">
        <v>220</v>
      </c>
      <c r="C51" s="34"/>
      <c r="D51" s="34"/>
      <c r="E51" s="34"/>
      <c r="F51" s="34"/>
      <c r="G51" s="34"/>
      <c r="H51" s="34"/>
      <c r="I51" s="34"/>
      <c r="J51" s="34"/>
      <c r="K51" s="167"/>
      <c r="L51" s="167"/>
      <c r="M51" s="167"/>
      <c r="N51" s="167"/>
    </row>
    <row r="52" spans="1:14" ht="15.65">
      <c r="A52" s="34"/>
      <c r="B52" s="34" t="s">
        <v>221</v>
      </c>
      <c r="C52" s="34"/>
      <c r="D52" s="34"/>
      <c r="E52" s="34"/>
      <c r="F52" s="34"/>
      <c r="G52" s="34"/>
      <c r="H52" s="34"/>
      <c r="I52" s="34"/>
      <c r="J52" s="34"/>
      <c r="K52" s="167"/>
      <c r="L52" s="167"/>
      <c r="M52" s="167"/>
      <c r="N52" s="167"/>
    </row>
    <row r="53" spans="1:14" ht="15.65">
      <c r="A53" s="34"/>
      <c r="B53" s="34" t="s">
        <v>222</v>
      </c>
      <c r="C53" s="34"/>
      <c r="D53" s="34"/>
      <c r="E53" s="34"/>
      <c r="F53" s="34"/>
      <c r="G53" s="34"/>
      <c r="H53" s="34"/>
      <c r="I53" s="34"/>
      <c r="J53" s="34"/>
      <c r="K53" s="167"/>
      <c r="L53" s="167"/>
      <c r="M53" s="167"/>
      <c r="N53" s="167"/>
    </row>
    <row r="54" spans="1:14" ht="15.65">
      <c r="A54" s="34"/>
      <c r="B54" s="34"/>
      <c r="C54" s="34"/>
      <c r="D54" s="34"/>
      <c r="E54" s="34"/>
      <c r="F54" s="34"/>
      <c r="G54" s="34"/>
      <c r="H54" s="34"/>
      <c r="I54" s="34"/>
      <c r="J54" s="34"/>
      <c r="K54" s="167"/>
      <c r="L54" s="167"/>
      <c r="M54" s="167"/>
      <c r="N54" s="167"/>
    </row>
    <row r="55" spans="1:14" ht="15.65">
      <c r="A55" s="34"/>
      <c r="B55" s="34"/>
      <c r="C55" s="34"/>
      <c r="D55" s="34"/>
      <c r="E55" s="34"/>
      <c r="F55" s="34"/>
      <c r="G55" s="34"/>
      <c r="H55" s="34"/>
      <c r="I55" s="34"/>
      <c r="J55" s="34"/>
      <c r="K55" s="167"/>
      <c r="L55" s="167"/>
      <c r="M55" s="167"/>
      <c r="N55" s="167"/>
    </row>
    <row r="56" spans="1:14" ht="15.65">
      <c r="A56" s="34"/>
      <c r="B56" s="34" t="s">
        <v>467</v>
      </c>
      <c r="C56" s="1133"/>
      <c r="D56" s="34" t="s">
        <v>468</v>
      </c>
      <c r="E56" s="34"/>
      <c r="F56" s="34"/>
      <c r="G56" s="34"/>
      <c r="H56" s="34"/>
      <c r="I56" s="34"/>
      <c r="J56" s="34"/>
      <c r="K56" s="167"/>
      <c r="L56" s="167"/>
      <c r="M56" s="167"/>
      <c r="N56" s="167"/>
    </row>
    <row r="57" spans="1:14" ht="15.65">
      <c r="A57" s="34"/>
      <c r="B57" s="34"/>
      <c r="C57" s="1133"/>
      <c r="D57" s="34"/>
      <c r="E57" s="34"/>
      <c r="F57" s="34"/>
      <c r="G57" s="34"/>
      <c r="H57" s="34"/>
      <c r="I57" s="34"/>
      <c r="J57" s="34"/>
      <c r="K57" s="167"/>
      <c r="L57" s="167"/>
      <c r="M57" s="167"/>
      <c r="N57" s="167"/>
    </row>
    <row r="58" spans="1:14" ht="15.65">
      <c r="A58" s="34" t="s">
        <v>632</v>
      </c>
      <c r="B58" s="34" t="s">
        <v>26</v>
      </c>
      <c r="C58" s="1133"/>
      <c r="D58" s="34"/>
      <c r="E58" s="34"/>
      <c r="F58" s="34"/>
      <c r="H58" s="34"/>
      <c r="I58" s="879">
        <v>590151.91</v>
      </c>
      <c r="J58" s="34"/>
      <c r="K58" s="857"/>
      <c r="L58" s="167"/>
      <c r="M58" s="167"/>
      <c r="N58" s="167"/>
    </row>
    <row r="59" spans="1:14" ht="15.65">
      <c r="A59" s="34" t="s">
        <v>814</v>
      </c>
      <c r="B59" s="34" t="s">
        <v>27</v>
      </c>
      <c r="C59" s="1133"/>
      <c r="D59" s="34"/>
      <c r="E59" s="34"/>
      <c r="F59" s="34"/>
      <c r="H59" s="34"/>
      <c r="I59" s="879">
        <v>542951.81999999995</v>
      </c>
      <c r="J59" s="34"/>
      <c r="K59" s="167"/>
      <c r="L59" s="167"/>
      <c r="M59" s="167"/>
      <c r="N59" s="167"/>
    </row>
    <row r="60" spans="1:14" ht="15.65">
      <c r="A60" s="34" t="s">
        <v>610</v>
      </c>
      <c r="B60" s="34" t="s">
        <v>268</v>
      </c>
      <c r="C60" s="1133"/>
      <c r="D60" s="34"/>
      <c r="E60" s="34"/>
      <c r="F60" s="34"/>
      <c r="H60" s="34"/>
      <c r="I60" s="749">
        <f>I58-I59</f>
        <v>47200.090000000084</v>
      </c>
      <c r="J60" s="34"/>
      <c r="K60" s="167"/>
      <c r="L60" s="167"/>
      <c r="M60" s="167"/>
      <c r="N60" s="167"/>
    </row>
    <row r="61" spans="1:14" ht="15.65">
      <c r="A61" s="34" t="s">
        <v>633</v>
      </c>
      <c r="B61" s="34" t="s">
        <v>471</v>
      </c>
      <c r="C61" s="1133"/>
      <c r="D61" s="34"/>
      <c r="E61" s="34"/>
      <c r="F61" s="34"/>
      <c r="H61" s="34"/>
      <c r="I61" s="498">
        <f>(1+K22)^24</f>
        <v>1.0668524492525753</v>
      </c>
      <c r="J61" s="34"/>
      <c r="K61" s="167"/>
      <c r="L61" s="167"/>
      <c r="M61" s="167"/>
      <c r="N61" s="167"/>
    </row>
    <row r="62" spans="1:14" ht="15.65">
      <c r="A62" s="34" t="s">
        <v>631</v>
      </c>
      <c r="B62" s="34" t="s">
        <v>269</v>
      </c>
      <c r="C62" s="1133"/>
      <c r="D62" s="34"/>
      <c r="E62" s="34"/>
      <c r="F62" s="34"/>
      <c r="H62" s="34"/>
      <c r="I62" s="749">
        <f>I60*I61</f>
        <v>50355.531621442075</v>
      </c>
      <c r="J62" s="34"/>
      <c r="K62" s="167"/>
      <c r="L62" s="167"/>
      <c r="M62" s="167"/>
      <c r="N62" s="167"/>
    </row>
    <row r="63" spans="1:14" ht="15.65">
      <c r="A63" s="34"/>
      <c r="B63" s="34"/>
      <c r="C63" s="1133"/>
      <c r="D63" s="34"/>
      <c r="E63" s="34"/>
      <c r="F63" s="34"/>
      <c r="G63" s="34"/>
      <c r="H63" s="34"/>
      <c r="I63" s="34"/>
      <c r="J63" s="34"/>
      <c r="K63" s="167"/>
      <c r="L63" s="167"/>
      <c r="M63" s="167"/>
      <c r="N63" s="167"/>
    </row>
    <row r="64" spans="1:14" ht="15.65">
      <c r="A64" s="34"/>
      <c r="B64" s="34" t="s">
        <v>472</v>
      </c>
      <c r="C64" s="34"/>
      <c r="D64" s="34"/>
      <c r="E64" s="34"/>
      <c r="F64" s="34"/>
      <c r="G64" s="34"/>
      <c r="H64" s="34"/>
      <c r="I64" s="34"/>
      <c r="J64" s="34"/>
      <c r="K64" s="167"/>
      <c r="L64" s="167"/>
      <c r="M64" s="167"/>
      <c r="N64" s="167"/>
    </row>
    <row r="65" spans="1:14" ht="15.65">
      <c r="A65" s="34"/>
      <c r="B65" s="34" t="s">
        <v>246</v>
      </c>
      <c r="C65" s="34"/>
      <c r="D65" s="34"/>
      <c r="E65" s="34"/>
      <c r="F65" s="34"/>
      <c r="G65" s="34"/>
      <c r="H65" s="34"/>
      <c r="I65" s="34"/>
      <c r="J65" s="34"/>
      <c r="K65" s="167"/>
      <c r="L65" s="167"/>
      <c r="M65" s="167"/>
      <c r="N65" s="167"/>
    </row>
    <row r="66" spans="1:14" ht="15.65">
      <c r="A66" s="34"/>
      <c r="B66" s="34"/>
      <c r="C66" s="34"/>
      <c r="D66" s="34"/>
      <c r="E66" s="34"/>
      <c r="F66" s="34"/>
      <c r="G66" s="34"/>
      <c r="H66" s="34"/>
      <c r="I66" s="34"/>
      <c r="J66" s="34"/>
      <c r="K66" s="167"/>
      <c r="L66" s="167"/>
      <c r="M66" s="167"/>
      <c r="N66" s="167"/>
    </row>
    <row r="67" spans="1:14">
      <c r="A67" s="167"/>
      <c r="B67" s="167"/>
      <c r="C67" s="167"/>
      <c r="D67" s="167"/>
      <c r="E67" s="167"/>
      <c r="F67" s="167"/>
      <c r="G67" s="167"/>
      <c r="H67" s="167"/>
      <c r="I67" s="167"/>
      <c r="J67" s="167"/>
      <c r="K67" s="167"/>
      <c r="L67" s="167"/>
      <c r="M67" s="167"/>
      <c r="N67" s="167"/>
    </row>
    <row r="68" spans="1:14">
      <c r="A68" s="167"/>
      <c r="B68" s="167"/>
      <c r="C68" s="167"/>
      <c r="D68" s="167"/>
      <c r="E68" s="167"/>
      <c r="F68" s="167"/>
      <c r="G68" s="167"/>
      <c r="H68" s="167"/>
      <c r="I68" s="167"/>
      <c r="J68" s="167"/>
      <c r="K68" s="167"/>
      <c r="L68" s="167"/>
      <c r="M68" s="167"/>
      <c r="N68" s="167"/>
    </row>
    <row r="69" spans="1:14">
      <c r="A69" s="167"/>
      <c r="B69" s="167"/>
      <c r="C69" s="167"/>
      <c r="D69" s="167"/>
      <c r="E69" s="167"/>
      <c r="F69" s="167"/>
      <c r="G69" s="167"/>
      <c r="H69" s="167"/>
      <c r="I69" s="167"/>
      <c r="J69" s="167"/>
      <c r="K69" s="167"/>
      <c r="L69" s="167"/>
      <c r="M69" s="167"/>
      <c r="N69" s="167"/>
    </row>
    <row r="70" spans="1:14">
      <c r="A70" s="167"/>
      <c r="B70" s="167"/>
      <c r="C70" s="167"/>
      <c r="D70" s="167"/>
      <c r="E70" s="167"/>
      <c r="F70" s="167"/>
      <c r="G70" s="167"/>
      <c r="H70" s="167"/>
      <c r="I70" s="167"/>
      <c r="J70" s="167"/>
      <c r="K70" s="167"/>
      <c r="L70" s="167"/>
      <c r="M70" s="167"/>
      <c r="N70" s="167"/>
    </row>
    <row r="71" spans="1:14">
      <c r="A71" s="167"/>
      <c r="B71" s="167"/>
      <c r="C71" s="167"/>
      <c r="D71" s="167"/>
      <c r="E71" s="167"/>
      <c r="F71" s="167"/>
      <c r="G71" s="167"/>
      <c r="H71" s="167"/>
      <c r="I71" s="167"/>
      <c r="J71" s="167"/>
      <c r="K71" s="167"/>
      <c r="L71" s="167"/>
      <c r="M71" s="167"/>
      <c r="N71" s="167"/>
    </row>
    <row r="72" spans="1:14">
      <c r="A72" s="167"/>
      <c r="B72" s="167"/>
      <c r="C72" s="167"/>
      <c r="D72" s="167"/>
      <c r="E72" s="167"/>
      <c r="F72" s="167"/>
      <c r="G72" s="167"/>
      <c r="H72" s="167"/>
      <c r="I72" s="167"/>
      <c r="J72" s="167"/>
      <c r="K72" s="167"/>
      <c r="L72" s="167"/>
      <c r="M72" s="167"/>
      <c r="N72" s="167"/>
    </row>
    <row r="73" spans="1:14">
      <c r="A73" s="167"/>
      <c r="B73" s="167"/>
      <c r="C73" s="167"/>
      <c r="D73" s="167"/>
      <c r="E73" s="167"/>
      <c r="F73" s="167"/>
      <c r="G73" s="167"/>
      <c r="H73" s="167"/>
      <c r="I73" s="167"/>
      <c r="J73" s="167"/>
      <c r="K73" s="167"/>
      <c r="L73" s="167"/>
      <c r="M73" s="167"/>
      <c r="N73" s="167"/>
    </row>
    <row r="74" spans="1:14">
      <c r="A74" s="167"/>
      <c r="B74" s="167"/>
      <c r="C74" s="167"/>
      <c r="D74" s="167"/>
      <c r="E74" s="167"/>
      <c r="F74" s="167"/>
      <c r="G74" s="167"/>
      <c r="H74" s="167"/>
      <c r="I74" s="167"/>
      <c r="J74" s="167"/>
      <c r="K74" s="167"/>
      <c r="L74" s="167"/>
      <c r="M74" s="167"/>
      <c r="N74" s="167"/>
    </row>
  </sheetData>
  <mergeCells count="4">
    <mergeCell ref="A2:I2"/>
    <mergeCell ref="A3:I3"/>
    <mergeCell ref="A1:I1"/>
    <mergeCell ref="K15:K21"/>
  </mergeCells>
  <phoneticPr fontId="45" type="noConversion"/>
  <printOptions horizontalCentered="1"/>
  <pageMargins left="0.5" right="0.5" top="0.75" bottom="0.5" header="0.5" footer="0.5"/>
  <pageSetup scale="67" orientation="portrait" r:id="rId1"/>
  <headerFooter alignWithMargins="0">
    <oddHeader>&amp;RPage &amp;P of &amp;N</oddHeader>
  </headerFooter>
</worksheet>
</file>

<file path=xl/worksheets/sheet12.xml><?xml version="1.0" encoding="utf-8"?>
<worksheet xmlns="http://schemas.openxmlformats.org/spreadsheetml/2006/main" xmlns:r="http://schemas.openxmlformats.org/officeDocument/2006/relationships">
  <sheetPr codeName="Sheet9">
    <pageSetUpPr fitToPage="1"/>
  </sheetPr>
  <dimension ref="A1:N60"/>
  <sheetViews>
    <sheetView zoomScale="70" zoomScaleNormal="70" workbookViewId="0">
      <selection activeCell="H282" sqref="F281:H282"/>
    </sheetView>
  </sheetViews>
  <sheetFormatPr defaultRowHeight="12.9"/>
  <cols>
    <col min="1" max="1" width="7.125" customWidth="1"/>
    <col min="2" max="2" width="7" customWidth="1"/>
    <col min="3" max="3" width="8" customWidth="1"/>
    <col min="6" max="6" width="50.125" customWidth="1"/>
    <col min="14" max="14" width="13.125" customWidth="1"/>
    <col min="15" max="15" width="10.125" customWidth="1"/>
  </cols>
  <sheetData>
    <row r="1" spans="1:14" ht="18.350000000000001">
      <c r="A1" s="1160" t="str">
        <f>'Appendix A'!A4</f>
        <v xml:space="preserve">Virginia Electric and Power Company  </v>
      </c>
      <c r="B1" s="1160"/>
      <c r="C1" s="1160"/>
      <c r="D1" s="1160"/>
      <c r="E1" s="1160"/>
      <c r="F1" s="1160"/>
      <c r="G1" s="1160"/>
      <c r="H1" s="1160"/>
      <c r="I1" s="1160"/>
      <c r="J1" s="34"/>
      <c r="K1" s="34"/>
      <c r="L1" s="34"/>
      <c r="M1" s="34"/>
      <c r="N1" s="34"/>
    </row>
    <row r="2" spans="1:14" ht="18.350000000000001">
      <c r="A2" s="1160" t="s">
        <v>880</v>
      </c>
      <c r="B2" s="1160"/>
      <c r="C2" s="1160"/>
      <c r="D2" s="1160"/>
      <c r="E2" s="1160"/>
      <c r="F2" s="1160"/>
      <c r="G2" s="1160"/>
      <c r="H2" s="1160"/>
      <c r="I2" s="1160"/>
      <c r="J2" s="34"/>
      <c r="K2" s="34"/>
      <c r="L2" s="34"/>
      <c r="M2" s="34"/>
      <c r="N2" s="34"/>
    </row>
    <row r="3" spans="1:14" ht="15.65">
      <c r="A3" s="1245" t="s">
        <v>227</v>
      </c>
      <c r="B3" s="1245"/>
      <c r="C3" s="1245"/>
      <c r="D3" s="1245"/>
      <c r="E3" s="1245"/>
      <c r="F3" s="1245"/>
      <c r="G3" s="1245"/>
      <c r="H3" s="1245"/>
      <c r="I3" s="1245"/>
      <c r="J3" s="1245"/>
      <c r="K3" s="233"/>
      <c r="L3" s="233"/>
      <c r="M3" s="233"/>
      <c r="N3" s="233"/>
    </row>
    <row r="4" spans="1:14" ht="15.65">
      <c r="A4" s="206"/>
      <c r="B4" s="206"/>
      <c r="C4" s="206"/>
      <c r="D4" s="206"/>
      <c r="E4" s="206"/>
      <c r="F4" s="206"/>
      <c r="G4" s="206"/>
      <c r="H4" s="206"/>
      <c r="I4" s="206"/>
      <c r="J4" s="206"/>
      <c r="K4" s="206"/>
      <c r="L4" s="206"/>
      <c r="M4" s="206"/>
      <c r="N4" s="206"/>
    </row>
    <row r="5" spans="1:14" ht="15.65">
      <c r="A5" s="167"/>
      <c r="B5" s="34"/>
      <c r="C5" s="34"/>
      <c r="D5" s="34"/>
      <c r="E5" s="34"/>
      <c r="F5" s="34"/>
      <c r="G5" s="34"/>
      <c r="H5" s="34"/>
      <c r="I5" s="34"/>
      <c r="J5" s="34"/>
      <c r="K5" s="34"/>
      <c r="L5" s="34"/>
      <c r="M5" s="34"/>
      <c r="N5" s="34"/>
    </row>
    <row r="6" spans="1:14" ht="15.65">
      <c r="A6" s="167"/>
      <c r="B6" s="204"/>
      <c r="C6" s="205"/>
      <c r="D6" s="205"/>
      <c r="E6" s="436"/>
      <c r="F6" s="436"/>
      <c r="G6" s="34"/>
      <c r="H6" s="34"/>
      <c r="I6" s="34"/>
      <c r="J6" s="34"/>
      <c r="K6" s="34"/>
      <c r="L6" s="34"/>
      <c r="M6" s="34"/>
      <c r="N6" s="34"/>
    </row>
    <row r="7" spans="1:14" ht="15.65">
      <c r="A7" s="167"/>
      <c r="B7" s="34"/>
      <c r="C7" s="34"/>
      <c r="D7" s="34"/>
      <c r="E7" s="34"/>
      <c r="F7" s="34"/>
      <c r="G7" s="34"/>
      <c r="H7" s="34"/>
      <c r="I7" s="34"/>
      <c r="J7" s="34"/>
      <c r="K7" s="34"/>
      <c r="L7" s="34"/>
      <c r="M7" s="34"/>
      <c r="N7" s="34"/>
    </row>
    <row r="8" spans="1:14" ht="15.65">
      <c r="A8" s="34" t="s">
        <v>228</v>
      </c>
      <c r="B8" s="34"/>
      <c r="C8" s="167"/>
      <c r="D8" s="34"/>
      <c r="E8" s="34"/>
      <c r="F8" s="34"/>
      <c r="G8" s="34"/>
      <c r="H8" s="34"/>
      <c r="I8" s="34"/>
      <c r="J8" s="34"/>
      <c r="K8" s="38"/>
      <c r="L8" s="34"/>
      <c r="M8" s="34"/>
      <c r="N8" s="34"/>
    </row>
    <row r="9" spans="1:14" ht="18.350000000000001">
      <c r="A9" s="34" t="s">
        <v>28</v>
      </c>
      <c r="B9" s="167"/>
      <c r="C9" s="167"/>
      <c r="D9" s="167"/>
      <c r="E9" s="167"/>
      <c r="F9" s="167"/>
      <c r="G9" s="437"/>
      <c r="H9" s="34"/>
      <c r="I9" s="34"/>
      <c r="J9" s="34"/>
      <c r="K9" s="34"/>
      <c r="L9" s="34"/>
      <c r="M9" s="34"/>
      <c r="N9" s="34"/>
    </row>
    <row r="10" spans="1:14" ht="15.65">
      <c r="A10" s="34"/>
      <c r="B10" s="34"/>
      <c r="C10" s="167"/>
      <c r="D10" s="34"/>
      <c r="E10" s="167"/>
      <c r="F10" s="34"/>
      <c r="G10" s="34"/>
      <c r="H10" s="34"/>
      <c r="I10" s="34"/>
      <c r="J10" s="34"/>
      <c r="K10" s="34"/>
      <c r="L10" s="34"/>
      <c r="M10" s="34"/>
      <c r="N10" s="34"/>
    </row>
    <row r="11" spans="1:14" ht="15.65">
      <c r="A11" s="34" t="s">
        <v>70</v>
      </c>
      <c r="B11" s="34" t="s">
        <v>475</v>
      </c>
      <c r="C11" s="167"/>
      <c r="D11" s="34"/>
      <c r="E11" s="34"/>
      <c r="F11" s="34"/>
      <c r="G11" s="34"/>
      <c r="H11" s="34"/>
      <c r="I11" s="34"/>
      <c r="J11" s="34"/>
      <c r="K11" s="34"/>
      <c r="L11" s="34"/>
      <c r="M11" s="34"/>
      <c r="N11" s="34"/>
    </row>
    <row r="12" spans="1:14" ht="15.65">
      <c r="A12" s="34"/>
      <c r="B12" s="34" t="s">
        <v>210</v>
      </c>
      <c r="C12" s="167"/>
      <c r="D12" s="34"/>
      <c r="E12" s="34"/>
      <c r="F12" s="34"/>
      <c r="G12" s="34"/>
      <c r="H12" s="34"/>
      <c r="I12" s="34"/>
      <c r="J12" s="34"/>
      <c r="K12" s="34"/>
      <c r="L12" s="34"/>
      <c r="M12" s="34"/>
      <c r="N12" s="34"/>
    </row>
    <row r="13" spans="1:14" ht="18.350000000000001">
      <c r="A13" s="34"/>
      <c r="B13" s="34" t="s">
        <v>29</v>
      </c>
      <c r="C13" s="167"/>
      <c r="D13" s="34"/>
      <c r="E13" s="34"/>
      <c r="F13" s="34"/>
      <c r="G13" s="438"/>
      <c r="H13" s="167"/>
      <c r="I13" s="34"/>
      <c r="J13" s="34"/>
      <c r="K13" s="34"/>
      <c r="L13" s="34"/>
      <c r="M13" s="34"/>
      <c r="N13" s="34"/>
    </row>
    <row r="14" spans="1:14" ht="15.65">
      <c r="A14" s="34"/>
      <c r="B14" s="34"/>
      <c r="C14" s="167"/>
      <c r="D14" s="34"/>
      <c r="E14" s="34"/>
      <c r="F14" s="34"/>
      <c r="G14" s="34"/>
      <c r="H14" s="34"/>
      <c r="I14" s="34"/>
      <c r="J14" s="34"/>
      <c r="K14" s="34"/>
      <c r="L14" s="34"/>
      <c r="M14" s="34"/>
      <c r="N14" s="34"/>
    </row>
    <row r="15" spans="1:14" ht="15.65">
      <c r="A15" s="34" t="s">
        <v>71</v>
      </c>
      <c r="B15" s="34" t="s">
        <v>229</v>
      </c>
      <c r="C15" s="167"/>
      <c r="D15" s="34"/>
      <c r="E15" s="34"/>
      <c r="F15" s="34"/>
      <c r="G15" s="34"/>
      <c r="H15" s="34"/>
      <c r="I15" s="34"/>
      <c r="J15" s="34"/>
      <c r="K15" s="34"/>
      <c r="L15" s="34"/>
      <c r="M15" s="34"/>
      <c r="N15" s="34"/>
    </row>
    <row r="16" spans="1:14" ht="15.65">
      <c r="A16" s="34"/>
      <c r="B16" s="34" t="s">
        <v>230</v>
      </c>
      <c r="C16" s="167"/>
      <c r="D16" s="34"/>
      <c r="E16" s="34"/>
      <c r="F16" s="34"/>
      <c r="G16" s="34"/>
      <c r="H16" s="34"/>
      <c r="I16" s="34"/>
      <c r="J16" s="34"/>
      <c r="K16" s="34"/>
      <c r="L16" s="34"/>
      <c r="M16" s="34"/>
      <c r="N16" s="34"/>
    </row>
    <row r="17" spans="1:14" ht="15.65">
      <c r="A17" s="34"/>
      <c r="B17" s="34"/>
      <c r="C17" s="167"/>
      <c r="D17" s="34"/>
      <c r="E17" s="34"/>
      <c r="F17" s="34"/>
      <c r="G17" s="34"/>
      <c r="H17" s="34"/>
      <c r="I17" s="34"/>
      <c r="J17" s="34"/>
      <c r="K17" s="34"/>
      <c r="L17" s="34"/>
      <c r="M17" s="34"/>
      <c r="N17" s="34"/>
    </row>
    <row r="18" spans="1:14" ht="15.65">
      <c r="A18" s="34" t="s">
        <v>72</v>
      </c>
      <c r="B18" s="34" t="s">
        <v>234</v>
      </c>
      <c r="C18" s="167"/>
      <c r="D18" s="34"/>
      <c r="E18" s="34"/>
      <c r="F18" s="34"/>
      <c r="G18" s="34"/>
      <c r="H18" s="34"/>
      <c r="I18" s="34"/>
      <c r="J18" s="34"/>
      <c r="K18" s="34"/>
      <c r="L18" s="34"/>
      <c r="M18" s="34"/>
      <c r="N18" s="34"/>
    </row>
    <row r="19" spans="1:14" ht="15.65">
      <c r="A19" s="34"/>
      <c r="B19" s="34"/>
      <c r="C19" s="167"/>
      <c r="D19" s="34"/>
      <c r="E19" s="34"/>
      <c r="F19" s="34"/>
      <c r="G19" s="34"/>
      <c r="H19" s="34"/>
      <c r="I19" s="34"/>
      <c r="J19" s="34"/>
      <c r="K19" s="34"/>
      <c r="L19" s="34"/>
      <c r="M19" s="34"/>
      <c r="N19" s="34"/>
    </row>
    <row r="20" spans="1:14" ht="15.65">
      <c r="A20" s="167"/>
      <c r="B20" s="34" t="s">
        <v>244</v>
      </c>
      <c r="C20" s="34"/>
      <c r="D20" s="167"/>
      <c r="E20" s="34"/>
      <c r="F20" s="34"/>
      <c r="G20" s="34"/>
      <c r="H20" s="34"/>
      <c r="I20" s="34"/>
      <c r="J20" s="34"/>
      <c r="K20" s="439"/>
      <c r="L20" s="34"/>
      <c r="M20" s="34"/>
      <c r="N20" s="34"/>
    </row>
    <row r="21" spans="1:14" ht="15.65">
      <c r="A21" s="167"/>
      <c r="B21" s="167"/>
      <c r="C21" s="34"/>
      <c r="D21" s="167"/>
      <c r="E21" s="34"/>
      <c r="F21" s="34"/>
      <c r="G21" s="34"/>
      <c r="H21" s="34"/>
      <c r="I21" s="34"/>
      <c r="J21" s="34"/>
      <c r="K21" s="34"/>
      <c r="L21" s="34"/>
      <c r="M21" s="34"/>
      <c r="N21" s="34"/>
    </row>
    <row r="22" spans="1:14" ht="15.65">
      <c r="A22" s="167"/>
      <c r="B22" s="34" t="s">
        <v>359</v>
      </c>
      <c r="C22" s="63" t="s">
        <v>211</v>
      </c>
      <c r="D22" s="34" t="s">
        <v>360</v>
      </c>
      <c r="E22" s="167"/>
      <c r="F22" s="34"/>
      <c r="G22" s="34"/>
      <c r="H22" s="34"/>
      <c r="I22" s="34"/>
      <c r="J22" s="34"/>
      <c r="K22" s="34"/>
      <c r="L22" s="34"/>
      <c r="M22" s="34"/>
      <c r="N22" s="34"/>
    </row>
    <row r="23" spans="1:14" ht="15.65">
      <c r="A23" s="167"/>
      <c r="B23" s="167"/>
      <c r="C23" s="167"/>
      <c r="D23" s="34" t="s">
        <v>231</v>
      </c>
      <c r="E23" s="34"/>
      <c r="F23" s="34"/>
      <c r="G23" s="34"/>
      <c r="H23" s="34"/>
      <c r="I23" s="34"/>
      <c r="J23" s="34"/>
      <c r="K23" s="441"/>
      <c r="L23" s="34"/>
      <c r="M23" s="34"/>
      <c r="N23" s="34"/>
    </row>
    <row r="24" spans="1:14" ht="15.65">
      <c r="A24" s="167"/>
      <c r="B24" s="167"/>
      <c r="C24" s="167"/>
      <c r="D24" s="167"/>
      <c r="E24" s="34"/>
      <c r="F24" s="34"/>
      <c r="G24" s="34"/>
      <c r="H24" s="34"/>
      <c r="I24" s="34"/>
      <c r="J24" s="34"/>
      <c r="K24" s="34"/>
      <c r="L24" s="34"/>
      <c r="M24" s="34"/>
      <c r="N24" s="34"/>
    </row>
    <row r="25" spans="1:14" ht="15.65">
      <c r="A25" s="167"/>
      <c r="B25" s="167"/>
      <c r="C25" s="167"/>
      <c r="D25" s="34" t="s">
        <v>365</v>
      </c>
      <c r="E25" s="167"/>
      <c r="F25" s="167"/>
      <c r="G25" s="167"/>
      <c r="H25" s="34"/>
      <c r="I25" s="34"/>
      <c r="J25" s="34"/>
      <c r="K25" s="34"/>
      <c r="L25" s="34"/>
      <c r="M25" s="34"/>
      <c r="N25" s="34"/>
    </row>
    <row r="26" spans="1:14" ht="15.65">
      <c r="A26" s="34"/>
      <c r="B26" s="167"/>
      <c r="C26" s="167"/>
      <c r="D26" s="34" t="s">
        <v>366</v>
      </c>
      <c r="E26" s="167"/>
      <c r="F26" s="34"/>
      <c r="G26" s="34"/>
      <c r="H26" s="34"/>
      <c r="I26" s="34"/>
      <c r="J26" s="34"/>
      <c r="K26" s="34"/>
      <c r="L26" s="34"/>
      <c r="M26" s="34"/>
      <c r="N26" s="34"/>
    </row>
    <row r="27" spans="1:14" ht="15.65">
      <c r="A27" s="167"/>
      <c r="B27" s="167"/>
      <c r="C27" s="34"/>
      <c r="D27" s="167"/>
      <c r="E27" s="167"/>
      <c r="F27" s="34"/>
      <c r="G27" s="34"/>
      <c r="H27" s="34"/>
      <c r="I27" s="34"/>
      <c r="J27" s="34"/>
      <c r="K27" s="34"/>
      <c r="L27" s="34"/>
      <c r="M27" s="34"/>
      <c r="N27" s="34"/>
    </row>
    <row r="28" spans="1:14" ht="15.65">
      <c r="A28" s="436" t="s">
        <v>113</v>
      </c>
      <c r="B28" s="440"/>
      <c r="C28" s="440"/>
      <c r="D28" s="436"/>
      <c r="E28" s="436"/>
      <c r="F28" s="436"/>
      <c r="G28" s="436"/>
      <c r="H28" s="436"/>
      <c r="I28" s="34"/>
      <c r="J28" s="34"/>
      <c r="K28" s="34"/>
      <c r="L28" s="34"/>
      <c r="M28" s="34"/>
      <c r="N28" s="34"/>
    </row>
    <row r="29" spans="1:14" ht="15.65">
      <c r="A29" s="167"/>
      <c r="B29" s="167"/>
      <c r="C29" s="167"/>
      <c r="D29" s="167"/>
      <c r="E29" s="167"/>
      <c r="F29" s="167"/>
      <c r="G29" s="167"/>
      <c r="H29" s="167"/>
      <c r="I29" s="167"/>
      <c r="J29" s="167"/>
      <c r="K29" s="167"/>
      <c r="L29" s="167"/>
      <c r="M29" s="167"/>
      <c r="N29" s="34"/>
    </row>
    <row r="30" spans="1:14" ht="15.65">
      <c r="A30" s="167"/>
      <c r="B30" s="167"/>
      <c r="C30" s="167"/>
      <c r="D30" s="167"/>
      <c r="E30" s="167"/>
      <c r="F30" s="167"/>
      <c r="G30" s="167"/>
      <c r="H30" s="167"/>
      <c r="I30" s="167"/>
      <c r="J30" s="167"/>
      <c r="K30" s="167"/>
      <c r="L30" s="167"/>
      <c r="M30" s="167"/>
      <c r="N30" s="34"/>
    </row>
    <row r="31" spans="1:14" ht="15.65">
      <c r="A31" s="34" t="s">
        <v>540</v>
      </c>
      <c r="B31" s="34" t="s">
        <v>541</v>
      </c>
      <c r="C31" s="34" t="s">
        <v>542</v>
      </c>
      <c r="D31" s="167"/>
      <c r="E31" s="34"/>
      <c r="F31" s="34"/>
      <c r="G31" s="34"/>
      <c r="H31" s="34"/>
      <c r="I31" s="167"/>
      <c r="J31" s="167"/>
      <c r="K31" s="167"/>
      <c r="L31" s="167"/>
      <c r="M31" s="167"/>
      <c r="N31" s="34"/>
    </row>
    <row r="32" spans="1:14" ht="15.65">
      <c r="A32" s="34"/>
      <c r="B32" s="34"/>
      <c r="C32" s="34"/>
      <c r="D32" s="167"/>
      <c r="E32" s="34"/>
      <c r="F32" s="34"/>
      <c r="G32" s="34"/>
      <c r="H32" s="34"/>
      <c r="I32" s="167"/>
      <c r="J32" s="167"/>
      <c r="K32" s="167"/>
      <c r="L32" s="167"/>
      <c r="M32" s="167"/>
      <c r="N32" s="167"/>
    </row>
    <row r="33" spans="1:14" ht="15.65">
      <c r="A33" s="63" t="s">
        <v>105</v>
      </c>
      <c r="B33" s="63">
        <v>2007</v>
      </c>
      <c r="C33" s="34" t="s">
        <v>106</v>
      </c>
      <c r="D33" s="167"/>
      <c r="E33" s="34"/>
      <c r="F33" s="34"/>
      <c r="G33" s="34"/>
      <c r="H33" s="34"/>
      <c r="I33" s="167"/>
      <c r="J33" s="167"/>
      <c r="K33" s="167"/>
      <c r="L33" s="167"/>
      <c r="M33" s="167"/>
      <c r="N33" s="167"/>
    </row>
    <row r="34" spans="1:14" ht="15.65">
      <c r="A34" s="63" t="s">
        <v>108</v>
      </c>
      <c r="B34" s="63">
        <v>2008</v>
      </c>
      <c r="C34" s="34" t="s">
        <v>107</v>
      </c>
      <c r="D34" s="167"/>
      <c r="E34" s="34"/>
      <c r="F34" s="34"/>
      <c r="G34" s="34"/>
      <c r="H34" s="34"/>
      <c r="I34" s="167"/>
      <c r="J34" s="167"/>
      <c r="K34" s="167"/>
      <c r="L34" s="167"/>
      <c r="M34" s="167"/>
      <c r="N34" s="167"/>
    </row>
    <row r="35" spans="1:14" ht="15.65">
      <c r="A35" s="63" t="s">
        <v>543</v>
      </c>
      <c r="B35" s="63">
        <v>2009</v>
      </c>
      <c r="C35" s="34" t="s">
        <v>110</v>
      </c>
      <c r="D35" s="167"/>
      <c r="E35" s="34"/>
      <c r="F35" s="34"/>
      <c r="G35" s="34"/>
      <c r="H35" s="34"/>
      <c r="I35" s="167"/>
      <c r="J35" s="167"/>
      <c r="K35" s="167"/>
      <c r="L35" s="167"/>
      <c r="M35" s="167"/>
      <c r="N35" s="167"/>
    </row>
    <row r="36" spans="1:14" ht="15.65">
      <c r="A36" s="63" t="s">
        <v>108</v>
      </c>
      <c r="B36" s="63">
        <v>2009</v>
      </c>
      <c r="C36" s="34" t="s">
        <v>118</v>
      </c>
      <c r="D36" s="167"/>
      <c r="E36" s="34"/>
      <c r="F36" s="34"/>
      <c r="G36" s="34"/>
      <c r="H36" s="34"/>
      <c r="I36" s="167"/>
      <c r="J36" s="167"/>
      <c r="K36" s="167"/>
      <c r="L36" s="167"/>
      <c r="M36" s="167"/>
      <c r="N36" s="167"/>
    </row>
    <row r="37" spans="1:14" ht="15.65">
      <c r="A37" s="63" t="s">
        <v>108</v>
      </c>
      <c r="B37" s="63">
        <f>+B36</f>
        <v>2009</v>
      </c>
      <c r="C37" s="34" t="s">
        <v>119</v>
      </c>
      <c r="D37" s="167"/>
      <c r="E37" s="34"/>
      <c r="F37" s="34"/>
      <c r="G37" s="34"/>
      <c r="H37" s="34"/>
      <c r="I37" s="167"/>
      <c r="J37" s="167"/>
      <c r="K37" s="167"/>
      <c r="L37" s="167"/>
      <c r="M37" s="167"/>
      <c r="N37" s="167"/>
    </row>
    <row r="38" spans="1:14" ht="15.65">
      <c r="A38" s="63" t="s">
        <v>543</v>
      </c>
      <c r="B38" s="63">
        <v>2010</v>
      </c>
      <c r="C38" s="34" t="s">
        <v>111</v>
      </c>
      <c r="D38" s="167"/>
      <c r="E38" s="34"/>
      <c r="F38" s="34"/>
      <c r="G38" s="34"/>
      <c r="H38" s="34"/>
      <c r="I38" s="167"/>
      <c r="J38" s="167"/>
      <c r="K38" s="167"/>
      <c r="L38" s="167"/>
      <c r="M38" s="167"/>
      <c r="N38" s="167"/>
    </row>
    <row r="39" spans="1:14" ht="15.65">
      <c r="A39" s="63" t="s">
        <v>108</v>
      </c>
      <c r="B39" s="63">
        <v>2010</v>
      </c>
      <c r="C39" s="34" t="s">
        <v>120</v>
      </c>
      <c r="D39" s="167"/>
      <c r="E39" s="34"/>
      <c r="F39" s="34"/>
      <c r="G39" s="34"/>
      <c r="H39" s="34"/>
      <c r="I39" s="167"/>
      <c r="J39" s="167"/>
      <c r="K39" s="167"/>
      <c r="L39" s="167"/>
      <c r="M39" s="167"/>
      <c r="N39" s="167"/>
    </row>
    <row r="40" spans="1:14" ht="15.65">
      <c r="A40" s="63" t="str">
        <f>+A39</f>
        <v>Sept</v>
      </c>
      <c r="B40" s="63">
        <f>+B39</f>
        <v>2010</v>
      </c>
      <c r="C40" s="34" t="s">
        <v>124</v>
      </c>
      <c r="D40" s="167"/>
      <c r="E40" s="34"/>
      <c r="F40" s="34"/>
      <c r="G40" s="34"/>
      <c r="H40" s="34"/>
      <c r="I40" s="167"/>
      <c r="J40" s="167"/>
      <c r="K40" s="167"/>
      <c r="L40" s="167"/>
      <c r="M40" s="167"/>
      <c r="N40" s="167"/>
    </row>
    <row r="41" spans="1:14" ht="15.65">
      <c r="A41" s="63" t="s">
        <v>543</v>
      </c>
      <c r="B41" s="63" t="s">
        <v>109</v>
      </c>
      <c r="C41" s="34" t="s">
        <v>112</v>
      </c>
      <c r="D41" s="167"/>
      <c r="E41" s="34"/>
      <c r="F41" s="34"/>
      <c r="G41" s="34"/>
      <c r="H41" s="34"/>
      <c r="I41" s="167"/>
      <c r="J41" s="167"/>
      <c r="K41" s="167"/>
      <c r="L41" s="167"/>
      <c r="M41" s="167"/>
      <c r="N41" s="167"/>
    </row>
    <row r="42" spans="1:14" ht="15.65">
      <c r="A42" s="63" t="s">
        <v>108</v>
      </c>
      <c r="B42" s="63" t="s">
        <v>109</v>
      </c>
      <c r="C42" s="34" t="s">
        <v>125</v>
      </c>
      <c r="D42" s="167"/>
      <c r="E42" s="34"/>
      <c r="F42" s="34"/>
      <c r="G42" s="34"/>
      <c r="H42" s="34"/>
      <c r="I42" s="167"/>
      <c r="J42" s="167"/>
      <c r="K42" s="167"/>
      <c r="L42" s="167"/>
      <c r="M42" s="167"/>
      <c r="N42" s="167"/>
    </row>
    <row r="43" spans="1:14" ht="15.65">
      <c r="A43" s="63" t="str">
        <f>+A42</f>
        <v>Sept</v>
      </c>
      <c r="B43" s="63" t="s">
        <v>109</v>
      </c>
      <c r="C43" s="34" t="s">
        <v>126</v>
      </c>
      <c r="D43" s="167"/>
      <c r="E43" s="34"/>
      <c r="F43" s="34"/>
      <c r="G43" s="34"/>
      <c r="H43" s="34"/>
      <c r="I43" s="167"/>
      <c r="J43" s="167"/>
      <c r="K43" s="167"/>
      <c r="L43" s="167"/>
      <c r="M43" s="167"/>
      <c r="N43" s="167"/>
    </row>
    <row r="44" spans="1:14" ht="15.65">
      <c r="A44" s="167"/>
      <c r="B44" s="167"/>
      <c r="C44" s="167"/>
      <c r="D44" s="34"/>
      <c r="E44" s="34"/>
      <c r="F44" s="34"/>
      <c r="G44" s="34"/>
      <c r="H44" s="34"/>
      <c r="I44" s="167"/>
      <c r="J44" s="167"/>
      <c r="K44" s="167"/>
      <c r="L44" s="167"/>
      <c r="M44" s="167"/>
      <c r="N44" s="167"/>
    </row>
    <row r="45" spans="1:14" ht="15.65">
      <c r="A45" s="167"/>
      <c r="B45" s="167"/>
      <c r="C45" s="167"/>
      <c r="D45" s="34"/>
      <c r="E45" s="34"/>
      <c r="F45" s="34"/>
      <c r="G45" s="34"/>
      <c r="H45" s="34"/>
      <c r="I45" s="167"/>
      <c r="J45" s="167"/>
      <c r="K45" s="167"/>
      <c r="L45" s="167"/>
      <c r="M45" s="167"/>
      <c r="N45" s="167"/>
    </row>
    <row r="46" spans="1:14" ht="17">
      <c r="A46" s="487">
        <v>1</v>
      </c>
      <c r="B46" s="34" t="s">
        <v>30</v>
      </c>
      <c r="C46" s="34"/>
      <c r="D46" s="167"/>
      <c r="E46" s="167"/>
      <c r="F46" s="167"/>
      <c r="G46" s="167"/>
      <c r="H46" s="167"/>
      <c r="I46" s="167"/>
      <c r="J46" s="167"/>
      <c r="K46" s="167"/>
      <c r="L46" s="167"/>
      <c r="M46" s="167"/>
      <c r="N46" s="167"/>
    </row>
    <row r="47" spans="1:14" ht="17">
      <c r="A47" s="488"/>
      <c r="B47" s="34" t="s">
        <v>36</v>
      </c>
      <c r="C47" s="34"/>
      <c r="D47" s="167"/>
      <c r="E47" s="167"/>
      <c r="F47" s="167"/>
      <c r="G47" s="167"/>
      <c r="H47" s="167"/>
      <c r="I47" s="167"/>
      <c r="J47" s="167"/>
      <c r="K47" s="167"/>
      <c r="L47" s="167"/>
      <c r="M47" s="167"/>
      <c r="N47" s="167"/>
    </row>
    <row r="48" spans="1:14" ht="17">
      <c r="A48" s="488"/>
      <c r="B48" s="34"/>
      <c r="C48" s="167"/>
      <c r="D48" s="167"/>
      <c r="E48" s="167"/>
      <c r="F48" s="167"/>
      <c r="G48" s="167"/>
      <c r="H48" s="167"/>
      <c r="I48" s="167"/>
      <c r="J48" s="167"/>
      <c r="K48" s="167"/>
      <c r="L48" s="167"/>
      <c r="M48" s="167"/>
      <c r="N48" s="167"/>
    </row>
    <row r="49" spans="1:14" ht="17">
      <c r="A49" s="487">
        <v>2</v>
      </c>
      <c r="B49" s="34" t="s">
        <v>217</v>
      </c>
      <c r="C49" s="167"/>
      <c r="D49" s="167"/>
      <c r="E49" s="34"/>
      <c r="F49" s="34"/>
      <c r="G49" s="34"/>
      <c r="H49" s="34"/>
      <c r="I49" s="167"/>
      <c r="J49" s="167"/>
      <c r="K49" s="167"/>
      <c r="L49" s="167"/>
      <c r="M49" s="167"/>
      <c r="N49" s="167"/>
    </row>
    <row r="50" spans="1:14" ht="15.65">
      <c r="A50" s="34"/>
      <c r="B50" s="34" t="s">
        <v>223</v>
      </c>
      <c r="C50" s="167"/>
      <c r="D50" s="167"/>
      <c r="E50" s="34"/>
      <c r="F50" s="34"/>
      <c r="G50" s="34"/>
      <c r="H50" s="34"/>
      <c r="I50" s="167"/>
      <c r="J50" s="167"/>
      <c r="K50" s="167"/>
      <c r="L50" s="167"/>
      <c r="M50" s="167"/>
      <c r="N50" s="167"/>
    </row>
    <row r="51" spans="1:14" ht="15.65">
      <c r="A51" s="34"/>
      <c r="B51" s="34" t="s">
        <v>31</v>
      </c>
      <c r="C51" s="167"/>
      <c r="D51" s="167"/>
      <c r="E51" s="34"/>
      <c r="F51" s="34"/>
      <c r="G51" s="34"/>
      <c r="H51" s="34"/>
      <c r="I51" s="167"/>
      <c r="J51" s="167"/>
      <c r="K51" s="167"/>
      <c r="L51" s="167"/>
      <c r="M51" s="167"/>
      <c r="N51" s="167"/>
    </row>
    <row r="52" spans="1:14" ht="15.65">
      <c r="A52" s="34"/>
      <c r="B52" s="34" t="s">
        <v>224</v>
      </c>
      <c r="C52" s="167"/>
      <c r="D52" s="167"/>
      <c r="E52" s="34"/>
      <c r="F52" s="34"/>
      <c r="G52" s="34"/>
      <c r="H52" s="34"/>
      <c r="I52" s="167"/>
      <c r="J52" s="167"/>
      <c r="K52" s="167"/>
      <c r="L52" s="167"/>
      <c r="M52" s="167"/>
      <c r="N52" s="167"/>
    </row>
    <row r="53" spans="1:14" ht="15.65">
      <c r="A53" s="34"/>
      <c r="B53" s="34" t="s">
        <v>225</v>
      </c>
      <c r="C53" s="167"/>
      <c r="D53" s="167"/>
      <c r="E53" s="167"/>
      <c r="F53" s="167"/>
      <c r="G53" s="167"/>
      <c r="H53" s="167"/>
      <c r="I53" s="167"/>
      <c r="J53" s="167"/>
      <c r="K53" s="167"/>
      <c r="L53" s="167"/>
      <c r="M53" s="167"/>
      <c r="N53" s="167"/>
    </row>
    <row r="54" spans="1:14" ht="15.65">
      <c r="A54" s="34"/>
      <c r="B54" s="34" t="s">
        <v>226</v>
      </c>
      <c r="C54" s="167"/>
      <c r="D54" s="167"/>
      <c r="E54" s="167"/>
      <c r="F54" s="167"/>
      <c r="G54" s="167"/>
      <c r="H54" s="167"/>
      <c r="I54" s="167"/>
      <c r="J54" s="167"/>
      <c r="K54" s="167"/>
      <c r="L54" s="167"/>
      <c r="M54" s="167"/>
      <c r="N54" s="167"/>
    </row>
    <row r="55" spans="1:14">
      <c r="A55" s="167"/>
      <c r="B55" s="167"/>
      <c r="C55" s="167"/>
      <c r="D55" s="167"/>
      <c r="E55" s="167"/>
      <c r="F55" s="167"/>
      <c r="G55" s="167"/>
      <c r="H55" s="167"/>
      <c r="I55" s="167"/>
      <c r="J55" s="167"/>
      <c r="K55" s="167"/>
      <c r="L55" s="167"/>
      <c r="M55" s="167"/>
      <c r="N55" s="167"/>
    </row>
    <row r="56" spans="1:14">
      <c r="A56" s="167"/>
      <c r="B56" s="167"/>
      <c r="C56" s="167"/>
      <c r="D56" s="167"/>
      <c r="E56" s="167"/>
      <c r="F56" s="167"/>
      <c r="G56" s="167"/>
      <c r="H56" s="167"/>
      <c r="I56" s="167"/>
      <c r="J56" s="167"/>
      <c r="K56" s="167"/>
      <c r="L56" s="167"/>
      <c r="M56" s="167"/>
      <c r="N56" s="167"/>
    </row>
    <row r="57" spans="1:14">
      <c r="A57" s="167"/>
      <c r="B57" s="167"/>
      <c r="C57" s="167"/>
      <c r="D57" s="167"/>
      <c r="E57" s="167"/>
      <c r="F57" s="167"/>
      <c r="G57" s="167"/>
      <c r="H57" s="167"/>
      <c r="I57" s="167"/>
      <c r="J57" s="167"/>
      <c r="K57" s="167"/>
      <c r="L57" s="167"/>
      <c r="M57" s="167"/>
      <c r="N57" s="167"/>
    </row>
    <row r="58" spans="1:14">
      <c r="A58" s="167"/>
      <c r="B58" s="167"/>
      <c r="C58" s="167"/>
      <c r="D58" s="167"/>
      <c r="E58" s="167"/>
      <c r="F58" s="167"/>
      <c r="G58" s="167"/>
      <c r="H58" s="167"/>
      <c r="I58" s="167"/>
      <c r="J58" s="167"/>
      <c r="K58" s="167"/>
      <c r="L58" s="167"/>
      <c r="M58" s="167"/>
      <c r="N58" s="167"/>
    </row>
    <row r="59" spans="1:14">
      <c r="A59" s="167"/>
      <c r="B59" s="167"/>
      <c r="C59" s="167"/>
      <c r="D59" s="167"/>
      <c r="E59" s="167"/>
      <c r="F59" s="167"/>
      <c r="G59" s="167"/>
      <c r="H59" s="167"/>
      <c r="I59" s="167"/>
      <c r="J59" s="167"/>
      <c r="K59" s="167"/>
      <c r="L59" s="167"/>
      <c r="M59" s="167"/>
      <c r="N59" s="167"/>
    </row>
    <row r="60" spans="1:14">
      <c r="A60" s="167"/>
      <c r="B60" s="167"/>
      <c r="C60" s="167"/>
      <c r="D60" s="167"/>
      <c r="E60" s="167"/>
      <c r="F60" s="167"/>
      <c r="G60" s="167"/>
      <c r="H60" s="167"/>
      <c r="I60" s="167"/>
      <c r="J60" s="167"/>
      <c r="K60" s="167"/>
      <c r="L60" s="167"/>
      <c r="M60" s="167"/>
      <c r="N60" s="167"/>
    </row>
  </sheetData>
  <mergeCells count="3">
    <mergeCell ref="A3:J3"/>
    <mergeCell ref="A1:I1"/>
    <mergeCell ref="A2:I2"/>
  </mergeCells>
  <phoneticPr fontId="45" type="noConversion"/>
  <printOptions horizontalCentered="1"/>
  <pageMargins left="0.5" right="0.5" top="0.75" bottom="0.5" header="0.5" footer="0.5"/>
  <pageSetup scale="63" orientation="portrait" r:id="rId1"/>
  <headerFooter alignWithMargins="0">
    <oddHeader>&amp;RPage &amp;P of &amp;N</oddHeader>
  </headerFooter>
  <colBreaks count="1" manualBreakCount="1">
    <brk id="13" max="1048575" man="1"/>
  </colBreaks>
</worksheet>
</file>

<file path=xl/worksheets/sheet13.xml><?xml version="1.0" encoding="utf-8"?>
<worksheet xmlns="http://schemas.openxmlformats.org/spreadsheetml/2006/main" xmlns:r="http://schemas.openxmlformats.org/officeDocument/2006/relationships">
  <dimension ref="A1:NW149"/>
  <sheetViews>
    <sheetView view="pageBreakPreview" zoomScale="85" zoomScaleNormal="85" zoomScaleSheetLayoutView="85" workbookViewId="0"/>
  </sheetViews>
  <sheetFormatPr defaultRowHeight="12.9"/>
  <cols>
    <col min="1" max="1" width="3.75" style="877" customWidth="1"/>
    <col min="2" max="2" width="17" style="877" customWidth="1"/>
    <col min="3" max="3" width="13" style="1029" customWidth="1"/>
    <col min="4" max="4" width="18.75" style="877" customWidth="1"/>
    <col min="5" max="5" width="14.125" style="877" customWidth="1"/>
    <col min="6" max="6" width="12.875" style="877" customWidth="1"/>
    <col min="7" max="7" width="12.75" style="840" customWidth="1"/>
    <col min="8" max="8" width="12.875" style="877" customWidth="1"/>
    <col min="9" max="9" width="14.875" style="877" customWidth="1"/>
    <col min="10" max="10" width="13" style="877" customWidth="1"/>
    <col min="11" max="15" width="11.25" style="840" customWidth="1"/>
    <col min="16" max="16" width="14.875" style="877" customWidth="1"/>
    <col min="17" max="17" width="14.375" style="877" customWidth="1"/>
    <col min="18" max="18" width="13.375" style="877" customWidth="1"/>
    <col min="19" max="19" width="11.375" style="877" customWidth="1"/>
    <col min="20" max="20" width="12.875" style="877" customWidth="1"/>
    <col min="21" max="21" width="11.375" style="877" customWidth="1"/>
    <col min="22" max="22" width="13.125" style="877" customWidth="1"/>
    <col min="23" max="23" width="12.125" style="877" customWidth="1"/>
    <col min="24" max="24" width="13.875" style="877" customWidth="1"/>
    <col min="25" max="25" width="14" style="877" customWidth="1"/>
    <col min="26" max="26" width="13.25" style="877" customWidth="1"/>
    <col min="27" max="27" width="17" style="877" customWidth="1"/>
    <col min="28" max="28" width="14.75" style="877" bestFit="1" customWidth="1"/>
    <col min="29" max="29" width="13.25" style="877" customWidth="1"/>
    <col min="30" max="31" width="14.625" style="877" customWidth="1"/>
    <col min="32" max="34" width="13.125" style="877" customWidth="1"/>
    <col min="35" max="79" width="17.25" style="877" customWidth="1"/>
    <col min="80" max="80" width="11.875" style="877" customWidth="1"/>
    <col min="81" max="81" width="13.25" style="877" customWidth="1"/>
    <col min="82" max="82" width="12.625" style="877" customWidth="1"/>
    <col min="83" max="83" width="13.125" style="877" bestFit="1" customWidth="1"/>
    <col min="84" max="84" width="13.375" style="877" bestFit="1" customWidth="1"/>
    <col min="85" max="85" width="19.375" style="877" customWidth="1"/>
    <col min="86" max="86" width="12.75" style="877" bestFit="1" customWidth="1"/>
    <col min="87" max="87" width="15.25" style="877" bestFit="1" customWidth="1"/>
    <col min="88" max="88" width="13.375" style="877" bestFit="1" customWidth="1"/>
    <col min="89" max="89" width="16.625" style="877" customWidth="1"/>
    <col min="90" max="90" width="13.125" style="877" customWidth="1"/>
    <col min="91" max="91" width="15.625" style="877" bestFit="1" customWidth="1"/>
    <col min="92" max="92" width="16.625" style="877" bestFit="1" customWidth="1"/>
    <col min="93" max="93" width="14.375" style="877" customWidth="1"/>
    <col min="94" max="94" width="13.25" style="877" bestFit="1" customWidth="1"/>
    <col min="95" max="95" width="15.25" style="877" bestFit="1" customWidth="1"/>
    <col min="96" max="103" width="13" style="877" customWidth="1"/>
    <col min="104" max="104" width="13" style="877" bestFit="1" customWidth="1"/>
    <col min="105" max="105" width="15.875" style="877" customWidth="1"/>
    <col min="106" max="106" width="12.75" style="877" bestFit="1" customWidth="1"/>
    <col min="107" max="107" width="15.25" style="877" bestFit="1" customWidth="1"/>
    <col min="108" max="108" width="13" style="877" bestFit="1" customWidth="1"/>
    <col min="109" max="109" width="14.375" style="877" customWidth="1"/>
    <col min="110" max="110" width="12.75" style="877" bestFit="1" customWidth="1"/>
    <col min="111" max="111" width="15.25" style="877" bestFit="1" customWidth="1"/>
    <col min="112" max="112" width="13" style="877" bestFit="1" customWidth="1"/>
    <col min="113" max="113" width="15.125" style="877" customWidth="1"/>
    <col min="114" max="114" width="13" style="877" bestFit="1" customWidth="1"/>
    <col min="115" max="115" width="13.375" style="877" customWidth="1"/>
    <col min="116" max="116" width="13" style="877" bestFit="1" customWidth="1"/>
    <col min="117" max="117" width="13.75" style="877" customWidth="1"/>
    <col min="118" max="118" width="13" style="877" bestFit="1" customWidth="1"/>
    <col min="119" max="119" width="15.25" style="877" bestFit="1" customWidth="1"/>
    <col min="120" max="120" width="13.125" style="877" customWidth="1"/>
    <col min="121" max="121" width="15.875" style="877" customWidth="1"/>
    <col min="122" max="122" width="13" style="877" customWidth="1"/>
    <col min="123" max="123" width="15.25" style="877" bestFit="1" customWidth="1"/>
    <col min="124" max="124" width="21" style="877" customWidth="1"/>
    <col min="125" max="125" width="15.75" style="877" customWidth="1"/>
    <col min="126" max="126" width="13.375" style="877" customWidth="1"/>
    <col min="127" max="127" width="16.25" style="877" bestFit="1" customWidth="1"/>
    <col min="128" max="139" width="13" style="877" customWidth="1"/>
    <col min="140" max="140" width="13.375" style="877" bestFit="1" customWidth="1"/>
    <col min="141" max="141" width="14.375" style="877" customWidth="1"/>
    <col min="142" max="142" width="13.375" style="877" customWidth="1"/>
    <col min="143" max="147" width="12.625" style="877" customWidth="1"/>
    <col min="148" max="148" width="13.375" style="877" bestFit="1" customWidth="1"/>
    <col min="149" max="149" width="14" style="877" customWidth="1"/>
    <col min="150" max="150" width="13.375" style="877" bestFit="1" customWidth="1"/>
    <col min="151" max="151" width="15.25" style="877" bestFit="1" customWidth="1"/>
    <col min="152" max="155" width="13" style="877" customWidth="1"/>
    <col min="156" max="157" width="13.75" style="877" customWidth="1"/>
    <col min="158" max="158" width="13.125" style="877" customWidth="1"/>
    <col min="159" max="159" width="12.25" style="877" customWidth="1"/>
    <col min="160" max="160" width="13.375" style="877" bestFit="1" customWidth="1"/>
    <col min="161" max="161" width="17" style="877" customWidth="1"/>
    <col min="162" max="162" width="13.25" style="877" bestFit="1" customWidth="1"/>
    <col min="163" max="163" width="14.375" style="877" bestFit="1" customWidth="1"/>
    <col min="164" max="164" width="12.75" style="877" bestFit="1" customWidth="1"/>
    <col min="165" max="165" width="14.75" style="877" customWidth="1"/>
    <col min="166" max="166" width="11.875" style="877" bestFit="1" customWidth="1"/>
    <col min="167" max="167" width="13.75" style="877" bestFit="1" customWidth="1"/>
    <col min="168" max="168" width="15.125" style="877" bestFit="1" customWidth="1"/>
    <col min="169" max="169" width="14" style="877" customWidth="1"/>
    <col min="170" max="170" width="12" style="877" bestFit="1" customWidth="1"/>
    <col min="171" max="171" width="11.375" style="877" customWidth="1"/>
    <col min="172" max="172" width="12.75" style="877" bestFit="1" customWidth="1"/>
    <col min="173" max="173" width="11.375" style="877" customWidth="1"/>
    <col min="174" max="174" width="13" style="877" bestFit="1" customWidth="1"/>
    <col min="175" max="175" width="15.25" style="877" bestFit="1" customWidth="1"/>
    <col min="176" max="176" width="12.75" style="877" bestFit="1" customWidth="1"/>
    <col min="177" max="177" width="18.25" style="877" customWidth="1"/>
    <col min="178" max="178" width="12.625" style="877" bestFit="1" customWidth="1"/>
    <col min="179" max="179" width="13.75" style="877" bestFit="1" customWidth="1"/>
    <col min="180" max="180" width="13" style="877" customWidth="1"/>
    <col min="181" max="181" width="14.375" style="877" customWidth="1"/>
    <col min="182" max="183" width="13" style="877" customWidth="1"/>
    <col min="184" max="184" width="13.25" style="877" customWidth="1"/>
    <col min="185" max="185" width="15.75" style="877" customWidth="1"/>
    <col min="186" max="186" width="12" style="877" bestFit="1" customWidth="1"/>
    <col min="187" max="188" width="12.25" style="877" customWidth="1"/>
    <col min="189" max="189" width="15.875" style="877" customWidth="1"/>
    <col min="190" max="192" width="12.25" style="877" customWidth="1"/>
    <col min="193" max="193" width="14.875" style="877" customWidth="1"/>
    <col min="194" max="207" width="12.25" style="877" customWidth="1"/>
    <col min="208" max="208" width="13.125" style="877" customWidth="1"/>
    <col min="209" max="209" width="12.25" style="877" customWidth="1"/>
    <col min="210" max="210" width="13.125" style="877" customWidth="1"/>
    <col min="211" max="371" width="12.25" style="877" customWidth="1"/>
    <col min="372" max="372" width="18.125" style="877" customWidth="1"/>
    <col min="373" max="373" width="16.25" style="877" customWidth="1"/>
    <col min="374" max="374" width="15.375" style="877" customWidth="1"/>
    <col min="375" max="376" width="15.25" style="877" bestFit="1" customWidth="1"/>
    <col min="377" max="377" width="15" style="877" bestFit="1" customWidth="1"/>
    <col min="378" max="378" width="12.375" style="877" bestFit="1" customWidth="1"/>
    <col min="379" max="379" width="9.125" style="877"/>
    <col min="380" max="380" width="12.375" style="877" bestFit="1" customWidth="1"/>
    <col min="381" max="448" width="9.125" style="877"/>
    <col min="449" max="449" width="3.75" style="877" customWidth="1"/>
    <col min="450" max="450" width="17" style="877" customWidth="1"/>
    <col min="451" max="451" width="13" style="877" customWidth="1"/>
    <col min="452" max="452" width="18.75" style="877" customWidth="1"/>
    <col min="453" max="453" width="14.125" style="877" customWidth="1"/>
    <col min="454" max="454" width="12.875" style="877" customWidth="1"/>
    <col min="455" max="455" width="11.75" style="877" customWidth="1"/>
    <col min="456" max="456" width="12.875" style="877" customWidth="1"/>
    <col min="457" max="457" width="14.875" style="877" customWidth="1"/>
    <col min="458" max="458" width="13" style="877" customWidth="1"/>
    <col min="459" max="459" width="11.25" style="877" customWidth="1"/>
    <col min="460" max="460" width="14.875" style="877" customWidth="1"/>
    <col min="461" max="461" width="14.375" style="877" customWidth="1"/>
    <col min="462" max="462" width="13.375" style="877" customWidth="1"/>
    <col min="463" max="463" width="11.375" style="877" customWidth="1"/>
    <col min="464" max="464" width="12.875" style="877" customWidth="1"/>
    <col min="465" max="465" width="11.375" style="877" customWidth="1"/>
    <col min="466" max="466" width="13.125" style="877" customWidth="1"/>
    <col min="467" max="467" width="12.125" style="877" customWidth="1"/>
    <col min="468" max="468" width="13.875" style="877" customWidth="1"/>
    <col min="469" max="469" width="14" style="877" customWidth="1"/>
    <col min="470" max="470" width="13.25" style="877" customWidth="1"/>
    <col min="471" max="471" width="11.375" style="877" customWidth="1"/>
    <col min="472" max="472" width="14.75" style="877" bestFit="1" customWidth="1"/>
    <col min="473" max="473" width="13.25" style="877" customWidth="1"/>
    <col min="474" max="475" width="14.625" style="877" customWidth="1"/>
    <col min="476" max="478" width="13.125" style="877" customWidth="1"/>
    <col min="479" max="515" width="17.25" style="877" customWidth="1"/>
    <col min="516" max="516" width="14.75" style="877" bestFit="1" customWidth="1"/>
    <col min="517" max="517" width="13.75" style="877" customWidth="1"/>
    <col min="518" max="518" width="15.25" style="877" customWidth="1"/>
    <col min="519" max="519" width="13.125" style="877" customWidth="1"/>
    <col min="520" max="520" width="11.875" style="877" customWidth="1"/>
    <col min="521" max="521" width="13.25" style="877" customWidth="1"/>
    <col min="522" max="522" width="12.625" style="877" customWidth="1"/>
    <col min="523" max="523" width="13" style="877" bestFit="1" customWidth="1"/>
    <col min="524" max="524" width="13.375" style="877" bestFit="1" customWidth="1"/>
    <col min="525" max="525" width="19.375" style="877" customWidth="1"/>
    <col min="526" max="526" width="12.75" style="877" bestFit="1" customWidth="1"/>
    <col min="527" max="527" width="13" style="877" bestFit="1" customWidth="1"/>
    <col min="528" max="528" width="13.375" style="877" bestFit="1" customWidth="1"/>
    <col min="529" max="529" width="16.625" style="877" customWidth="1"/>
    <col min="530" max="530" width="13.125" style="877" customWidth="1"/>
    <col min="531" max="531" width="15.125" style="877" bestFit="1" customWidth="1"/>
    <col min="532" max="532" width="16.625" style="877" bestFit="1" customWidth="1"/>
    <col min="533" max="533" width="14.375" style="877" customWidth="1"/>
    <col min="534" max="534" width="13.25" style="877" bestFit="1" customWidth="1"/>
    <col min="535" max="535" width="13" style="877" bestFit="1" customWidth="1"/>
    <col min="536" max="543" width="13" style="877" customWidth="1"/>
    <col min="544" max="544" width="13" style="877" bestFit="1" customWidth="1"/>
    <col min="545" max="545" width="15.875" style="877" customWidth="1"/>
    <col min="546" max="546" width="12.75" style="877" bestFit="1" customWidth="1"/>
    <col min="547" max="548" width="13" style="877" bestFit="1" customWidth="1"/>
    <col min="549" max="549" width="14.375" style="877" customWidth="1"/>
    <col min="550" max="550" width="12.75" style="877" bestFit="1" customWidth="1"/>
    <col min="551" max="552" width="13" style="877" bestFit="1" customWidth="1"/>
    <col min="553" max="553" width="15.125" style="877" customWidth="1"/>
    <col min="554" max="556" width="13" style="877" bestFit="1" customWidth="1"/>
    <col min="557" max="557" width="13.75" style="877" customWidth="1"/>
    <col min="558" max="559" width="13" style="877" bestFit="1" customWidth="1"/>
    <col min="560" max="560" width="13.125" style="877" customWidth="1"/>
    <col min="561" max="561" width="15.875" style="877" customWidth="1"/>
    <col min="562" max="562" width="13" style="877" customWidth="1"/>
    <col min="563" max="563" width="13" style="877" bestFit="1" customWidth="1"/>
    <col min="564" max="564" width="21" style="877" customWidth="1"/>
    <col min="565" max="565" width="15.75" style="877" customWidth="1"/>
    <col min="566" max="566" width="13.375" style="877" customWidth="1"/>
    <col min="567" max="567" width="13" style="877" bestFit="1" customWidth="1"/>
    <col min="568" max="571" width="13" style="877" customWidth="1"/>
    <col min="572" max="572" width="13.375" style="877" bestFit="1" customWidth="1"/>
    <col min="573" max="573" width="14.375" style="877" customWidth="1"/>
    <col min="574" max="574" width="13.375" style="877" customWidth="1"/>
    <col min="575" max="579" width="12.625" style="877" customWidth="1"/>
    <col min="580" max="580" width="13.375" style="877" bestFit="1" customWidth="1"/>
    <col min="581" max="581" width="14" style="877" customWidth="1"/>
    <col min="582" max="582" width="13.375" style="877" bestFit="1" customWidth="1"/>
    <col min="583" max="583" width="13" style="877" bestFit="1" customWidth="1"/>
    <col min="584" max="585" width="13.75" style="877" customWidth="1"/>
    <col min="586" max="586" width="13.125" style="877" customWidth="1"/>
    <col min="587" max="587" width="12.25" style="877" customWidth="1"/>
    <col min="588" max="588" width="13.375" style="877" bestFit="1" customWidth="1"/>
    <col min="589" max="589" width="17" style="877" customWidth="1"/>
    <col min="590" max="590" width="13.25" style="877" bestFit="1" customWidth="1"/>
    <col min="591" max="591" width="13" style="877" bestFit="1" customWidth="1"/>
    <col min="592" max="592" width="12.75" style="877" bestFit="1" customWidth="1"/>
    <col min="593" max="593" width="14.75" style="877" customWidth="1"/>
    <col min="594" max="594" width="11.875" style="877" bestFit="1" customWidth="1"/>
    <col min="595" max="595" width="13" style="877" bestFit="1" customWidth="1"/>
    <col min="596" max="596" width="15.125" style="877" bestFit="1" customWidth="1"/>
    <col min="597" max="597" width="14" style="877" customWidth="1"/>
    <col min="598" max="598" width="12" style="877" bestFit="1" customWidth="1"/>
    <col min="599" max="599" width="11.375" style="877" customWidth="1"/>
    <col min="600" max="600" width="12.75" style="877" bestFit="1" customWidth="1"/>
    <col min="601" max="601" width="11.375" style="877" customWidth="1"/>
    <col min="602" max="603" width="13" style="877" bestFit="1" customWidth="1"/>
    <col min="604" max="604" width="12.75" style="877" bestFit="1" customWidth="1"/>
    <col min="605" max="605" width="18.25" style="877" customWidth="1"/>
    <col min="606" max="606" width="12.625" style="877" bestFit="1" customWidth="1"/>
    <col min="607" max="607" width="13" style="877" bestFit="1" customWidth="1"/>
    <col min="608" max="608" width="13" style="877" customWidth="1"/>
    <col min="609" max="609" width="14.375" style="877" customWidth="1"/>
    <col min="610" max="611" width="13" style="877" customWidth="1"/>
    <col min="612" max="612" width="13.25" style="877" customWidth="1"/>
    <col min="613" max="613" width="15.75" style="877" customWidth="1"/>
    <col min="614" max="614" width="12" style="877" bestFit="1" customWidth="1"/>
    <col min="615" max="616" width="12.25" style="877" customWidth="1"/>
    <col min="617" max="617" width="15.875" style="877" customWidth="1"/>
    <col min="618" max="620" width="12.25" style="877" customWidth="1"/>
    <col min="621" max="621" width="14.875" style="877" customWidth="1"/>
    <col min="622" max="624" width="12.25" style="877" customWidth="1"/>
    <col min="625" max="625" width="13.75" style="877" customWidth="1"/>
    <col min="626" max="627" width="12.25" style="877" customWidth="1"/>
    <col min="628" max="628" width="18.125" style="877" customWidth="1"/>
    <col min="629" max="629" width="16.25" style="877" customWidth="1"/>
    <col min="630" max="630" width="15" style="877" customWidth="1"/>
    <col min="631" max="631" width="9.125" style="877"/>
    <col min="632" max="632" width="13.375" style="877" bestFit="1" customWidth="1"/>
    <col min="633" max="704" width="9.125" style="877"/>
    <col min="705" max="705" width="3.75" style="877" customWidth="1"/>
    <col min="706" max="706" width="17" style="877" customWidth="1"/>
    <col min="707" max="707" width="13" style="877" customWidth="1"/>
    <col min="708" max="708" width="18.75" style="877" customWidth="1"/>
    <col min="709" max="709" width="14.125" style="877" customWidth="1"/>
    <col min="710" max="710" width="12.875" style="877" customWidth="1"/>
    <col min="711" max="711" width="11.75" style="877" customWidth="1"/>
    <col min="712" max="712" width="12.875" style="877" customWidth="1"/>
    <col min="713" max="713" width="14.875" style="877" customWidth="1"/>
    <col min="714" max="714" width="13" style="877" customWidth="1"/>
    <col min="715" max="715" width="11.25" style="877" customWidth="1"/>
    <col min="716" max="716" width="14.875" style="877" customWidth="1"/>
    <col min="717" max="717" width="14.375" style="877" customWidth="1"/>
    <col min="718" max="718" width="13.375" style="877" customWidth="1"/>
    <col min="719" max="719" width="11.375" style="877" customWidth="1"/>
    <col min="720" max="720" width="12.875" style="877" customWidth="1"/>
    <col min="721" max="721" width="11.375" style="877" customWidth="1"/>
    <col min="722" max="722" width="13.125" style="877" customWidth="1"/>
    <col min="723" max="723" width="12.125" style="877" customWidth="1"/>
    <col min="724" max="724" width="13.875" style="877" customWidth="1"/>
    <col min="725" max="725" width="14" style="877" customWidth="1"/>
    <col min="726" max="726" width="13.25" style="877" customWidth="1"/>
    <col min="727" max="727" width="11.375" style="877" customWidth="1"/>
    <col min="728" max="728" width="14.75" style="877" bestFit="1" customWidth="1"/>
    <col min="729" max="729" width="13.25" style="877" customWidth="1"/>
    <col min="730" max="731" width="14.625" style="877" customWidth="1"/>
    <col min="732" max="734" width="13.125" style="877" customWidth="1"/>
    <col min="735" max="771" width="17.25" style="877" customWidth="1"/>
    <col min="772" max="772" width="14.75" style="877" bestFit="1" customWidth="1"/>
    <col min="773" max="773" width="13.75" style="877" customWidth="1"/>
    <col min="774" max="774" width="15.25" style="877" customWidth="1"/>
    <col min="775" max="775" width="13.125" style="877" customWidth="1"/>
    <col min="776" max="776" width="11.875" style="877" customWidth="1"/>
    <col min="777" max="777" width="13.25" style="877" customWidth="1"/>
    <col min="778" max="778" width="12.625" style="877" customWidth="1"/>
    <col min="779" max="779" width="13" style="877" bestFit="1" customWidth="1"/>
    <col min="780" max="780" width="13.375" style="877" bestFit="1" customWidth="1"/>
    <col min="781" max="781" width="19.375" style="877" customWidth="1"/>
    <col min="782" max="782" width="12.75" style="877" bestFit="1" customWidth="1"/>
    <col min="783" max="783" width="13" style="877" bestFit="1" customWidth="1"/>
    <col min="784" max="784" width="13.375" style="877" bestFit="1" customWidth="1"/>
    <col min="785" max="785" width="16.625" style="877" customWidth="1"/>
    <col min="786" max="786" width="13.125" style="877" customWidth="1"/>
    <col min="787" max="787" width="15.125" style="877" bestFit="1" customWidth="1"/>
    <col min="788" max="788" width="16.625" style="877" bestFit="1" customWidth="1"/>
    <col min="789" max="789" width="14.375" style="877" customWidth="1"/>
    <col min="790" max="790" width="13.25" style="877" bestFit="1" customWidth="1"/>
    <col min="791" max="791" width="13" style="877" bestFit="1" customWidth="1"/>
    <col min="792" max="799" width="13" style="877" customWidth="1"/>
    <col min="800" max="800" width="13" style="877" bestFit="1" customWidth="1"/>
    <col min="801" max="801" width="15.875" style="877" customWidth="1"/>
    <col min="802" max="802" width="12.75" style="877" bestFit="1" customWidth="1"/>
    <col min="803" max="804" width="13" style="877" bestFit="1" customWidth="1"/>
    <col min="805" max="805" width="14.375" style="877" customWidth="1"/>
    <col min="806" max="806" width="12.75" style="877" bestFit="1" customWidth="1"/>
    <col min="807" max="808" width="13" style="877" bestFit="1" customWidth="1"/>
    <col min="809" max="809" width="15.125" style="877" customWidth="1"/>
    <col min="810" max="812" width="13" style="877" bestFit="1" customWidth="1"/>
    <col min="813" max="813" width="13.75" style="877" customWidth="1"/>
    <col min="814" max="815" width="13" style="877" bestFit="1" customWidth="1"/>
    <col min="816" max="816" width="13.125" style="877" customWidth="1"/>
    <col min="817" max="817" width="15.875" style="877" customWidth="1"/>
    <col min="818" max="818" width="13" style="877" customWidth="1"/>
    <col min="819" max="819" width="13" style="877" bestFit="1" customWidth="1"/>
    <col min="820" max="820" width="21" style="877" customWidth="1"/>
    <col min="821" max="821" width="15.75" style="877" customWidth="1"/>
    <col min="822" max="822" width="13.375" style="877" customWidth="1"/>
    <col min="823" max="823" width="13" style="877" bestFit="1" customWidth="1"/>
    <col min="824" max="827" width="13" style="877" customWidth="1"/>
    <col min="828" max="828" width="13.375" style="877" bestFit="1" customWidth="1"/>
    <col min="829" max="829" width="14.375" style="877" customWidth="1"/>
    <col min="830" max="830" width="13.375" style="877" customWidth="1"/>
    <col min="831" max="835" width="12.625" style="877" customWidth="1"/>
    <col min="836" max="836" width="13.375" style="877" bestFit="1" customWidth="1"/>
    <col min="837" max="837" width="14" style="877" customWidth="1"/>
    <col min="838" max="838" width="13.375" style="877" bestFit="1" customWidth="1"/>
    <col min="839" max="839" width="13" style="877" bestFit="1" customWidth="1"/>
    <col min="840" max="841" width="13.75" style="877" customWidth="1"/>
    <col min="842" max="842" width="13.125" style="877" customWidth="1"/>
    <col min="843" max="843" width="12.25" style="877" customWidth="1"/>
    <col min="844" max="844" width="13.375" style="877" bestFit="1" customWidth="1"/>
    <col min="845" max="845" width="17" style="877" customWidth="1"/>
    <col min="846" max="846" width="13.25" style="877" bestFit="1" customWidth="1"/>
    <col min="847" max="847" width="13" style="877" bestFit="1" customWidth="1"/>
    <col min="848" max="848" width="12.75" style="877" bestFit="1" customWidth="1"/>
    <col min="849" max="849" width="14.75" style="877" customWidth="1"/>
    <col min="850" max="850" width="11.875" style="877" bestFit="1" customWidth="1"/>
    <col min="851" max="851" width="13" style="877" bestFit="1" customWidth="1"/>
    <col min="852" max="852" width="15.125" style="877" bestFit="1" customWidth="1"/>
    <col min="853" max="853" width="14" style="877" customWidth="1"/>
    <col min="854" max="854" width="12" style="877" bestFit="1" customWidth="1"/>
    <col min="855" max="855" width="11.375" style="877" customWidth="1"/>
    <col min="856" max="856" width="12.75" style="877" bestFit="1" customWidth="1"/>
    <col min="857" max="857" width="11.375" style="877" customWidth="1"/>
    <col min="858" max="859" width="13" style="877" bestFit="1" customWidth="1"/>
    <col min="860" max="860" width="12.75" style="877" bestFit="1" customWidth="1"/>
    <col min="861" max="861" width="18.25" style="877" customWidth="1"/>
    <col min="862" max="862" width="12.625" style="877" bestFit="1" customWidth="1"/>
    <col min="863" max="863" width="13" style="877" bestFit="1" customWidth="1"/>
    <col min="864" max="864" width="13" style="877" customWidth="1"/>
    <col min="865" max="865" width="14.375" style="877" customWidth="1"/>
    <col min="866" max="867" width="13" style="877" customWidth="1"/>
    <col min="868" max="868" width="13.25" style="877" customWidth="1"/>
    <col min="869" max="869" width="15.75" style="877" customWidth="1"/>
    <col min="870" max="870" width="12" style="877" bestFit="1" customWidth="1"/>
    <col min="871" max="872" width="12.25" style="877" customWidth="1"/>
    <col min="873" max="873" width="15.875" style="877" customWidth="1"/>
    <col min="874" max="876" width="12.25" style="877" customWidth="1"/>
    <col min="877" max="877" width="14.875" style="877" customWidth="1"/>
    <col min="878" max="880" width="12.25" style="877" customWidth="1"/>
    <col min="881" max="881" width="13.75" style="877" customWidth="1"/>
    <col min="882" max="883" width="12.25" style="877" customWidth="1"/>
    <col min="884" max="884" width="18.125" style="877" customWidth="1"/>
    <col min="885" max="885" width="16.25" style="877" customWidth="1"/>
    <col min="886" max="886" width="15" style="877" customWidth="1"/>
    <col min="887" max="887" width="9.125" style="877"/>
    <col min="888" max="888" width="13.375" style="877" bestFit="1" customWidth="1"/>
    <col min="889" max="960" width="9.125" style="877"/>
    <col min="961" max="961" width="3.75" style="877" customWidth="1"/>
    <col min="962" max="962" width="17" style="877" customWidth="1"/>
    <col min="963" max="963" width="13" style="877" customWidth="1"/>
    <col min="964" max="964" width="18.75" style="877" customWidth="1"/>
    <col min="965" max="965" width="14.125" style="877" customWidth="1"/>
    <col min="966" max="966" width="12.875" style="877" customWidth="1"/>
    <col min="967" max="967" width="11.75" style="877" customWidth="1"/>
    <col min="968" max="968" width="12.875" style="877" customWidth="1"/>
    <col min="969" max="969" width="14.875" style="877" customWidth="1"/>
    <col min="970" max="970" width="13" style="877" customWidth="1"/>
    <col min="971" max="971" width="11.25" style="877" customWidth="1"/>
    <col min="972" max="972" width="14.875" style="877" customWidth="1"/>
    <col min="973" max="973" width="14.375" style="877" customWidth="1"/>
    <col min="974" max="974" width="13.375" style="877" customWidth="1"/>
    <col min="975" max="975" width="11.375" style="877" customWidth="1"/>
    <col min="976" max="976" width="12.875" style="877" customWidth="1"/>
    <col min="977" max="977" width="11.375" style="877" customWidth="1"/>
    <col min="978" max="978" width="13.125" style="877" customWidth="1"/>
    <col min="979" max="979" width="12.125" style="877" customWidth="1"/>
    <col min="980" max="980" width="13.875" style="877" customWidth="1"/>
    <col min="981" max="981" width="14" style="877" customWidth="1"/>
    <col min="982" max="982" width="13.25" style="877" customWidth="1"/>
    <col min="983" max="983" width="11.375" style="877" customWidth="1"/>
    <col min="984" max="984" width="14.75" style="877" bestFit="1" customWidth="1"/>
    <col min="985" max="985" width="13.25" style="877" customWidth="1"/>
    <col min="986" max="987" width="14.625" style="877" customWidth="1"/>
    <col min="988" max="990" width="13.125" style="877" customWidth="1"/>
    <col min="991" max="1027" width="17.25" style="877" customWidth="1"/>
    <col min="1028" max="1028" width="14.75" style="877" bestFit="1" customWidth="1"/>
    <col min="1029" max="1029" width="13.75" style="877" customWidth="1"/>
    <col min="1030" max="1030" width="15.25" style="877" customWidth="1"/>
    <col min="1031" max="1031" width="13.125" style="877" customWidth="1"/>
    <col min="1032" max="1032" width="11.875" style="877" customWidth="1"/>
    <col min="1033" max="1033" width="13.25" style="877" customWidth="1"/>
    <col min="1034" max="1034" width="12.625" style="877" customWidth="1"/>
    <col min="1035" max="1035" width="13" style="877" bestFit="1" customWidth="1"/>
    <col min="1036" max="1036" width="13.375" style="877" bestFit="1" customWidth="1"/>
    <col min="1037" max="1037" width="19.375" style="877" customWidth="1"/>
    <col min="1038" max="1038" width="12.75" style="877" bestFit="1" customWidth="1"/>
    <col min="1039" max="1039" width="13" style="877" bestFit="1" customWidth="1"/>
    <col min="1040" max="1040" width="13.375" style="877" bestFit="1" customWidth="1"/>
    <col min="1041" max="1041" width="16.625" style="877" customWidth="1"/>
    <col min="1042" max="1042" width="13.125" style="877" customWidth="1"/>
    <col min="1043" max="1043" width="15.125" style="877" bestFit="1" customWidth="1"/>
    <col min="1044" max="1044" width="16.625" style="877" bestFit="1" customWidth="1"/>
    <col min="1045" max="1045" width="14.375" style="877" customWidth="1"/>
    <col min="1046" max="1046" width="13.25" style="877" bestFit="1" customWidth="1"/>
    <col min="1047" max="1047" width="13" style="877" bestFit="1" customWidth="1"/>
    <col min="1048" max="1055" width="13" style="877" customWidth="1"/>
    <col min="1056" max="1056" width="13" style="877" bestFit="1" customWidth="1"/>
    <col min="1057" max="1057" width="15.875" style="877" customWidth="1"/>
    <col min="1058" max="1058" width="12.75" style="877" bestFit="1" customWidth="1"/>
    <col min="1059" max="1060" width="13" style="877" bestFit="1" customWidth="1"/>
    <col min="1061" max="1061" width="14.375" style="877" customWidth="1"/>
    <col min="1062" max="1062" width="12.75" style="877" bestFit="1" customWidth="1"/>
    <col min="1063" max="1064" width="13" style="877" bestFit="1" customWidth="1"/>
    <col min="1065" max="1065" width="15.125" style="877" customWidth="1"/>
    <col min="1066" max="1068" width="13" style="877" bestFit="1" customWidth="1"/>
    <col min="1069" max="1069" width="13.75" style="877" customWidth="1"/>
    <col min="1070" max="1071" width="13" style="877" bestFit="1" customWidth="1"/>
    <col min="1072" max="1072" width="13.125" style="877" customWidth="1"/>
    <col min="1073" max="1073" width="15.875" style="877" customWidth="1"/>
    <col min="1074" max="1074" width="13" style="877" customWidth="1"/>
    <col min="1075" max="1075" width="13" style="877" bestFit="1" customWidth="1"/>
    <col min="1076" max="1076" width="21" style="877" customWidth="1"/>
    <col min="1077" max="1077" width="15.75" style="877" customWidth="1"/>
    <col min="1078" max="1078" width="13.375" style="877" customWidth="1"/>
    <col min="1079" max="1079" width="13" style="877" bestFit="1" customWidth="1"/>
    <col min="1080" max="1083" width="13" style="877" customWidth="1"/>
    <col min="1084" max="1084" width="13.375" style="877" bestFit="1" customWidth="1"/>
    <col min="1085" max="1085" width="14.375" style="877" customWidth="1"/>
    <col min="1086" max="1086" width="13.375" style="877" customWidth="1"/>
    <col min="1087" max="1091" width="12.625" style="877" customWidth="1"/>
    <col min="1092" max="1092" width="13.375" style="877" bestFit="1" customWidth="1"/>
    <col min="1093" max="1093" width="14" style="877" customWidth="1"/>
    <col min="1094" max="1094" width="13.375" style="877" bestFit="1" customWidth="1"/>
    <col min="1095" max="1095" width="13" style="877" bestFit="1" customWidth="1"/>
    <col min="1096" max="1097" width="13.75" style="877" customWidth="1"/>
    <col min="1098" max="1098" width="13.125" style="877" customWidth="1"/>
    <col min="1099" max="1099" width="12.25" style="877" customWidth="1"/>
    <col min="1100" max="1100" width="13.375" style="877" bestFit="1" customWidth="1"/>
    <col min="1101" max="1101" width="17" style="877" customWidth="1"/>
    <col min="1102" max="1102" width="13.25" style="877" bestFit="1" customWidth="1"/>
    <col min="1103" max="1103" width="13" style="877" bestFit="1" customWidth="1"/>
    <col min="1104" max="1104" width="12.75" style="877" bestFit="1" customWidth="1"/>
    <col min="1105" max="1105" width="14.75" style="877" customWidth="1"/>
    <col min="1106" max="1106" width="11.875" style="877" bestFit="1" customWidth="1"/>
    <col min="1107" max="1107" width="13" style="877" bestFit="1" customWidth="1"/>
    <col min="1108" max="1108" width="15.125" style="877" bestFit="1" customWidth="1"/>
    <col min="1109" max="1109" width="14" style="877" customWidth="1"/>
    <col min="1110" max="1110" width="12" style="877" bestFit="1" customWidth="1"/>
    <col min="1111" max="1111" width="11.375" style="877" customWidth="1"/>
    <col min="1112" max="1112" width="12.75" style="877" bestFit="1" customWidth="1"/>
    <col min="1113" max="1113" width="11.375" style="877" customWidth="1"/>
    <col min="1114" max="1115" width="13" style="877" bestFit="1" customWidth="1"/>
    <col min="1116" max="1116" width="12.75" style="877" bestFit="1" customWidth="1"/>
    <col min="1117" max="1117" width="18.25" style="877" customWidth="1"/>
    <col min="1118" max="1118" width="12.625" style="877" bestFit="1" customWidth="1"/>
    <col min="1119" max="1119" width="13" style="877" bestFit="1" customWidth="1"/>
    <col min="1120" max="1120" width="13" style="877" customWidth="1"/>
    <col min="1121" max="1121" width="14.375" style="877" customWidth="1"/>
    <col min="1122" max="1123" width="13" style="877" customWidth="1"/>
    <col min="1124" max="1124" width="13.25" style="877" customWidth="1"/>
    <col min="1125" max="1125" width="15.75" style="877" customWidth="1"/>
    <col min="1126" max="1126" width="12" style="877" bestFit="1" customWidth="1"/>
    <col min="1127" max="1128" width="12.25" style="877" customWidth="1"/>
    <col min="1129" max="1129" width="15.875" style="877" customWidth="1"/>
    <col min="1130" max="1132" width="12.25" style="877" customWidth="1"/>
    <col min="1133" max="1133" width="14.875" style="877" customWidth="1"/>
    <col min="1134" max="1136" width="12.25" style="877" customWidth="1"/>
    <col min="1137" max="1137" width="13.75" style="877" customWidth="1"/>
    <col min="1138" max="1139" width="12.25" style="877" customWidth="1"/>
    <col min="1140" max="1140" width="18.125" style="877" customWidth="1"/>
    <col min="1141" max="1141" width="16.25" style="877" customWidth="1"/>
    <col min="1142" max="1142" width="15" style="877" customWidth="1"/>
    <col min="1143" max="1143" width="9.125" style="877"/>
    <col min="1144" max="1144" width="13.375" style="877" bestFit="1" customWidth="1"/>
    <col min="1145" max="1216" width="9.125" style="877"/>
    <col min="1217" max="1217" width="3.75" style="877" customWidth="1"/>
    <col min="1218" max="1218" width="17" style="877" customWidth="1"/>
    <col min="1219" max="1219" width="13" style="877" customWidth="1"/>
    <col min="1220" max="1220" width="18.75" style="877" customWidth="1"/>
    <col min="1221" max="1221" width="14.125" style="877" customWidth="1"/>
    <col min="1222" max="1222" width="12.875" style="877" customWidth="1"/>
    <col min="1223" max="1223" width="11.75" style="877" customWidth="1"/>
    <col min="1224" max="1224" width="12.875" style="877" customWidth="1"/>
    <col min="1225" max="1225" width="14.875" style="877" customWidth="1"/>
    <col min="1226" max="1226" width="13" style="877" customWidth="1"/>
    <col min="1227" max="1227" width="11.25" style="877" customWidth="1"/>
    <col min="1228" max="1228" width="14.875" style="877" customWidth="1"/>
    <col min="1229" max="1229" width="14.375" style="877" customWidth="1"/>
    <col min="1230" max="1230" width="13.375" style="877" customWidth="1"/>
    <col min="1231" max="1231" width="11.375" style="877" customWidth="1"/>
    <col min="1232" max="1232" width="12.875" style="877" customWidth="1"/>
    <col min="1233" max="1233" width="11.375" style="877" customWidth="1"/>
    <col min="1234" max="1234" width="13.125" style="877" customWidth="1"/>
    <col min="1235" max="1235" width="12.125" style="877" customWidth="1"/>
    <col min="1236" max="1236" width="13.875" style="877" customWidth="1"/>
    <col min="1237" max="1237" width="14" style="877" customWidth="1"/>
    <col min="1238" max="1238" width="13.25" style="877" customWidth="1"/>
    <col min="1239" max="1239" width="11.375" style="877" customWidth="1"/>
    <col min="1240" max="1240" width="14.75" style="877" bestFit="1" customWidth="1"/>
    <col min="1241" max="1241" width="13.25" style="877" customWidth="1"/>
    <col min="1242" max="1243" width="14.625" style="877" customWidth="1"/>
    <col min="1244" max="1246" width="13.125" style="877" customWidth="1"/>
    <col min="1247" max="1283" width="17.25" style="877" customWidth="1"/>
    <col min="1284" max="1284" width="14.75" style="877" bestFit="1" customWidth="1"/>
    <col min="1285" max="1285" width="13.75" style="877" customWidth="1"/>
    <col min="1286" max="1286" width="15.25" style="877" customWidth="1"/>
    <col min="1287" max="1287" width="13.125" style="877" customWidth="1"/>
    <col min="1288" max="1288" width="11.875" style="877" customWidth="1"/>
    <col min="1289" max="1289" width="13.25" style="877" customWidth="1"/>
    <col min="1290" max="1290" width="12.625" style="877" customWidth="1"/>
    <col min="1291" max="1291" width="13" style="877" bestFit="1" customWidth="1"/>
    <col min="1292" max="1292" width="13.375" style="877" bestFit="1" customWidth="1"/>
    <col min="1293" max="1293" width="19.375" style="877" customWidth="1"/>
    <col min="1294" max="1294" width="12.75" style="877" bestFit="1" customWidth="1"/>
    <col min="1295" max="1295" width="13" style="877" bestFit="1" customWidth="1"/>
    <col min="1296" max="1296" width="13.375" style="877" bestFit="1" customWidth="1"/>
    <col min="1297" max="1297" width="16.625" style="877" customWidth="1"/>
    <col min="1298" max="1298" width="13.125" style="877" customWidth="1"/>
    <col min="1299" max="1299" width="15.125" style="877" bestFit="1" customWidth="1"/>
    <col min="1300" max="1300" width="16.625" style="877" bestFit="1" customWidth="1"/>
    <col min="1301" max="1301" width="14.375" style="877" customWidth="1"/>
    <col min="1302" max="1302" width="13.25" style="877" bestFit="1" customWidth="1"/>
    <col min="1303" max="1303" width="13" style="877" bestFit="1" customWidth="1"/>
    <col min="1304" max="1311" width="13" style="877" customWidth="1"/>
    <col min="1312" max="1312" width="13" style="877" bestFit="1" customWidth="1"/>
    <col min="1313" max="1313" width="15.875" style="877" customWidth="1"/>
    <col min="1314" max="1314" width="12.75" style="877" bestFit="1" customWidth="1"/>
    <col min="1315" max="1316" width="13" style="877" bestFit="1" customWidth="1"/>
    <col min="1317" max="1317" width="14.375" style="877" customWidth="1"/>
    <col min="1318" max="1318" width="12.75" style="877" bestFit="1" customWidth="1"/>
    <col min="1319" max="1320" width="13" style="877" bestFit="1" customWidth="1"/>
    <col min="1321" max="1321" width="15.125" style="877" customWidth="1"/>
    <col min="1322" max="1324" width="13" style="877" bestFit="1" customWidth="1"/>
    <col min="1325" max="1325" width="13.75" style="877" customWidth="1"/>
    <col min="1326" max="1327" width="13" style="877" bestFit="1" customWidth="1"/>
    <col min="1328" max="1328" width="13.125" style="877" customWidth="1"/>
    <col min="1329" max="1329" width="15.875" style="877" customWidth="1"/>
    <col min="1330" max="1330" width="13" style="877" customWidth="1"/>
    <col min="1331" max="1331" width="13" style="877" bestFit="1" customWidth="1"/>
    <col min="1332" max="1332" width="21" style="877" customWidth="1"/>
    <col min="1333" max="1333" width="15.75" style="877" customWidth="1"/>
    <col min="1334" max="1334" width="13.375" style="877" customWidth="1"/>
    <col min="1335" max="1335" width="13" style="877" bestFit="1" customWidth="1"/>
    <col min="1336" max="1339" width="13" style="877" customWidth="1"/>
    <col min="1340" max="1340" width="13.375" style="877" bestFit="1" customWidth="1"/>
    <col min="1341" max="1341" width="14.375" style="877" customWidth="1"/>
    <col min="1342" max="1342" width="13.375" style="877" customWidth="1"/>
    <col min="1343" max="1347" width="12.625" style="877" customWidth="1"/>
    <col min="1348" max="1348" width="13.375" style="877" bestFit="1" customWidth="1"/>
    <col min="1349" max="1349" width="14" style="877" customWidth="1"/>
    <col min="1350" max="1350" width="13.375" style="877" bestFit="1" customWidth="1"/>
    <col min="1351" max="1351" width="13" style="877" bestFit="1" customWidth="1"/>
    <col min="1352" max="1353" width="13.75" style="877" customWidth="1"/>
    <col min="1354" max="1354" width="13.125" style="877" customWidth="1"/>
    <col min="1355" max="1355" width="12.25" style="877" customWidth="1"/>
    <col min="1356" max="1356" width="13.375" style="877" bestFit="1" customWidth="1"/>
    <col min="1357" max="1357" width="17" style="877" customWidth="1"/>
    <col min="1358" max="1358" width="13.25" style="877" bestFit="1" customWidth="1"/>
    <col min="1359" max="1359" width="13" style="877" bestFit="1" customWidth="1"/>
    <col min="1360" max="1360" width="12.75" style="877" bestFit="1" customWidth="1"/>
    <col min="1361" max="1361" width="14.75" style="877" customWidth="1"/>
    <col min="1362" max="1362" width="11.875" style="877" bestFit="1" customWidth="1"/>
    <col min="1363" max="1363" width="13" style="877" bestFit="1" customWidth="1"/>
    <col min="1364" max="1364" width="15.125" style="877" bestFit="1" customWidth="1"/>
    <col min="1365" max="1365" width="14" style="877" customWidth="1"/>
    <col min="1366" max="1366" width="12" style="877" bestFit="1" customWidth="1"/>
    <col min="1367" max="1367" width="11.375" style="877" customWidth="1"/>
    <col min="1368" max="1368" width="12.75" style="877" bestFit="1" customWidth="1"/>
    <col min="1369" max="1369" width="11.375" style="877" customWidth="1"/>
    <col min="1370" max="1371" width="13" style="877" bestFit="1" customWidth="1"/>
    <col min="1372" max="1372" width="12.75" style="877" bestFit="1" customWidth="1"/>
    <col min="1373" max="1373" width="18.25" style="877" customWidth="1"/>
    <col min="1374" max="1374" width="12.625" style="877" bestFit="1" customWidth="1"/>
    <col min="1375" max="1375" width="13" style="877" bestFit="1" customWidth="1"/>
    <col min="1376" max="1376" width="13" style="877" customWidth="1"/>
    <col min="1377" max="1377" width="14.375" style="877" customWidth="1"/>
    <col min="1378" max="1379" width="13" style="877" customWidth="1"/>
    <col min="1380" max="1380" width="13.25" style="877" customWidth="1"/>
    <col min="1381" max="1381" width="15.75" style="877" customWidth="1"/>
    <col min="1382" max="1382" width="12" style="877" bestFit="1" customWidth="1"/>
    <col min="1383" max="1384" width="12.25" style="877" customWidth="1"/>
    <col min="1385" max="1385" width="15.875" style="877" customWidth="1"/>
    <col min="1386" max="1388" width="12.25" style="877" customWidth="1"/>
    <col min="1389" max="1389" width="14.875" style="877" customWidth="1"/>
    <col min="1390" max="1392" width="12.25" style="877" customWidth="1"/>
    <col min="1393" max="1393" width="13.75" style="877" customWidth="1"/>
    <col min="1394" max="1395" width="12.25" style="877" customWidth="1"/>
    <col min="1396" max="1396" width="18.125" style="877" customWidth="1"/>
    <col min="1397" max="1397" width="16.25" style="877" customWidth="1"/>
    <col min="1398" max="1398" width="15" style="877" customWidth="1"/>
    <col min="1399" max="1399" width="9.125" style="877"/>
    <col min="1400" max="1400" width="13.375" style="877" bestFit="1" customWidth="1"/>
    <col min="1401" max="1472" width="9.125" style="877"/>
    <col min="1473" max="1473" width="3.75" style="877" customWidth="1"/>
    <col min="1474" max="1474" width="17" style="877" customWidth="1"/>
    <col min="1475" max="1475" width="13" style="877" customWidth="1"/>
    <col min="1476" max="1476" width="18.75" style="877" customWidth="1"/>
    <col min="1477" max="1477" width="14.125" style="877" customWidth="1"/>
    <col min="1478" max="1478" width="12.875" style="877" customWidth="1"/>
    <col min="1479" max="1479" width="11.75" style="877" customWidth="1"/>
    <col min="1480" max="1480" width="12.875" style="877" customWidth="1"/>
    <col min="1481" max="1481" width="14.875" style="877" customWidth="1"/>
    <col min="1482" max="1482" width="13" style="877" customWidth="1"/>
    <col min="1483" max="1483" width="11.25" style="877" customWidth="1"/>
    <col min="1484" max="1484" width="14.875" style="877" customWidth="1"/>
    <col min="1485" max="1485" width="14.375" style="877" customWidth="1"/>
    <col min="1486" max="1486" width="13.375" style="877" customWidth="1"/>
    <col min="1487" max="1487" width="11.375" style="877" customWidth="1"/>
    <col min="1488" max="1488" width="12.875" style="877" customWidth="1"/>
    <col min="1489" max="1489" width="11.375" style="877" customWidth="1"/>
    <col min="1490" max="1490" width="13.125" style="877" customWidth="1"/>
    <col min="1491" max="1491" width="12.125" style="877" customWidth="1"/>
    <col min="1492" max="1492" width="13.875" style="877" customWidth="1"/>
    <col min="1493" max="1493" width="14" style="877" customWidth="1"/>
    <col min="1494" max="1494" width="13.25" style="877" customWidth="1"/>
    <col min="1495" max="1495" width="11.375" style="877" customWidth="1"/>
    <col min="1496" max="1496" width="14.75" style="877" bestFit="1" customWidth="1"/>
    <col min="1497" max="1497" width="13.25" style="877" customWidth="1"/>
    <col min="1498" max="1499" width="14.625" style="877" customWidth="1"/>
    <col min="1500" max="1502" width="13.125" style="877" customWidth="1"/>
    <col min="1503" max="1539" width="17.25" style="877" customWidth="1"/>
    <col min="1540" max="1540" width="14.75" style="877" bestFit="1" customWidth="1"/>
    <col min="1541" max="1541" width="13.75" style="877" customWidth="1"/>
    <col min="1542" max="1542" width="15.25" style="877" customWidth="1"/>
    <col min="1543" max="1543" width="13.125" style="877" customWidth="1"/>
    <col min="1544" max="1544" width="11.875" style="877" customWidth="1"/>
    <col min="1545" max="1545" width="13.25" style="877" customWidth="1"/>
    <col min="1546" max="1546" width="12.625" style="877" customWidth="1"/>
    <col min="1547" max="1547" width="13" style="877" bestFit="1" customWidth="1"/>
    <col min="1548" max="1548" width="13.375" style="877" bestFit="1" customWidth="1"/>
    <col min="1549" max="1549" width="19.375" style="877" customWidth="1"/>
    <col min="1550" max="1550" width="12.75" style="877" bestFit="1" customWidth="1"/>
    <col min="1551" max="1551" width="13" style="877" bestFit="1" customWidth="1"/>
    <col min="1552" max="1552" width="13.375" style="877" bestFit="1" customWidth="1"/>
    <col min="1553" max="1553" width="16.625" style="877" customWidth="1"/>
    <col min="1554" max="1554" width="13.125" style="877" customWidth="1"/>
    <col min="1555" max="1555" width="15.125" style="877" bestFit="1" customWidth="1"/>
    <col min="1556" max="1556" width="16.625" style="877" bestFit="1" customWidth="1"/>
    <col min="1557" max="1557" width="14.375" style="877" customWidth="1"/>
    <col min="1558" max="1558" width="13.25" style="877" bestFit="1" customWidth="1"/>
    <col min="1559" max="1559" width="13" style="877" bestFit="1" customWidth="1"/>
    <col min="1560" max="1567" width="13" style="877" customWidth="1"/>
    <col min="1568" max="1568" width="13" style="877" bestFit="1" customWidth="1"/>
    <col min="1569" max="1569" width="15.875" style="877" customWidth="1"/>
    <col min="1570" max="1570" width="12.75" style="877" bestFit="1" customWidth="1"/>
    <col min="1571" max="1572" width="13" style="877" bestFit="1" customWidth="1"/>
    <col min="1573" max="1573" width="14.375" style="877" customWidth="1"/>
    <col min="1574" max="1574" width="12.75" style="877" bestFit="1" customWidth="1"/>
    <col min="1575" max="1576" width="13" style="877" bestFit="1" customWidth="1"/>
    <col min="1577" max="1577" width="15.125" style="877" customWidth="1"/>
    <col min="1578" max="1580" width="13" style="877" bestFit="1" customWidth="1"/>
    <col min="1581" max="1581" width="13.75" style="877" customWidth="1"/>
    <col min="1582" max="1583" width="13" style="877" bestFit="1" customWidth="1"/>
    <col min="1584" max="1584" width="13.125" style="877" customWidth="1"/>
    <col min="1585" max="1585" width="15.875" style="877" customWidth="1"/>
    <col min="1586" max="1586" width="13" style="877" customWidth="1"/>
    <col min="1587" max="1587" width="13" style="877" bestFit="1" customWidth="1"/>
    <col min="1588" max="1588" width="21" style="877" customWidth="1"/>
    <col min="1589" max="1589" width="15.75" style="877" customWidth="1"/>
    <col min="1590" max="1590" width="13.375" style="877" customWidth="1"/>
    <col min="1591" max="1591" width="13" style="877" bestFit="1" customWidth="1"/>
    <col min="1592" max="1595" width="13" style="877" customWidth="1"/>
    <col min="1596" max="1596" width="13.375" style="877" bestFit="1" customWidth="1"/>
    <col min="1597" max="1597" width="14.375" style="877" customWidth="1"/>
    <col min="1598" max="1598" width="13.375" style="877" customWidth="1"/>
    <col min="1599" max="1603" width="12.625" style="877" customWidth="1"/>
    <col min="1604" max="1604" width="13.375" style="877" bestFit="1" customWidth="1"/>
    <col min="1605" max="1605" width="14" style="877" customWidth="1"/>
    <col min="1606" max="1606" width="13.375" style="877" bestFit="1" customWidth="1"/>
    <col min="1607" max="1607" width="13" style="877" bestFit="1" customWidth="1"/>
    <col min="1608" max="1609" width="13.75" style="877" customWidth="1"/>
    <col min="1610" max="1610" width="13.125" style="877" customWidth="1"/>
    <col min="1611" max="1611" width="12.25" style="877" customWidth="1"/>
    <col min="1612" max="1612" width="13.375" style="877" bestFit="1" customWidth="1"/>
    <col min="1613" max="1613" width="17" style="877" customWidth="1"/>
    <col min="1614" max="1614" width="13.25" style="877" bestFit="1" customWidth="1"/>
    <col min="1615" max="1615" width="13" style="877" bestFit="1" customWidth="1"/>
    <col min="1616" max="1616" width="12.75" style="877" bestFit="1" customWidth="1"/>
    <col min="1617" max="1617" width="14.75" style="877" customWidth="1"/>
    <col min="1618" max="1618" width="11.875" style="877" bestFit="1" customWidth="1"/>
    <col min="1619" max="1619" width="13" style="877" bestFit="1" customWidth="1"/>
    <col min="1620" max="1620" width="15.125" style="877" bestFit="1" customWidth="1"/>
    <col min="1621" max="1621" width="14" style="877" customWidth="1"/>
    <col min="1622" max="1622" width="12" style="877" bestFit="1" customWidth="1"/>
    <col min="1623" max="1623" width="11.375" style="877" customWidth="1"/>
    <col min="1624" max="1624" width="12.75" style="877" bestFit="1" customWidth="1"/>
    <col min="1625" max="1625" width="11.375" style="877" customWidth="1"/>
    <col min="1626" max="1627" width="13" style="877" bestFit="1" customWidth="1"/>
    <col min="1628" max="1628" width="12.75" style="877" bestFit="1" customWidth="1"/>
    <col min="1629" max="1629" width="18.25" style="877" customWidth="1"/>
    <col min="1630" max="1630" width="12.625" style="877" bestFit="1" customWidth="1"/>
    <col min="1631" max="1631" width="13" style="877" bestFit="1" customWidth="1"/>
    <col min="1632" max="1632" width="13" style="877" customWidth="1"/>
    <col min="1633" max="1633" width="14.375" style="877" customWidth="1"/>
    <col min="1634" max="1635" width="13" style="877" customWidth="1"/>
    <col min="1636" max="1636" width="13.25" style="877" customWidth="1"/>
    <col min="1637" max="1637" width="15.75" style="877" customWidth="1"/>
    <col min="1638" max="1638" width="12" style="877" bestFit="1" customWidth="1"/>
    <col min="1639" max="1640" width="12.25" style="877" customWidth="1"/>
    <col min="1641" max="1641" width="15.875" style="877" customWidth="1"/>
    <col min="1642" max="1644" width="12.25" style="877" customWidth="1"/>
    <col min="1645" max="1645" width="14.875" style="877" customWidth="1"/>
    <col min="1646" max="1648" width="12.25" style="877" customWidth="1"/>
    <col min="1649" max="1649" width="13.75" style="877" customWidth="1"/>
    <col min="1650" max="1651" width="12.25" style="877" customWidth="1"/>
    <col min="1652" max="1652" width="18.125" style="877" customWidth="1"/>
    <col min="1653" max="1653" width="16.25" style="877" customWidth="1"/>
    <col min="1654" max="1654" width="15" style="877" customWidth="1"/>
    <col min="1655" max="1655" width="9.125" style="877"/>
    <col min="1656" max="1656" width="13.375" style="877" bestFit="1" customWidth="1"/>
    <col min="1657" max="1728" width="9.125" style="877"/>
    <col min="1729" max="1729" width="3.75" style="877" customWidth="1"/>
    <col min="1730" max="1730" width="17" style="877" customWidth="1"/>
    <col min="1731" max="1731" width="13" style="877" customWidth="1"/>
    <col min="1732" max="1732" width="18.75" style="877" customWidth="1"/>
    <col min="1733" max="1733" width="14.125" style="877" customWidth="1"/>
    <col min="1734" max="1734" width="12.875" style="877" customWidth="1"/>
    <col min="1735" max="1735" width="11.75" style="877" customWidth="1"/>
    <col min="1736" max="1736" width="12.875" style="877" customWidth="1"/>
    <col min="1737" max="1737" width="14.875" style="877" customWidth="1"/>
    <col min="1738" max="1738" width="13" style="877" customWidth="1"/>
    <col min="1739" max="1739" width="11.25" style="877" customWidth="1"/>
    <col min="1740" max="1740" width="14.875" style="877" customWidth="1"/>
    <col min="1741" max="1741" width="14.375" style="877" customWidth="1"/>
    <col min="1742" max="1742" width="13.375" style="877" customWidth="1"/>
    <col min="1743" max="1743" width="11.375" style="877" customWidth="1"/>
    <col min="1744" max="1744" width="12.875" style="877" customWidth="1"/>
    <col min="1745" max="1745" width="11.375" style="877" customWidth="1"/>
    <col min="1746" max="1746" width="13.125" style="877" customWidth="1"/>
    <col min="1747" max="1747" width="12.125" style="877" customWidth="1"/>
    <col min="1748" max="1748" width="13.875" style="877" customWidth="1"/>
    <col min="1749" max="1749" width="14" style="877" customWidth="1"/>
    <col min="1750" max="1750" width="13.25" style="877" customWidth="1"/>
    <col min="1751" max="1751" width="11.375" style="877" customWidth="1"/>
    <col min="1752" max="1752" width="14.75" style="877" bestFit="1" customWidth="1"/>
    <col min="1753" max="1753" width="13.25" style="877" customWidth="1"/>
    <col min="1754" max="1755" width="14.625" style="877" customWidth="1"/>
    <col min="1756" max="1758" width="13.125" style="877" customWidth="1"/>
    <col min="1759" max="1795" width="17.25" style="877" customWidth="1"/>
    <col min="1796" max="1796" width="14.75" style="877" bestFit="1" customWidth="1"/>
    <col min="1797" max="1797" width="13.75" style="877" customWidth="1"/>
    <col min="1798" max="1798" width="15.25" style="877" customWidth="1"/>
    <col min="1799" max="1799" width="13.125" style="877" customWidth="1"/>
    <col min="1800" max="1800" width="11.875" style="877" customWidth="1"/>
    <col min="1801" max="1801" width="13.25" style="877" customWidth="1"/>
    <col min="1802" max="1802" width="12.625" style="877" customWidth="1"/>
    <col min="1803" max="1803" width="13" style="877" bestFit="1" customWidth="1"/>
    <col min="1804" max="1804" width="13.375" style="877" bestFit="1" customWidth="1"/>
    <col min="1805" max="1805" width="19.375" style="877" customWidth="1"/>
    <col min="1806" max="1806" width="12.75" style="877" bestFit="1" customWidth="1"/>
    <col min="1807" max="1807" width="13" style="877" bestFit="1" customWidth="1"/>
    <col min="1808" max="1808" width="13.375" style="877" bestFit="1" customWidth="1"/>
    <col min="1809" max="1809" width="16.625" style="877" customWidth="1"/>
    <col min="1810" max="1810" width="13.125" style="877" customWidth="1"/>
    <col min="1811" max="1811" width="15.125" style="877" bestFit="1" customWidth="1"/>
    <col min="1812" max="1812" width="16.625" style="877" bestFit="1" customWidth="1"/>
    <col min="1813" max="1813" width="14.375" style="877" customWidth="1"/>
    <col min="1814" max="1814" width="13.25" style="877" bestFit="1" customWidth="1"/>
    <col min="1815" max="1815" width="13" style="877" bestFit="1" customWidth="1"/>
    <col min="1816" max="1823" width="13" style="877" customWidth="1"/>
    <col min="1824" max="1824" width="13" style="877" bestFit="1" customWidth="1"/>
    <col min="1825" max="1825" width="15.875" style="877" customWidth="1"/>
    <col min="1826" max="1826" width="12.75" style="877" bestFit="1" customWidth="1"/>
    <col min="1827" max="1828" width="13" style="877" bestFit="1" customWidth="1"/>
    <col min="1829" max="1829" width="14.375" style="877" customWidth="1"/>
    <col min="1830" max="1830" width="12.75" style="877" bestFit="1" customWidth="1"/>
    <col min="1831" max="1832" width="13" style="877" bestFit="1" customWidth="1"/>
    <col min="1833" max="1833" width="15.125" style="877" customWidth="1"/>
    <col min="1834" max="1836" width="13" style="877" bestFit="1" customWidth="1"/>
    <col min="1837" max="1837" width="13.75" style="877" customWidth="1"/>
    <col min="1838" max="1839" width="13" style="877" bestFit="1" customWidth="1"/>
    <col min="1840" max="1840" width="13.125" style="877" customWidth="1"/>
    <col min="1841" max="1841" width="15.875" style="877" customWidth="1"/>
    <col min="1842" max="1842" width="13" style="877" customWidth="1"/>
    <col min="1843" max="1843" width="13" style="877" bestFit="1" customWidth="1"/>
    <col min="1844" max="1844" width="21" style="877" customWidth="1"/>
    <col min="1845" max="1845" width="15.75" style="877" customWidth="1"/>
    <col min="1846" max="1846" width="13.375" style="877" customWidth="1"/>
    <col min="1847" max="1847" width="13" style="877" bestFit="1" customWidth="1"/>
    <col min="1848" max="1851" width="13" style="877" customWidth="1"/>
    <col min="1852" max="1852" width="13.375" style="877" bestFit="1" customWidth="1"/>
    <col min="1853" max="1853" width="14.375" style="877" customWidth="1"/>
    <col min="1854" max="1854" width="13.375" style="877" customWidth="1"/>
    <col min="1855" max="1859" width="12.625" style="877" customWidth="1"/>
    <col min="1860" max="1860" width="13.375" style="877" bestFit="1" customWidth="1"/>
    <col min="1861" max="1861" width="14" style="877" customWidth="1"/>
    <col min="1862" max="1862" width="13.375" style="877" bestFit="1" customWidth="1"/>
    <col min="1863" max="1863" width="13" style="877" bestFit="1" customWidth="1"/>
    <col min="1864" max="1865" width="13.75" style="877" customWidth="1"/>
    <col min="1866" max="1866" width="13.125" style="877" customWidth="1"/>
    <col min="1867" max="1867" width="12.25" style="877" customWidth="1"/>
    <col min="1868" max="1868" width="13.375" style="877" bestFit="1" customWidth="1"/>
    <col min="1869" max="1869" width="17" style="877" customWidth="1"/>
    <col min="1870" max="1870" width="13.25" style="877" bestFit="1" customWidth="1"/>
    <col min="1871" max="1871" width="13" style="877" bestFit="1" customWidth="1"/>
    <col min="1872" max="1872" width="12.75" style="877" bestFit="1" customWidth="1"/>
    <col min="1873" max="1873" width="14.75" style="877" customWidth="1"/>
    <col min="1874" max="1874" width="11.875" style="877" bestFit="1" customWidth="1"/>
    <col min="1875" max="1875" width="13" style="877" bestFit="1" customWidth="1"/>
    <col min="1876" max="1876" width="15.125" style="877" bestFit="1" customWidth="1"/>
    <col min="1877" max="1877" width="14" style="877" customWidth="1"/>
    <col min="1878" max="1878" width="12" style="877" bestFit="1" customWidth="1"/>
    <col min="1879" max="1879" width="11.375" style="877" customWidth="1"/>
    <col min="1880" max="1880" width="12.75" style="877" bestFit="1" customWidth="1"/>
    <col min="1881" max="1881" width="11.375" style="877" customWidth="1"/>
    <col min="1882" max="1883" width="13" style="877" bestFit="1" customWidth="1"/>
    <col min="1884" max="1884" width="12.75" style="877" bestFit="1" customWidth="1"/>
    <col min="1885" max="1885" width="18.25" style="877" customWidth="1"/>
    <col min="1886" max="1886" width="12.625" style="877" bestFit="1" customWidth="1"/>
    <col min="1887" max="1887" width="13" style="877" bestFit="1" customWidth="1"/>
    <col min="1888" max="1888" width="13" style="877" customWidth="1"/>
    <col min="1889" max="1889" width="14.375" style="877" customWidth="1"/>
    <col min="1890" max="1891" width="13" style="877" customWidth="1"/>
    <col min="1892" max="1892" width="13.25" style="877" customWidth="1"/>
    <col min="1893" max="1893" width="15.75" style="877" customWidth="1"/>
    <col min="1894" max="1894" width="12" style="877" bestFit="1" customWidth="1"/>
    <col min="1895" max="1896" width="12.25" style="877" customWidth="1"/>
    <col min="1897" max="1897" width="15.875" style="877" customWidth="1"/>
    <col min="1898" max="1900" width="12.25" style="877" customWidth="1"/>
    <col min="1901" max="1901" width="14.875" style="877" customWidth="1"/>
    <col min="1902" max="1904" width="12.25" style="877" customWidth="1"/>
    <col min="1905" max="1905" width="13.75" style="877" customWidth="1"/>
    <col min="1906" max="1907" width="12.25" style="877" customWidth="1"/>
    <col min="1908" max="1908" width="18.125" style="877" customWidth="1"/>
    <col min="1909" max="1909" width="16.25" style="877" customWidth="1"/>
    <col min="1910" max="1910" width="15" style="877" customWidth="1"/>
    <col min="1911" max="1911" width="9.125" style="877"/>
    <col min="1912" max="1912" width="13.375" style="877" bestFit="1" customWidth="1"/>
    <col min="1913" max="1984" width="9.125" style="877"/>
    <col min="1985" max="1985" width="3.75" style="877" customWidth="1"/>
    <col min="1986" max="1986" width="17" style="877" customWidth="1"/>
    <col min="1987" max="1987" width="13" style="877" customWidth="1"/>
    <col min="1988" max="1988" width="18.75" style="877" customWidth="1"/>
    <col min="1989" max="1989" width="14.125" style="877" customWidth="1"/>
    <col min="1990" max="1990" width="12.875" style="877" customWidth="1"/>
    <col min="1991" max="1991" width="11.75" style="877" customWidth="1"/>
    <col min="1992" max="1992" width="12.875" style="877" customWidth="1"/>
    <col min="1993" max="1993" width="14.875" style="877" customWidth="1"/>
    <col min="1994" max="1994" width="13" style="877" customWidth="1"/>
    <col min="1995" max="1995" width="11.25" style="877" customWidth="1"/>
    <col min="1996" max="1996" width="14.875" style="877" customWidth="1"/>
    <col min="1997" max="1997" width="14.375" style="877" customWidth="1"/>
    <col min="1998" max="1998" width="13.375" style="877" customWidth="1"/>
    <col min="1999" max="1999" width="11.375" style="877" customWidth="1"/>
    <col min="2000" max="2000" width="12.875" style="877" customWidth="1"/>
    <col min="2001" max="2001" width="11.375" style="877" customWidth="1"/>
    <col min="2002" max="2002" width="13.125" style="877" customWidth="1"/>
    <col min="2003" max="2003" width="12.125" style="877" customWidth="1"/>
    <col min="2004" max="2004" width="13.875" style="877" customWidth="1"/>
    <col min="2005" max="2005" width="14" style="877" customWidth="1"/>
    <col min="2006" max="2006" width="13.25" style="877" customWidth="1"/>
    <col min="2007" max="2007" width="11.375" style="877" customWidth="1"/>
    <col min="2008" max="2008" width="14.75" style="877" bestFit="1" customWidth="1"/>
    <col min="2009" max="2009" width="13.25" style="877" customWidth="1"/>
    <col min="2010" max="2011" width="14.625" style="877" customWidth="1"/>
    <col min="2012" max="2014" width="13.125" style="877" customWidth="1"/>
    <col min="2015" max="2051" width="17.25" style="877" customWidth="1"/>
    <col min="2052" max="2052" width="14.75" style="877" bestFit="1" customWidth="1"/>
    <col min="2053" max="2053" width="13.75" style="877" customWidth="1"/>
    <col min="2054" max="2054" width="15.25" style="877" customWidth="1"/>
    <col min="2055" max="2055" width="13.125" style="877" customWidth="1"/>
    <col min="2056" max="2056" width="11.875" style="877" customWidth="1"/>
    <col min="2057" max="2057" width="13.25" style="877" customWidth="1"/>
    <col min="2058" max="2058" width="12.625" style="877" customWidth="1"/>
    <col min="2059" max="2059" width="13" style="877" bestFit="1" customWidth="1"/>
    <col min="2060" max="2060" width="13.375" style="877" bestFit="1" customWidth="1"/>
    <col min="2061" max="2061" width="19.375" style="877" customWidth="1"/>
    <col min="2062" max="2062" width="12.75" style="877" bestFit="1" customWidth="1"/>
    <col min="2063" max="2063" width="13" style="877" bestFit="1" customWidth="1"/>
    <col min="2064" max="2064" width="13.375" style="877" bestFit="1" customWidth="1"/>
    <col min="2065" max="2065" width="16.625" style="877" customWidth="1"/>
    <col min="2066" max="2066" width="13.125" style="877" customWidth="1"/>
    <col min="2067" max="2067" width="15.125" style="877" bestFit="1" customWidth="1"/>
    <col min="2068" max="2068" width="16.625" style="877" bestFit="1" customWidth="1"/>
    <col min="2069" max="2069" width="14.375" style="877" customWidth="1"/>
    <col min="2070" max="2070" width="13.25" style="877" bestFit="1" customWidth="1"/>
    <col min="2071" max="2071" width="13" style="877" bestFit="1" customWidth="1"/>
    <col min="2072" max="2079" width="13" style="877" customWidth="1"/>
    <col min="2080" max="2080" width="13" style="877" bestFit="1" customWidth="1"/>
    <col min="2081" max="2081" width="15.875" style="877" customWidth="1"/>
    <col min="2082" max="2082" width="12.75" style="877" bestFit="1" customWidth="1"/>
    <col min="2083" max="2084" width="13" style="877" bestFit="1" customWidth="1"/>
    <col min="2085" max="2085" width="14.375" style="877" customWidth="1"/>
    <col min="2086" max="2086" width="12.75" style="877" bestFit="1" customWidth="1"/>
    <col min="2087" max="2088" width="13" style="877" bestFit="1" customWidth="1"/>
    <col min="2089" max="2089" width="15.125" style="877" customWidth="1"/>
    <col min="2090" max="2092" width="13" style="877" bestFit="1" customWidth="1"/>
    <col min="2093" max="2093" width="13.75" style="877" customWidth="1"/>
    <col min="2094" max="2095" width="13" style="877" bestFit="1" customWidth="1"/>
    <col min="2096" max="2096" width="13.125" style="877" customWidth="1"/>
    <col min="2097" max="2097" width="15.875" style="877" customWidth="1"/>
    <col min="2098" max="2098" width="13" style="877" customWidth="1"/>
    <col min="2099" max="2099" width="13" style="877" bestFit="1" customWidth="1"/>
    <col min="2100" max="2100" width="21" style="877" customWidth="1"/>
    <col min="2101" max="2101" width="15.75" style="877" customWidth="1"/>
    <col min="2102" max="2102" width="13.375" style="877" customWidth="1"/>
    <col min="2103" max="2103" width="13" style="877" bestFit="1" customWidth="1"/>
    <col min="2104" max="2107" width="13" style="877" customWidth="1"/>
    <col min="2108" max="2108" width="13.375" style="877" bestFit="1" customWidth="1"/>
    <col min="2109" max="2109" width="14.375" style="877" customWidth="1"/>
    <col min="2110" max="2110" width="13.375" style="877" customWidth="1"/>
    <col min="2111" max="2115" width="12.625" style="877" customWidth="1"/>
    <col min="2116" max="2116" width="13.375" style="877" bestFit="1" customWidth="1"/>
    <col min="2117" max="2117" width="14" style="877" customWidth="1"/>
    <col min="2118" max="2118" width="13.375" style="877" bestFit="1" customWidth="1"/>
    <col min="2119" max="2119" width="13" style="877" bestFit="1" customWidth="1"/>
    <col min="2120" max="2121" width="13.75" style="877" customWidth="1"/>
    <col min="2122" max="2122" width="13.125" style="877" customWidth="1"/>
    <col min="2123" max="2123" width="12.25" style="877" customWidth="1"/>
    <col min="2124" max="2124" width="13.375" style="877" bestFit="1" customWidth="1"/>
    <col min="2125" max="2125" width="17" style="877" customWidth="1"/>
    <col min="2126" max="2126" width="13.25" style="877" bestFit="1" customWidth="1"/>
    <col min="2127" max="2127" width="13" style="877" bestFit="1" customWidth="1"/>
    <col min="2128" max="2128" width="12.75" style="877" bestFit="1" customWidth="1"/>
    <col min="2129" max="2129" width="14.75" style="877" customWidth="1"/>
    <col min="2130" max="2130" width="11.875" style="877" bestFit="1" customWidth="1"/>
    <col min="2131" max="2131" width="13" style="877" bestFit="1" customWidth="1"/>
    <col min="2132" max="2132" width="15.125" style="877" bestFit="1" customWidth="1"/>
    <col min="2133" max="2133" width="14" style="877" customWidth="1"/>
    <col min="2134" max="2134" width="12" style="877" bestFit="1" customWidth="1"/>
    <col min="2135" max="2135" width="11.375" style="877" customWidth="1"/>
    <col min="2136" max="2136" width="12.75" style="877" bestFit="1" customWidth="1"/>
    <col min="2137" max="2137" width="11.375" style="877" customWidth="1"/>
    <col min="2138" max="2139" width="13" style="877" bestFit="1" customWidth="1"/>
    <col min="2140" max="2140" width="12.75" style="877" bestFit="1" customWidth="1"/>
    <col min="2141" max="2141" width="18.25" style="877" customWidth="1"/>
    <col min="2142" max="2142" width="12.625" style="877" bestFit="1" customWidth="1"/>
    <col min="2143" max="2143" width="13" style="877" bestFit="1" customWidth="1"/>
    <col min="2144" max="2144" width="13" style="877" customWidth="1"/>
    <col min="2145" max="2145" width="14.375" style="877" customWidth="1"/>
    <col min="2146" max="2147" width="13" style="877" customWidth="1"/>
    <col min="2148" max="2148" width="13.25" style="877" customWidth="1"/>
    <col min="2149" max="2149" width="15.75" style="877" customWidth="1"/>
    <col min="2150" max="2150" width="12" style="877" bestFit="1" customWidth="1"/>
    <col min="2151" max="2152" width="12.25" style="877" customWidth="1"/>
    <col min="2153" max="2153" width="15.875" style="877" customWidth="1"/>
    <col min="2154" max="2156" width="12.25" style="877" customWidth="1"/>
    <col min="2157" max="2157" width="14.875" style="877" customWidth="1"/>
    <col min="2158" max="2160" width="12.25" style="877" customWidth="1"/>
    <col min="2161" max="2161" width="13.75" style="877" customWidth="1"/>
    <col min="2162" max="2163" width="12.25" style="877" customWidth="1"/>
    <col min="2164" max="2164" width="18.125" style="877" customWidth="1"/>
    <col min="2165" max="2165" width="16.25" style="877" customWidth="1"/>
    <col min="2166" max="2166" width="15" style="877" customWidth="1"/>
    <col min="2167" max="2167" width="9.125" style="877"/>
    <col min="2168" max="2168" width="13.375" style="877" bestFit="1" customWidth="1"/>
    <col min="2169" max="2240" width="9.125" style="877"/>
    <col min="2241" max="2241" width="3.75" style="877" customWidth="1"/>
    <col min="2242" max="2242" width="17" style="877" customWidth="1"/>
    <col min="2243" max="2243" width="13" style="877" customWidth="1"/>
    <col min="2244" max="2244" width="18.75" style="877" customWidth="1"/>
    <col min="2245" max="2245" width="14.125" style="877" customWidth="1"/>
    <col min="2246" max="2246" width="12.875" style="877" customWidth="1"/>
    <col min="2247" max="2247" width="11.75" style="877" customWidth="1"/>
    <col min="2248" max="2248" width="12.875" style="877" customWidth="1"/>
    <col min="2249" max="2249" width="14.875" style="877" customWidth="1"/>
    <col min="2250" max="2250" width="13" style="877" customWidth="1"/>
    <col min="2251" max="2251" width="11.25" style="877" customWidth="1"/>
    <col min="2252" max="2252" width="14.875" style="877" customWidth="1"/>
    <col min="2253" max="2253" width="14.375" style="877" customWidth="1"/>
    <col min="2254" max="2254" width="13.375" style="877" customWidth="1"/>
    <col min="2255" max="2255" width="11.375" style="877" customWidth="1"/>
    <col min="2256" max="2256" width="12.875" style="877" customWidth="1"/>
    <col min="2257" max="2257" width="11.375" style="877" customWidth="1"/>
    <col min="2258" max="2258" width="13.125" style="877" customWidth="1"/>
    <col min="2259" max="2259" width="12.125" style="877" customWidth="1"/>
    <col min="2260" max="2260" width="13.875" style="877" customWidth="1"/>
    <col min="2261" max="2261" width="14" style="877" customWidth="1"/>
    <col min="2262" max="2262" width="13.25" style="877" customWidth="1"/>
    <col min="2263" max="2263" width="11.375" style="877" customWidth="1"/>
    <col min="2264" max="2264" width="14.75" style="877" bestFit="1" customWidth="1"/>
    <col min="2265" max="2265" width="13.25" style="877" customWidth="1"/>
    <col min="2266" max="2267" width="14.625" style="877" customWidth="1"/>
    <col min="2268" max="2270" width="13.125" style="877" customWidth="1"/>
    <col min="2271" max="2307" width="17.25" style="877" customWidth="1"/>
    <col min="2308" max="2308" width="14.75" style="877" bestFit="1" customWidth="1"/>
    <col min="2309" max="2309" width="13.75" style="877" customWidth="1"/>
    <col min="2310" max="2310" width="15.25" style="877" customWidth="1"/>
    <col min="2311" max="2311" width="13.125" style="877" customWidth="1"/>
    <col min="2312" max="2312" width="11.875" style="877" customWidth="1"/>
    <col min="2313" max="2313" width="13.25" style="877" customWidth="1"/>
    <col min="2314" max="2314" width="12.625" style="877" customWidth="1"/>
    <col min="2315" max="2315" width="13" style="877" bestFit="1" customWidth="1"/>
    <col min="2316" max="2316" width="13.375" style="877" bestFit="1" customWidth="1"/>
    <col min="2317" max="2317" width="19.375" style="877" customWidth="1"/>
    <col min="2318" max="2318" width="12.75" style="877" bestFit="1" customWidth="1"/>
    <col min="2319" max="2319" width="13" style="877" bestFit="1" customWidth="1"/>
    <col min="2320" max="2320" width="13.375" style="877" bestFit="1" customWidth="1"/>
    <col min="2321" max="2321" width="16.625" style="877" customWidth="1"/>
    <col min="2322" max="2322" width="13.125" style="877" customWidth="1"/>
    <col min="2323" max="2323" width="15.125" style="877" bestFit="1" customWidth="1"/>
    <col min="2324" max="2324" width="16.625" style="877" bestFit="1" customWidth="1"/>
    <col min="2325" max="2325" width="14.375" style="877" customWidth="1"/>
    <col min="2326" max="2326" width="13.25" style="877" bestFit="1" customWidth="1"/>
    <col min="2327" max="2327" width="13" style="877" bestFit="1" customWidth="1"/>
    <col min="2328" max="2335" width="13" style="877" customWidth="1"/>
    <col min="2336" max="2336" width="13" style="877" bestFit="1" customWidth="1"/>
    <col min="2337" max="2337" width="15.875" style="877" customWidth="1"/>
    <col min="2338" max="2338" width="12.75" style="877" bestFit="1" customWidth="1"/>
    <col min="2339" max="2340" width="13" style="877" bestFit="1" customWidth="1"/>
    <col min="2341" max="2341" width="14.375" style="877" customWidth="1"/>
    <col min="2342" max="2342" width="12.75" style="877" bestFit="1" customWidth="1"/>
    <col min="2343" max="2344" width="13" style="877" bestFit="1" customWidth="1"/>
    <col min="2345" max="2345" width="15.125" style="877" customWidth="1"/>
    <col min="2346" max="2348" width="13" style="877" bestFit="1" customWidth="1"/>
    <col min="2349" max="2349" width="13.75" style="877" customWidth="1"/>
    <col min="2350" max="2351" width="13" style="877" bestFit="1" customWidth="1"/>
    <col min="2352" max="2352" width="13.125" style="877" customWidth="1"/>
    <col min="2353" max="2353" width="15.875" style="877" customWidth="1"/>
    <col min="2354" max="2354" width="13" style="877" customWidth="1"/>
    <col min="2355" max="2355" width="13" style="877" bestFit="1" customWidth="1"/>
    <col min="2356" max="2356" width="21" style="877" customWidth="1"/>
    <col min="2357" max="2357" width="15.75" style="877" customWidth="1"/>
    <col min="2358" max="2358" width="13.375" style="877" customWidth="1"/>
    <col min="2359" max="2359" width="13" style="877" bestFit="1" customWidth="1"/>
    <col min="2360" max="2363" width="13" style="877" customWidth="1"/>
    <col min="2364" max="2364" width="13.375" style="877" bestFit="1" customWidth="1"/>
    <col min="2365" max="2365" width="14.375" style="877" customWidth="1"/>
    <col min="2366" max="2366" width="13.375" style="877" customWidth="1"/>
    <col min="2367" max="2371" width="12.625" style="877" customWidth="1"/>
    <col min="2372" max="2372" width="13.375" style="877" bestFit="1" customWidth="1"/>
    <col min="2373" max="2373" width="14" style="877" customWidth="1"/>
    <col min="2374" max="2374" width="13.375" style="877" bestFit="1" customWidth="1"/>
    <col min="2375" max="2375" width="13" style="877" bestFit="1" customWidth="1"/>
    <col min="2376" max="2377" width="13.75" style="877" customWidth="1"/>
    <col min="2378" max="2378" width="13.125" style="877" customWidth="1"/>
    <col min="2379" max="2379" width="12.25" style="877" customWidth="1"/>
    <col min="2380" max="2380" width="13.375" style="877" bestFit="1" customWidth="1"/>
    <col min="2381" max="2381" width="17" style="877" customWidth="1"/>
    <col min="2382" max="2382" width="13.25" style="877" bestFit="1" customWidth="1"/>
    <col min="2383" max="2383" width="13" style="877" bestFit="1" customWidth="1"/>
    <col min="2384" max="2384" width="12.75" style="877" bestFit="1" customWidth="1"/>
    <col min="2385" max="2385" width="14.75" style="877" customWidth="1"/>
    <col min="2386" max="2386" width="11.875" style="877" bestFit="1" customWidth="1"/>
    <col min="2387" max="2387" width="13" style="877" bestFit="1" customWidth="1"/>
    <col min="2388" max="2388" width="15.125" style="877" bestFit="1" customWidth="1"/>
    <col min="2389" max="2389" width="14" style="877" customWidth="1"/>
    <col min="2390" max="2390" width="12" style="877" bestFit="1" customWidth="1"/>
    <col min="2391" max="2391" width="11.375" style="877" customWidth="1"/>
    <col min="2392" max="2392" width="12.75" style="877" bestFit="1" customWidth="1"/>
    <col min="2393" max="2393" width="11.375" style="877" customWidth="1"/>
    <col min="2394" max="2395" width="13" style="877" bestFit="1" customWidth="1"/>
    <col min="2396" max="2396" width="12.75" style="877" bestFit="1" customWidth="1"/>
    <col min="2397" max="2397" width="18.25" style="877" customWidth="1"/>
    <col min="2398" max="2398" width="12.625" style="877" bestFit="1" customWidth="1"/>
    <col min="2399" max="2399" width="13" style="877" bestFit="1" customWidth="1"/>
    <col min="2400" max="2400" width="13" style="877" customWidth="1"/>
    <col min="2401" max="2401" width="14.375" style="877" customWidth="1"/>
    <col min="2402" max="2403" width="13" style="877" customWidth="1"/>
    <col min="2404" max="2404" width="13.25" style="877" customWidth="1"/>
    <col min="2405" max="2405" width="15.75" style="877" customWidth="1"/>
    <col min="2406" max="2406" width="12" style="877" bestFit="1" customWidth="1"/>
    <col min="2407" max="2408" width="12.25" style="877" customWidth="1"/>
    <col min="2409" max="2409" width="15.875" style="877" customWidth="1"/>
    <col min="2410" max="2412" width="12.25" style="877" customWidth="1"/>
    <col min="2413" max="2413" width="14.875" style="877" customWidth="1"/>
    <col min="2414" max="2416" width="12.25" style="877" customWidth="1"/>
    <col min="2417" max="2417" width="13.75" style="877" customWidth="1"/>
    <col min="2418" max="2419" width="12.25" style="877" customWidth="1"/>
    <col min="2420" max="2420" width="18.125" style="877" customWidth="1"/>
    <col min="2421" max="2421" width="16.25" style="877" customWidth="1"/>
    <col min="2422" max="2422" width="15" style="877" customWidth="1"/>
    <col min="2423" max="2423" width="9.125" style="877"/>
    <col min="2424" max="2424" width="13.375" style="877" bestFit="1" customWidth="1"/>
    <col min="2425" max="2496" width="9.125" style="877"/>
    <col min="2497" max="2497" width="3.75" style="877" customWidth="1"/>
    <col min="2498" max="2498" width="17" style="877" customWidth="1"/>
    <col min="2499" max="2499" width="13" style="877" customWidth="1"/>
    <col min="2500" max="2500" width="18.75" style="877" customWidth="1"/>
    <col min="2501" max="2501" width="14.125" style="877" customWidth="1"/>
    <col min="2502" max="2502" width="12.875" style="877" customWidth="1"/>
    <col min="2503" max="2503" width="11.75" style="877" customWidth="1"/>
    <col min="2504" max="2504" width="12.875" style="877" customWidth="1"/>
    <col min="2505" max="2505" width="14.875" style="877" customWidth="1"/>
    <col min="2506" max="2506" width="13" style="877" customWidth="1"/>
    <col min="2507" max="2507" width="11.25" style="877" customWidth="1"/>
    <col min="2508" max="2508" width="14.875" style="877" customWidth="1"/>
    <col min="2509" max="2509" width="14.375" style="877" customWidth="1"/>
    <col min="2510" max="2510" width="13.375" style="877" customWidth="1"/>
    <col min="2511" max="2511" width="11.375" style="877" customWidth="1"/>
    <col min="2512" max="2512" width="12.875" style="877" customWidth="1"/>
    <col min="2513" max="2513" width="11.375" style="877" customWidth="1"/>
    <col min="2514" max="2514" width="13.125" style="877" customWidth="1"/>
    <col min="2515" max="2515" width="12.125" style="877" customWidth="1"/>
    <col min="2516" max="2516" width="13.875" style="877" customWidth="1"/>
    <col min="2517" max="2517" width="14" style="877" customWidth="1"/>
    <col min="2518" max="2518" width="13.25" style="877" customWidth="1"/>
    <col min="2519" max="2519" width="11.375" style="877" customWidth="1"/>
    <col min="2520" max="2520" width="14.75" style="877" bestFit="1" customWidth="1"/>
    <col min="2521" max="2521" width="13.25" style="877" customWidth="1"/>
    <col min="2522" max="2523" width="14.625" style="877" customWidth="1"/>
    <col min="2524" max="2526" width="13.125" style="877" customWidth="1"/>
    <col min="2527" max="2563" width="17.25" style="877" customWidth="1"/>
    <col min="2564" max="2564" width="14.75" style="877" bestFit="1" customWidth="1"/>
    <col min="2565" max="2565" width="13.75" style="877" customWidth="1"/>
    <col min="2566" max="2566" width="15.25" style="877" customWidth="1"/>
    <col min="2567" max="2567" width="13.125" style="877" customWidth="1"/>
    <col min="2568" max="2568" width="11.875" style="877" customWidth="1"/>
    <col min="2569" max="2569" width="13.25" style="877" customWidth="1"/>
    <col min="2570" max="2570" width="12.625" style="877" customWidth="1"/>
    <col min="2571" max="2571" width="13" style="877" bestFit="1" customWidth="1"/>
    <col min="2572" max="2572" width="13.375" style="877" bestFit="1" customWidth="1"/>
    <col min="2573" max="2573" width="19.375" style="877" customWidth="1"/>
    <col min="2574" max="2574" width="12.75" style="877" bestFit="1" customWidth="1"/>
    <col min="2575" max="2575" width="13" style="877" bestFit="1" customWidth="1"/>
    <col min="2576" max="2576" width="13.375" style="877" bestFit="1" customWidth="1"/>
    <col min="2577" max="2577" width="16.625" style="877" customWidth="1"/>
    <col min="2578" max="2578" width="13.125" style="877" customWidth="1"/>
    <col min="2579" max="2579" width="15.125" style="877" bestFit="1" customWidth="1"/>
    <col min="2580" max="2580" width="16.625" style="877" bestFit="1" customWidth="1"/>
    <col min="2581" max="2581" width="14.375" style="877" customWidth="1"/>
    <col min="2582" max="2582" width="13.25" style="877" bestFit="1" customWidth="1"/>
    <col min="2583" max="2583" width="13" style="877" bestFit="1" customWidth="1"/>
    <col min="2584" max="2591" width="13" style="877" customWidth="1"/>
    <col min="2592" max="2592" width="13" style="877" bestFit="1" customWidth="1"/>
    <col min="2593" max="2593" width="15.875" style="877" customWidth="1"/>
    <col min="2594" max="2594" width="12.75" style="877" bestFit="1" customWidth="1"/>
    <col min="2595" max="2596" width="13" style="877" bestFit="1" customWidth="1"/>
    <col min="2597" max="2597" width="14.375" style="877" customWidth="1"/>
    <col min="2598" max="2598" width="12.75" style="877" bestFit="1" customWidth="1"/>
    <col min="2599" max="2600" width="13" style="877" bestFit="1" customWidth="1"/>
    <col min="2601" max="2601" width="15.125" style="877" customWidth="1"/>
    <col min="2602" max="2604" width="13" style="877" bestFit="1" customWidth="1"/>
    <col min="2605" max="2605" width="13.75" style="877" customWidth="1"/>
    <col min="2606" max="2607" width="13" style="877" bestFit="1" customWidth="1"/>
    <col min="2608" max="2608" width="13.125" style="877" customWidth="1"/>
    <col min="2609" max="2609" width="15.875" style="877" customWidth="1"/>
    <col min="2610" max="2610" width="13" style="877" customWidth="1"/>
    <col min="2611" max="2611" width="13" style="877" bestFit="1" customWidth="1"/>
    <col min="2612" max="2612" width="21" style="877" customWidth="1"/>
    <col min="2613" max="2613" width="15.75" style="877" customWidth="1"/>
    <col min="2614" max="2614" width="13.375" style="877" customWidth="1"/>
    <col min="2615" max="2615" width="13" style="877" bestFit="1" customWidth="1"/>
    <col min="2616" max="2619" width="13" style="877" customWidth="1"/>
    <col min="2620" max="2620" width="13.375" style="877" bestFit="1" customWidth="1"/>
    <col min="2621" max="2621" width="14.375" style="877" customWidth="1"/>
    <col min="2622" max="2622" width="13.375" style="877" customWidth="1"/>
    <col min="2623" max="2627" width="12.625" style="877" customWidth="1"/>
    <col min="2628" max="2628" width="13.375" style="877" bestFit="1" customWidth="1"/>
    <col min="2629" max="2629" width="14" style="877" customWidth="1"/>
    <col min="2630" max="2630" width="13.375" style="877" bestFit="1" customWidth="1"/>
    <col min="2631" max="2631" width="13" style="877" bestFit="1" customWidth="1"/>
    <col min="2632" max="2633" width="13.75" style="877" customWidth="1"/>
    <col min="2634" max="2634" width="13.125" style="877" customWidth="1"/>
    <col min="2635" max="2635" width="12.25" style="877" customWidth="1"/>
    <col min="2636" max="2636" width="13.375" style="877" bestFit="1" customWidth="1"/>
    <col min="2637" max="2637" width="17" style="877" customWidth="1"/>
    <col min="2638" max="2638" width="13.25" style="877" bestFit="1" customWidth="1"/>
    <col min="2639" max="2639" width="13" style="877" bestFit="1" customWidth="1"/>
    <col min="2640" max="2640" width="12.75" style="877" bestFit="1" customWidth="1"/>
    <col min="2641" max="2641" width="14.75" style="877" customWidth="1"/>
    <col min="2642" max="2642" width="11.875" style="877" bestFit="1" customWidth="1"/>
    <col min="2643" max="2643" width="13" style="877" bestFit="1" customWidth="1"/>
    <col min="2644" max="2644" width="15.125" style="877" bestFit="1" customWidth="1"/>
    <col min="2645" max="2645" width="14" style="877" customWidth="1"/>
    <col min="2646" max="2646" width="12" style="877" bestFit="1" customWidth="1"/>
    <col min="2647" max="2647" width="11.375" style="877" customWidth="1"/>
    <col min="2648" max="2648" width="12.75" style="877" bestFit="1" customWidth="1"/>
    <col min="2649" max="2649" width="11.375" style="877" customWidth="1"/>
    <col min="2650" max="2651" width="13" style="877" bestFit="1" customWidth="1"/>
    <col min="2652" max="2652" width="12.75" style="877" bestFit="1" customWidth="1"/>
    <col min="2653" max="2653" width="18.25" style="877" customWidth="1"/>
    <col min="2654" max="2654" width="12.625" style="877" bestFit="1" customWidth="1"/>
    <col min="2655" max="2655" width="13" style="877" bestFit="1" customWidth="1"/>
    <col min="2656" max="2656" width="13" style="877" customWidth="1"/>
    <col min="2657" max="2657" width="14.375" style="877" customWidth="1"/>
    <col min="2658" max="2659" width="13" style="877" customWidth="1"/>
    <col min="2660" max="2660" width="13.25" style="877" customWidth="1"/>
    <col min="2661" max="2661" width="15.75" style="877" customWidth="1"/>
    <col min="2662" max="2662" width="12" style="877" bestFit="1" customWidth="1"/>
    <col min="2663" max="2664" width="12.25" style="877" customWidth="1"/>
    <col min="2665" max="2665" width="15.875" style="877" customWidth="1"/>
    <col min="2666" max="2668" width="12.25" style="877" customWidth="1"/>
    <col min="2669" max="2669" width="14.875" style="877" customWidth="1"/>
    <col min="2670" max="2672" width="12.25" style="877" customWidth="1"/>
    <col min="2673" max="2673" width="13.75" style="877" customWidth="1"/>
    <col min="2674" max="2675" width="12.25" style="877" customWidth="1"/>
    <col min="2676" max="2676" width="18.125" style="877" customWidth="1"/>
    <col min="2677" max="2677" width="16.25" style="877" customWidth="1"/>
    <col min="2678" max="2678" width="15" style="877" customWidth="1"/>
    <col min="2679" max="2679" width="9.125" style="877"/>
    <col min="2680" max="2680" width="13.375" style="877" bestFit="1" customWidth="1"/>
    <col min="2681" max="2752" width="9.125" style="877"/>
    <col min="2753" max="2753" width="3.75" style="877" customWidth="1"/>
    <col min="2754" max="2754" width="17" style="877" customWidth="1"/>
    <col min="2755" max="2755" width="13" style="877" customWidth="1"/>
    <col min="2756" max="2756" width="18.75" style="877" customWidth="1"/>
    <col min="2757" max="2757" width="14.125" style="877" customWidth="1"/>
    <col min="2758" max="2758" width="12.875" style="877" customWidth="1"/>
    <col min="2759" max="2759" width="11.75" style="877" customWidth="1"/>
    <col min="2760" max="2760" width="12.875" style="877" customWidth="1"/>
    <col min="2761" max="2761" width="14.875" style="877" customWidth="1"/>
    <col min="2762" max="2762" width="13" style="877" customWidth="1"/>
    <col min="2763" max="2763" width="11.25" style="877" customWidth="1"/>
    <col min="2764" max="2764" width="14.875" style="877" customWidth="1"/>
    <col min="2765" max="2765" width="14.375" style="877" customWidth="1"/>
    <col min="2766" max="2766" width="13.375" style="877" customWidth="1"/>
    <col min="2767" max="2767" width="11.375" style="877" customWidth="1"/>
    <col min="2768" max="2768" width="12.875" style="877" customWidth="1"/>
    <col min="2769" max="2769" width="11.375" style="877" customWidth="1"/>
    <col min="2770" max="2770" width="13.125" style="877" customWidth="1"/>
    <col min="2771" max="2771" width="12.125" style="877" customWidth="1"/>
    <col min="2772" max="2772" width="13.875" style="877" customWidth="1"/>
    <col min="2773" max="2773" width="14" style="877" customWidth="1"/>
    <col min="2774" max="2774" width="13.25" style="877" customWidth="1"/>
    <col min="2775" max="2775" width="11.375" style="877" customWidth="1"/>
    <col min="2776" max="2776" width="14.75" style="877" bestFit="1" customWidth="1"/>
    <col min="2777" max="2777" width="13.25" style="877" customWidth="1"/>
    <col min="2778" max="2779" width="14.625" style="877" customWidth="1"/>
    <col min="2780" max="2782" width="13.125" style="877" customWidth="1"/>
    <col min="2783" max="2819" width="17.25" style="877" customWidth="1"/>
    <col min="2820" max="2820" width="14.75" style="877" bestFit="1" customWidth="1"/>
    <col min="2821" max="2821" width="13.75" style="877" customWidth="1"/>
    <col min="2822" max="2822" width="15.25" style="877" customWidth="1"/>
    <col min="2823" max="2823" width="13.125" style="877" customWidth="1"/>
    <col min="2824" max="2824" width="11.875" style="877" customWidth="1"/>
    <col min="2825" max="2825" width="13.25" style="877" customWidth="1"/>
    <col min="2826" max="2826" width="12.625" style="877" customWidth="1"/>
    <col min="2827" max="2827" width="13" style="877" bestFit="1" customWidth="1"/>
    <col min="2828" max="2828" width="13.375" style="877" bestFit="1" customWidth="1"/>
    <col min="2829" max="2829" width="19.375" style="877" customWidth="1"/>
    <col min="2830" max="2830" width="12.75" style="877" bestFit="1" customWidth="1"/>
    <col min="2831" max="2831" width="13" style="877" bestFit="1" customWidth="1"/>
    <col min="2832" max="2832" width="13.375" style="877" bestFit="1" customWidth="1"/>
    <col min="2833" max="2833" width="16.625" style="877" customWidth="1"/>
    <col min="2834" max="2834" width="13.125" style="877" customWidth="1"/>
    <col min="2835" max="2835" width="15.125" style="877" bestFit="1" customWidth="1"/>
    <col min="2836" max="2836" width="16.625" style="877" bestFit="1" customWidth="1"/>
    <col min="2837" max="2837" width="14.375" style="877" customWidth="1"/>
    <col min="2838" max="2838" width="13.25" style="877" bestFit="1" customWidth="1"/>
    <col min="2839" max="2839" width="13" style="877" bestFit="1" customWidth="1"/>
    <col min="2840" max="2847" width="13" style="877" customWidth="1"/>
    <col min="2848" max="2848" width="13" style="877" bestFit="1" customWidth="1"/>
    <col min="2849" max="2849" width="15.875" style="877" customWidth="1"/>
    <col min="2850" max="2850" width="12.75" style="877" bestFit="1" customWidth="1"/>
    <col min="2851" max="2852" width="13" style="877" bestFit="1" customWidth="1"/>
    <col min="2853" max="2853" width="14.375" style="877" customWidth="1"/>
    <col min="2854" max="2854" width="12.75" style="877" bestFit="1" customWidth="1"/>
    <col min="2855" max="2856" width="13" style="877" bestFit="1" customWidth="1"/>
    <col min="2857" max="2857" width="15.125" style="877" customWidth="1"/>
    <col min="2858" max="2860" width="13" style="877" bestFit="1" customWidth="1"/>
    <col min="2861" max="2861" width="13.75" style="877" customWidth="1"/>
    <col min="2862" max="2863" width="13" style="877" bestFit="1" customWidth="1"/>
    <col min="2864" max="2864" width="13.125" style="877" customWidth="1"/>
    <col min="2865" max="2865" width="15.875" style="877" customWidth="1"/>
    <col min="2866" max="2866" width="13" style="877" customWidth="1"/>
    <col min="2867" max="2867" width="13" style="877" bestFit="1" customWidth="1"/>
    <col min="2868" max="2868" width="21" style="877" customWidth="1"/>
    <col min="2869" max="2869" width="15.75" style="877" customWidth="1"/>
    <col min="2870" max="2870" width="13.375" style="877" customWidth="1"/>
    <col min="2871" max="2871" width="13" style="877" bestFit="1" customWidth="1"/>
    <col min="2872" max="2875" width="13" style="877" customWidth="1"/>
    <col min="2876" max="2876" width="13.375" style="877" bestFit="1" customWidth="1"/>
    <col min="2877" max="2877" width="14.375" style="877" customWidth="1"/>
    <col min="2878" max="2878" width="13.375" style="877" customWidth="1"/>
    <col min="2879" max="2883" width="12.625" style="877" customWidth="1"/>
    <col min="2884" max="2884" width="13.375" style="877" bestFit="1" customWidth="1"/>
    <col min="2885" max="2885" width="14" style="877" customWidth="1"/>
    <col min="2886" max="2886" width="13.375" style="877" bestFit="1" customWidth="1"/>
    <col min="2887" max="2887" width="13" style="877" bestFit="1" customWidth="1"/>
    <col min="2888" max="2889" width="13.75" style="877" customWidth="1"/>
    <col min="2890" max="2890" width="13.125" style="877" customWidth="1"/>
    <col min="2891" max="2891" width="12.25" style="877" customWidth="1"/>
    <col min="2892" max="2892" width="13.375" style="877" bestFit="1" customWidth="1"/>
    <col min="2893" max="2893" width="17" style="877" customWidth="1"/>
    <col min="2894" max="2894" width="13.25" style="877" bestFit="1" customWidth="1"/>
    <col min="2895" max="2895" width="13" style="877" bestFit="1" customWidth="1"/>
    <col min="2896" max="2896" width="12.75" style="877" bestFit="1" customWidth="1"/>
    <col min="2897" max="2897" width="14.75" style="877" customWidth="1"/>
    <col min="2898" max="2898" width="11.875" style="877" bestFit="1" customWidth="1"/>
    <col min="2899" max="2899" width="13" style="877" bestFit="1" customWidth="1"/>
    <col min="2900" max="2900" width="15.125" style="877" bestFit="1" customWidth="1"/>
    <col min="2901" max="2901" width="14" style="877" customWidth="1"/>
    <col min="2902" max="2902" width="12" style="877" bestFit="1" customWidth="1"/>
    <col min="2903" max="2903" width="11.375" style="877" customWidth="1"/>
    <col min="2904" max="2904" width="12.75" style="877" bestFit="1" customWidth="1"/>
    <col min="2905" max="2905" width="11.375" style="877" customWidth="1"/>
    <col min="2906" max="2907" width="13" style="877" bestFit="1" customWidth="1"/>
    <col min="2908" max="2908" width="12.75" style="877" bestFit="1" customWidth="1"/>
    <col min="2909" max="2909" width="18.25" style="877" customWidth="1"/>
    <col min="2910" max="2910" width="12.625" style="877" bestFit="1" customWidth="1"/>
    <col min="2911" max="2911" width="13" style="877" bestFit="1" customWidth="1"/>
    <col min="2912" max="2912" width="13" style="877" customWidth="1"/>
    <col min="2913" max="2913" width="14.375" style="877" customWidth="1"/>
    <col min="2914" max="2915" width="13" style="877" customWidth="1"/>
    <col min="2916" max="2916" width="13.25" style="877" customWidth="1"/>
    <col min="2917" max="2917" width="15.75" style="877" customWidth="1"/>
    <col min="2918" max="2918" width="12" style="877" bestFit="1" customWidth="1"/>
    <col min="2919" max="2920" width="12.25" style="877" customWidth="1"/>
    <col min="2921" max="2921" width="15.875" style="877" customWidth="1"/>
    <col min="2922" max="2924" width="12.25" style="877" customWidth="1"/>
    <col min="2925" max="2925" width="14.875" style="877" customWidth="1"/>
    <col min="2926" max="2928" width="12.25" style="877" customWidth="1"/>
    <col min="2929" max="2929" width="13.75" style="877" customWidth="1"/>
    <col min="2930" max="2931" width="12.25" style="877" customWidth="1"/>
    <col min="2932" max="2932" width="18.125" style="877" customWidth="1"/>
    <col min="2933" max="2933" width="16.25" style="877" customWidth="1"/>
    <col min="2934" max="2934" width="15" style="877" customWidth="1"/>
    <col min="2935" max="2935" width="9.125" style="877"/>
    <col min="2936" max="2936" width="13.375" style="877" bestFit="1" customWidth="1"/>
    <col min="2937" max="3008" width="9.125" style="877"/>
    <col min="3009" max="3009" width="3.75" style="877" customWidth="1"/>
    <col min="3010" max="3010" width="17" style="877" customWidth="1"/>
    <col min="3011" max="3011" width="13" style="877" customWidth="1"/>
    <col min="3012" max="3012" width="18.75" style="877" customWidth="1"/>
    <col min="3013" max="3013" width="14.125" style="877" customWidth="1"/>
    <col min="3014" max="3014" width="12.875" style="877" customWidth="1"/>
    <col min="3015" max="3015" width="11.75" style="877" customWidth="1"/>
    <col min="3016" max="3016" width="12.875" style="877" customWidth="1"/>
    <col min="3017" max="3017" width="14.875" style="877" customWidth="1"/>
    <col min="3018" max="3018" width="13" style="877" customWidth="1"/>
    <col min="3019" max="3019" width="11.25" style="877" customWidth="1"/>
    <col min="3020" max="3020" width="14.875" style="877" customWidth="1"/>
    <col min="3021" max="3021" width="14.375" style="877" customWidth="1"/>
    <col min="3022" max="3022" width="13.375" style="877" customWidth="1"/>
    <col min="3023" max="3023" width="11.375" style="877" customWidth="1"/>
    <col min="3024" max="3024" width="12.875" style="877" customWidth="1"/>
    <col min="3025" max="3025" width="11.375" style="877" customWidth="1"/>
    <col min="3026" max="3026" width="13.125" style="877" customWidth="1"/>
    <col min="3027" max="3027" width="12.125" style="877" customWidth="1"/>
    <col min="3028" max="3028" width="13.875" style="877" customWidth="1"/>
    <col min="3029" max="3029" width="14" style="877" customWidth="1"/>
    <col min="3030" max="3030" width="13.25" style="877" customWidth="1"/>
    <col min="3031" max="3031" width="11.375" style="877" customWidth="1"/>
    <col min="3032" max="3032" width="14.75" style="877" bestFit="1" customWidth="1"/>
    <col min="3033" max="3033" width="13.25" style="877" customWidth="1"/>
    <col min="3034" max="3035" width="14.625" style="877" customWidth="1"/>
    <col min="3036" max="3038" width="13.125" style="877" customWidth="1"/>
    <col min="3039" max="3075" width="17.25" style="877" customWidth="1"/>
    <col min="3076" max="3076" width="14.75" style="877" bestFit="1" customWidth="1"/>
    <col min="3077" max="3077" width="13.75" style="877" customWidth="1"/>
    <col min="3078" max="3078" width="15.25" style="877" customWidth="1"/>
    <col min="3079" max="3079" width="13.125" style="877" customWidth="1"/>
    <col min="3080" max="3080" width="11.875" style="877" customWidth="1"/>
    <col min="3081" max="3081" width="13.25" style="877" customWidth="1"/>
    <col min="3082" max="3082" width="12.625" style="877" customWidth="1"/>
    <col min="3083" max="3083" width="13" style="877" bestFit="1" customWidth="1"/>
    <col min="3084" max="3084" width="13.375" style="877" bestFit="1" customWidth="1"/>
    <col min="3085" max="3085" width="19.375" style="877" customWidth="1"/>
    <col min="3086" max="3086" width="12.75" style="877" bestFit="1" customWidth="1"/>
    <col min="3087" max="3087" width="13" style="877" bestFit="1" customWidth="1"/>
    <col min="3088" max="3088" width="13.375" style="877" bestFit="1" customWidth="1"/>
    <col min="3089" max="3089" width="16.625" style="877" customWidth="1"/>
    <col min="3090" max="3090" width="13.125" style="877" customWidth="1"/>
    <col min="3091" max="3091" width="15.125" style="877" bestFit="1" customWidth="1"/>
    <col min="3092" max="3092" width="16.625" style="877" bestFit="1" customWidth="1"/>
    <col min="3093" max="3093" width="14.375" style="877" customWidth="1"/>
    <col min="3094" max="3094" width="13.25" style="877" bestFit="1" customWidth="1"/>
    <col min="3095" max="3095" width="13" style="877" bestFit="1" customWidth="1"/>
    <col min="3096" max="3103" width="13" style="877" customWidth="1"/>
    <col min="3104" max="3104" width="13" style="877" bestFit="1" customWidth="1"/>
    <col min="3105" max="3105" width="15.875" style="877" customWidth="1"/>
    <col min="3106" max="3106" width="12.75" style="877" bestFit="1" customWidth="1"/>
    <col min="3107" max="3108" width="13" style="877" bestFit="1" customWidth="1"/>
    <col min="3109" max="3109" width="14.375" style="877" customWidth="1"/>
    <col min="3110" max="3110" width="12.75" style="877" bestFit="1" customWidth="1"/>
    <col min="3111" max="3112" width="13" style="877" bestFit="1" customWidth="1"/>
    <col min="3113" max="3113" width="15.125" style="877" customWidth="1"/>
    <col min="3114" max="3116" width="13" style="877" bestFit="1" customWidth="1"/>
    <col min="3117" max="3117" width="13.75" style="877" customWidth="1"/>
    <col min="3118" max="3119" width="13" style="877" bestFit="1" customWidth="1"/>
    <col min="3120" max="3120" width="13.125" style="877" customWidth="1"/>
    <col min="3121" max="3121" width="15.875" style="877" customWidth="1"/>
    <col min="3122" max="3122" width="13" style="877" customWidth="1"/>
    <col min="3123" max="3123" width="13" style="877" bestFit="1" customWidth="1"/>
    <col min="3124" max="3124" width="21" style="877" customWidth="1"/>
    <col min="3125" max="3125" width="15.75" style="877" customWidth="1"/>
    <col min="3126" max="3126" width="13.375" style="877" customWidth="1"/>
    <col min="3127" max="3127" width="13" style="877" bestFit="1" customWidth="1"/>
    <col min="3128" max="3131" width="13" style="877" customWidth="1"/>
    <col min="3132" max="3132" width="13.375" style="877" bestFit="1" customWidth="1"/>
    <col min="3133" max="3133" width="14.375" style="877" customWidth="1"/>
    <col min="3134" max="3134" width="13.375" style="877" customWidth="1"/>
    <col min="3135" max="3139" width="12.625" style="877" customWidth="1"/>
    <col min="3140" max="3140" width="13.375" style="877" bestFit="1" customWidth="1"/>
    <col min="3141" max="3141" width="14" style="877" customWidth="1"/>
    <col min="3142" max="3142" width="13.375" style="877" bestFit="1" customWidth="1"/>
    <col min="3143" max="3143" width="13" style="877" bestFit="1" customWidth="1"/>
    <col min="3144" max="3145" width="13.75" style="877" customWidth="1"/>
    <col min="3146" max="3146" width="13.125" style="877" customWidth="1"/>
    <col min="3147" max="3147" width="12.25" style="877" customWidth="1"/>
    <col min="3148" max="3148" width="13.375" style="877" bestFit="1" customWidth="1"/>
    <col min="3149" max="3149" width="17" style="877" customWidth="1"/>
    <col min="3150" max="3150" width="13.25" style="877" bestFit="1" customWidth="1"/>
    <col min="3151" max="3151" width="13" style="877" bestFit="1" customWidth="1"/>
    <col min="3152" max="3152" width="12.75" style="877" bestFit="1" customWidth="1"/>
    <col min="3153" max="3153" width="14.75" style="877" customWidth="1"/>
    <col min="3154" max="3154" width="11.875" style="877" bestFit="1" customWidth="1"/>
    <col min="3155" max="3155" width="13" style="877" bestFit="1" customWidth="1"/>
    <col min="3156" max="3156" width="15.125" style="877" bestFit="1" customWidth="1"/>
    <col min="3157" max="3157" width="14" style="877" customWidth="1"/>
    <col min="3158" max="3158" width="12" style="877" bestFit="1" customWidth="1"/>
    <col min="3159" max="3159" width="11.375" style="877" customWidth="1"/>
    <col min="3160" max="3160" width="12.75" style="877" bestFit="1" customWidth="1"/>
    <col min="3161" max="3161" width="11.375" style="877" customWidth="1"/>
    <col min="3162" max="3163" width="13" style="877" bestFit="1" customWidth="1"/>
    <col min="3164" max="3164" width="12.75" style="877" bestFit="1" customWidth="1"/>
    <col min="3165" max="3165" width="18.25" style="877" customWidth="1"/>
    <col min="3166" max="3166" width="12.625" style="877" bestFit="1" customWidth="1"/>
    <col min="3167" max="3167" width="13" style="877" bestFit="1" customWidth="1"/>
    <col min="3168" max="3168" width="13" style="877" customWidth="1"/>
    <col min="3169" max="3169" width="14.375" style="877" customWidth="1"/>
    <col min="3170" max="3171" width="13" style="877" customWidth="1"/>
    <col min="3172" max="3172" width="13.25" style="877" customWidth="1"/>
    <col min="3173" max="3173" width="15.75" style="877" customWidth="1"/>
    <col min="3174" max="3174" width="12" style="877" bestFit="1" customWidth="1"/>
    <col min="3175" max="3176" width="12.25" style="877" customWidth="1"/>
    <col min="3177" max="3177" width="15.875" style="877" customWidth="1"/>
    <col min="3178" max="3180" width="12.25" style="877" customWidth="1"/>
    <col min="3181" max="3181" width="14.875" style="877" customWidth="1"/>
    <col min="3182" max="3184" width="12.25" style="877" customWidth="1"/>
    <col min="3185" max="3185" width="13.75" style="877" customWidth="1"/>
    <col min="3186" max="3187" width="12.25" style="877" customWidth="1"/>
    <col min="3188" max="3188" width="18.125" style="877" customWidth="1"/>
    <col min="3189" max="3189" width="16.25" style="877" customWidth="1"/>
    <col min="3190" max="3190" width="15" style="877" customWidth="1"/>
    <col min="3191" max="3191" width="9.125" style="877"/>
    <col min="3192" max="3192" width="13.375" style="877" bestFit="1" customWidth="1"/>
    <col min="3193" max="3264" width="9.125" style="877"/>
    <col min="3265" max="3265" width="3.75" style="877" customWidth="1"/>
    <col min="3266" max="3266" width="17" style="877" customWidth="1"/>
    <col min="3267" max="3267" width="13" style="877" customWidth="1"/>
    <col min="3268" max="3268" width="18.75" style="877" customWidth="1"/>
    <col min="3269" max="3269" width="14.125" style="877" customWidth="1"/>
    <col min="3270" max="3270" width="12.875" style="877" customWidth="1"/>
    <col min="3271" max="3271" width="11.75" style="877" customWidth="1"/>
    <col min="3272" max="3272" width="12.875" style="877" customWidth="1"/>
    <col min="3273" max="3273" width="14.875" style="877" customWidth="1"/>
    <col min="3274" max="3274" width="13" style="877" customWidth="1"/>
    <col min="3275" max="3275" width="11.25" style="877" customWidth="1"/>
    <col min="3276" max="3276" width="14.875" style="877" customWidth="1"/>
    <col min="3277" max="3277" width="14.375" style="877" customWidth="1"/>
    <col min="3278" max="3278" width="13.375" style="877" customWidth="1"/>
    <col min="3279" max="3279" width="11.375" style="877" customWidth="1"/>
    <col min="3280" max="3280" width="12.875" style="877" customWidth="1"/>
    <col min="3281" max="3281" width="11.375" style="877" customWidth="1"/>
    <col min="3282" max="3282" width="13.125" style="877" customWidth="1"/>
    <col min="3283" max="3283" width="12.125" style="877" customWidth="1"/>
    <col min="3284" max="3284" width="13.875" style="877" customWidth="1"/>
    <col min="3285" max="3285" width="14" style="877" customWidth="1"/>
    <col min="3286" max="3286" width="13.25" style="877" customWidth="1"/>
    <col min="3287" max="3287" width="11.375" style="877" customWidth="1"/>
    <col min="3288" max="3288" width="14.75" style="877" bestFit="1" customWidth="1"/>
    <col min="3289" max="3289" width="13.25" style="877" customWidth="1"/>
    <col min="3290" max="3291" width="14.625" style="877" customWidth="1"/>
    <col min="3292" max="3294" width="13.125" style="877" customWidth="1"/>
    <col min="3295" max="3331" width="17.25" style="877" customWidth="1"/>
    <col min="3332" max="3332" width="14.75" style="877" bestFit="1" customWidth="1"/>
    <col min="3333" max="3333" width="13.75" style="877" customWidth="1"/>
    <col min="3334" max="3334" width="15.25" style="877" customWidth="1"/>
    <col min="3335" max="3335" width="13.125" style="877" customWidth="1"/>
    <col min="3336" max="3336" width="11.875" style="877" customWidth="1"/>
    <col min="3337" max="3337" width="13.25" style="877" customWidth="1"/>
    <col min="3338" max="3338" width="12.625" style="877" customWidth="1"/>
    <col min="3339" max="3339" width="13" style="877" bestFit="1" customWidth="1"/>
    <col min="3340" max="3340" width="13.375" style="877" bestFit="1" customWidth="1"/>
    <col min="3341" max="3341" width="19.375" style="877" customWidth="1"/>
    <col min="3342" max="3342" width="12.75" style="877" bestFit="1" customWidth="1"/>
    <col min="3343" max="3343" width="13" style="877" bestFit="1" customWidth="1"/>
    <col min="3344" max="3344" width="13.375" style="877" bestFit="1" customWidth="1"/>
    <col min="3345" max="3345" width="16.625" style="877" customWidth="1"/>
    <col min="3346" max="3346" width="13.125" style="877" customWidth="1"/>
    <col min="3347" max="3347" width="15.125" style="877" bestFit="1" customWidth="1"/>
    <col min="3348" max="3348" width="16.625" style="877" bestFit="1" customWidth="1"/>
    <col min="3349" max="3349" width="14.375" style="877" customWidth="1"/>
    <col min="3350" max="3350" width="13.25" style="877" bestFit="1" customWidth="1"/>
    <col min="3351" max="3351" width="13" style="877" bestFit="1" customWidth="1"/>
    <col min="3352" max="3359" width="13" style="877" customWidth="1"/>
    <col min="3360" max="3360" width="13" style="877" bestFit="1" customWidth="1"/>
    <col min="3361" max="3361" width="15.875" style="877" customWidth="1"/>
    <col min="3362" max="3362" width="12.75" style="877" bestFit="1" customWidth="1"/>
    <col min="3363" max="3364" width="13" style="877" bestFit="1" customWidth="1"/>
    <col min="3365" max="3365" width="14.375" style="877" customWidth="1"/>
    <col min="3366" max="3366" width="12.75" style="877" bestFit="1" customWidth="1"/>
    <col min="3367" max="3368" width="13" style="877" bestFit="1" customWidth="1"/>
    <col min="3369" max="3369" width="15.125" style="877" customWidth="1"/>
    <col min="3370" max="3372" width="13" style="877" bestFit="1" customWidth="1"/>
    <col min="3373" max="3373" width="13.75" style="877" customWidth="1"/>
    <col min="3374" max="3375" width="13" style="877" bestFit="1" customWidth="1"/>
    <col min="3376" max="3376" width="13.125" style="877" customWidth="1"/>
    <col min="3377" max="3377" width="15.875" style="877" customWidth="1"/>
    <col min="3378" max="3378" width="13" style="877" customWidth="1"/>
    <col min="3379" max="3379" width="13" style="877" bestFit="1" customWidth="1"/>
    <col min="3380" max="3380" width="21" style="877" customWidth="1"/>
    <col min="3381" max="3381" width="15.75" style="877" customWidth="1"/>
    <col min="3382" max="3382" width="13.375" style="877" customWidth="1"/>
    <col min="3383" max="3383" width="13" style="877" bestFit="1" customWidth="1"/>
    <col min="3384" max="3387" width="13" style="877" customWidth="1"/>
    <col min="3388" max="3388" width="13.375" style="877" bestFit="1" customWidth="1"/>
    <col min="3389" max="3389" width="14.375" style="877" customWidth="1"/>
    <col min="3390" max="3390" width="13.375" style="877" customWidth="1"/>
    <col min="3391" max="3395" width="12.625" style="877" customWidth="1"/>
    <col min="3396" max="3396" width="13.375" style="877" bestFit="1" customWidth="1"/>
    <col min="3397" max="3397" width="14" style="877" customWidth="1"/>
    <col min="3398" max="3398" width="13.375" style="877" bestFit="1" customWidth="1"/>
    <col min="3399" max="3399" width="13" style="877" bestFit="1" customWidth="1"/>
    <col min="3400" max="3401" width="13.75" style="877" customWidth="1"/>
    <col min="3402" max="3402" width="13.125" style="877" customWidth="1"/>
    <col min="3403" max="3403" width="12.25" style="877" customWidth="1"/>
    <col min="3404" max="3404" width="13.375" style="877" bestFit="1" customWidth="1"/>
    <col min="3405" max="3405" width="17" style="877" customWidth="1"/>
    <col min="3406" max="3406" width="13.25" style="877" bestFit="1" customWidth="1"/>
    <col min="3407" max="3407" width="13" style="877" bestFit="1" customWidth="1"/>
    <col min="3408" max="3408" width="12.75" style="877" bestFit="1" customWidth="1"/>
    <col min="3409" max="3409" width="14.75" style="877" customWidth="1"/>
    <col min="3410" max="3410" width="11.875" style="877" bestFit="1" customWidth="1"/>
    <col min="3411" max="3411" width="13" style="877" bestFit="1" customWidth="1"/>
    <col min="3412" max="3412" width="15.125" style="877" bestFit="1" customWidth="1"/>
    <col min="3413" max="3413" width="14" style="877" customWidth="1"/>
    <col min="3414" max="3414" width="12" style="877" bestFit="1" customWidth="1"/>
    <col min="3415" max="3415" width="11.375" style="877" customWidth="1"/>
    <col min="3416" max="3416" width="12.75" style="877" bestFit="1" customWidth="1"/>
    <col min="3417" max="3417" width="11.375" style="877" customWidth="1"/>
    <col min="3418" max="3419" width="13" style="877" bestFit="1" customWidth="1"/>
    <col min="3420" max="3420" width="12.75" style="877" bestFit="1" customWidth="1"/>
    <col min="3421" max="3421" width="18.25" style="877" customWidth="1"/>
    <col min="3422" max="3422" width="12.625" style="877" bestFit="1" customWidth="1"/>
    <col min="3423" max="3423" width="13" style="877" bestFit="1" customWidth="1"/>
    <col min="3424" max="3424" width="13" style="877" customWidth="1"/>
    <col min="3425" max="3425" width="14.375" style="877" customWidth="1"/>
    <col min="3426" max="3427" width="13" style="877" customWidth="1"/>
    <col min="3428" max="3428" width="13.25" style="877" customWidth="1"/>
    <col min="3429" max="3429" width="15.75" style="877" customWidth="1"/>
    <col min="3430" max="3430" width="12" style="877" bestFit="1" customWidth="1"/>
    <col min="3431" max="3432" width="12.25" style="877" customWidth="1"/>
    <col min="3433" max="3433" width="15.875" style="877" customWidth="1"/>
    <col min="3434" max="3436" width="12.25" style="877" customWidth="1"/>
    <col min="3437" max="3437" width="14.875" style="877" customWidth="1"/>
    <col min="3438" max="3440" width="12.25" style="877" customWidth="1"/>
    <col min="3441" max="3441" width="13.75" style="877" customWidth="1"/>
    <col min="3442" max="3443" width="12.25" style="877" customWidth="1"/>
    <col min="3444" max="3444" width="18.125" style="877" customWidth="1"/>
    <col min="3445" max="3445" width="16.25" style="877" customWidth="1"/>
    <col min="3446" max="3446" width="15" style="877" customWidth="1"/>
    <col min="3447" max="3447" width="9.125" style="877"/>
    <col min="3448" max="3448" width="13.375" style="877" bestFit="1" customWidth="1"/>
    <col min="3449" max="3520" width="9.125" style="877"/>
    <col min="3521" max="3521" width="3.75" style="877" customWidth="1"/>
    <col min="3522" max="3522" width="17" style="877" customWidth="1"/>
    <col min="3523" max="3523" width="13" style="877" customWidth="1"/>
    <col min="3524" max="3524" width="18.75" style="877" customWidth="1"/>
    <col min="3525" max="3525" width="14.125" style="877" customWidth="1"/>
    <col min="3526" max="3526" width="12.875" style="877" customWidth="1"/>
    <col min="3527" max="3527" width="11.75" style="877" customWidth="1"/>
    <col min="3528" max="3528" width="12.875" style="877" customWidth="1"/>
    <col min="3529" max="3529" width="14.875" style="877" customWidth="1"/>
    <col min="3530" max="3530" width="13" style="877" customWidth="1"/>
    <col min="3531" max="3531" width="11.25" style="877" customWidth="1"/>
    <col min="3532" max="3532" width="14.875" style="877" customWidth="1"/>
    <col min="3533" max="3533" width="14.375" style="877" customWidth="1"/>
    <col min="3534" max="3534" width="13.375" style="877" customWidth="1"/>
    <col min="3535" max="3535" width="11.375" style="877" customWidth="1"/>
    <col min="3536" max="3536" width="12.875" style="877" customWidth="1"/>
    <col min="3537" max="3537" width="11.375" style="877" customWidth="1"/>
    <col min="3538" max="3538" width="13.125" style="877" customWidth="1"/>
    <col min="3539" max="3539" width="12.125" style="877" customWidth="1"/>
    <col min="3540" max="3540" width="13.875" style="877" customWidth="1"/>
    <col min="3541" max="3541" width="14" style="877" customWidth="1"/>
    <col min="3542" max="3542" width="13.25" style="877" customWidth="1"/>
    <col min="3543" max="3543" width="11.375" style="877" customWidth="1"/>
    <col min="3544" max="3544" width="14.75" style="877" bestFit="1" customWidth="1"/>
    <col min="3545" max="3545" width="13.25" style="877" customWidth="1"/>
    <col min="3546" max="3547" width="14.625" style="877" customWidth="1"/>
    <col min="3548" max="3550" width="13.125" style="877" customWidth="1"/>
    <col min="3551" max="3587" width="17.25" style="877" customWidth="1"/>
    <col min="3588" max="3588" width="14.75" style="877" bestFit="1" customWidth="1"/>
    <col min="3589" max="3589" width="13.75" style="877" customWidth="1"/>
    <col min="3590" max="3590" width="15.25" style="877" customWidth="1"/>
    <col min="3591" max="3591" width="13.125" style="877" customWidth="1"/>
    <col min="3592" max="3592" width="11.875" style="877" customWidth="1"/>
    <col min="3593" max="3593" width="13.25" style="877" customWidth="1"/>
    <col min="3594" max="3594" width="12.625" style="877" customWidth="1"/>
    <col min="3595" max="3595" width="13" style="877" bestFit="1" customWidth="1"/>
    <col min="3596" max="3596" width="13.375" style="877" bestFit="1" customWidth="1"/>
    <col min="3597" max="3597" width="19.375" style="877" customWidth="1"/>
    <col min="3598" max="3598" width="12.75" style="877" bestFit="1" customWidth="1"/>
    <col min="3599" max="3599" width="13" style="877" bestFit="1" customWidth="1"/>
    <col min="3600" max="3600" width="13.375" style="877" bestFit="1" customWidth="1"/>
    <col min="3601" max="3601" width="16.625" style="877" customWidth="1"/>
    <col min="3602" max="3602" width="13.125" style="877" customWidth="1"/>
    <col min="3603" max="3603" width="15.125" style="877" bestFit="1" customWidth="1"/>
    <col min="3604" max="3604" width="16.625" style="877" bestFit="1" customWidth="1"/>
    <col min="3605" max="3605" width="14.375" style="877" customWidth="1"/>
    <col min="3606" max="3606" width="13.25" style="877" bestFit="1" customWidth="1"/>
    <col min="3607" max="3607" width="13" style="877" bestFit="1" customWidth="1"/>
    <col min="3608" max="3615" width="13" style="877" customWidth="1"/>
    <col min="3616" max="3616" width="13" style="877" bestFit="1" customWidth="1"/>
    <col min="3617" max="3617" width="15.875" style="877" customWidth="1"/>
    <col min="3618" max="3618" width="12.75" style="877" bestFit="1" customWidth="1"/>
    <col min="3619" max="3620" width="13" style="877" bestFit="1" customWidth="1"/>
    <col min="3621" max="3621" width="14.375" style="877" customWidth="1"/>
    <col min="3622" max="3622" width="12.75" style="877" bestFit="1" customWidth="1"/>
    <col min="3623" max="3624" width="13" style="877" bestFit="1" customWidth="1"/>
    <col min="3625" max="3625" width="15.125" style="877" customWidth="1"/>
    <col min="3626" max="3628" width="13" style="877" bestFit="1" customWidth="1"/>
    <col min="3629" max="3629" width="13.75" style="877" customWidth="1"/>
    <col min="3630" max="3631" width="13" style="877" bestFit="1" customWidth="1"/>
    <col min="3632" max="3632" width="13.125" style="877" customWidth="1"/>
    <col min="3633" max="3633" width="15.875" style="877" customWidth="1"/>
    <col min="3634" max="3634" width="13" style="877" customWidth="1"/>
    <col min="3635" max="3635" width="13" style="877" bestFit="1" customWidth="1"/>
    <col min="3636" max="3636" width="21" style="877" customWidth="1"/>
    <col min="3637" max="3637" width="15.75" style="877" customWidth="1"/>
    <col min="3638" max="3638" width="13.375" style="877" customWidth="1"/>
    <col min="3639" max="3639" width="13" style="877" bestFit="1" customWidth="1"/>
    <col min="3640" max="3643" width="13" style="877" customWidth="1"/>
    <col min="3644" max="3644" width="13.375" style="877" bestFit="1" customWidth="1"/>
    <col min="3645" max="3645" width="14.375" style="877" customWidth="1"/>
    <col min="3646" max="3646" width="13.375" style="877" customWidth="1"/>
    <col min="3647" max="3651" width="12.625" style="877" customWidth="1"/>
    <col min="3652" max="3652" width="13.375" style="877" bestFit="1" customWidth="1"/>
    <col min="3653" max="3653" width="14" style="877" customWidth="1"/>
    <col min="3654" max="3654" width="13.375" style="877" bestFit="1" customWidth="1"/>
    <col min="3655" max="3655" width="13" style="877" bestFit="1" customWidth="1"/>
    <col min="3656" max="3657" width="13.75" style="877" customWidth="1"/>
    <col min="3658" max="3658" width="13.125" style="877" customWidth="1"/>
    <col min="3659" max="3659" width="12.25" style="877" customWidth="1"/>
    <col min="3660" max="3660" width="13.375" style="877" bestFit="1" customWidth="1"/>
    <col min="3661" max="3661" width="17" style="877" customWidth="1"/>
    <col min="3662" max="3662" width="13.25" style="877" bestFit="1" customWidth="1"/>
    <col min="3663" max="3663" width="13" style="877" bestFit="1" customWidth="1"/>
    <col min="3664" max="3664" width="12.75" style="877" bestFit="1" customWidth="1"/>
    <col min="3665" max="3665" width="14.75" style="877" customWidth="1"/>
    <col min="3666" max="3666" width="11.875" style="877" bestFit="1" customWidth="1"/>
    <col min="3667" max="3667" width="13" style="877" bestFit="1" customWidth="1"/>
    <col min="3668" max="3668" width="15.125" style="877" bestFit="1" customWidth="1"/>
    <col min="3669" max="3669" width="14" style="877" customWidth="1"/>
    <col min="3670" max="3670" width="12" style="877" bestFit="1" customWidth="1"/>
    <col min="3671" max="3671" width="11.375" style="877" customWidth="1"/>
    <col min="3672" max="3672" width="12.75" style="877" bestFit="1" customWidth="1"/>
    <col min="3673" max="3673" width="11.375" style="877" customWidth="1"/>
    <col min="3674" max="3675" width="13" style="877" bestFit="1" customWidth="1"/>
    <col min="3676" max="3676" width="12.75" style="877" bestFit="1" customWidth="1"/>
    <col min="3677" max="3677" width="18.25" style="877" customWidth="1"/>
    <col min="3678" max="3678" width="12.625" style="877" bestFit="1" customWidth="1"/>
    <col min="3679" max="3679" width="13" style="877" bestFit="1" customWidth="1"/>
    <col min="3680" max="3680" width="13" style="877" customWidth="1"/>
    <col min="3681" max="3681" width="14.375" style="877" customWidth="1"/>
    <col min="3682" max="3683" width="13" style="877" customWidth="1"/>
    <col min="3684" max="3684" width="13.25" style="877" customWidth="1"/>
    <col min="3685" max="3685" width="15.75" style="877" customWidth="1"/>
    <col min="3686" max="3686" width="12" style="877" bestFit="1" customWidth="1"/>
    <col min="3687" max="3688" width="12.25" style="877" customWidth="1"/>
    <col min="3689" max="3689" width="15.875" style="877" customWidth="1"/>
    <col min="3690" max="3692" width="12.25" style="877" customWidth="1"/>
    <col min="3693" max="3693" width="14.875" style="877" customWidth="1"/>
    <col min="3694" max="3696" width="12.25" style="877" customWidth="1"/>
    <col min="3697" max="3697" width="13.75" style="877" customWidth="1"/>
    <col min="3698" max="3699" width="12.25" style="877" customWidth="1"/>
    <col min="3700" max="3700" width="18.125" style="877" customWidth="1"/>
    <col min="3701" max="3701" width="16.25" style="877" customWidth="1"/>
    <col min="3702" max="3702" width="15" style="877" customWidth="1"/>
    <col min="3703" max="3703" width="9.125" style="877"/>
    <col min="3704" max="3704" width="13.375" style="877" bestFit="1" customWidth="1"/>
    <col min="3705" max="3776" width="9.125" style="877"/>
    <col min="3777" max="3777" width="3.75" style="877" customWidth="1"/>
    <col min="3778" max="3778" width="17" style="877" customWidth="1"/>
    <col min="3779" max="3779" width="13" style="877" customWidth="1"/>
    <col min="3780" max="3780" width="18.75" style="877" customWidth="1"/>
    <col min="3781" max="3781" width="14.125" style="877" customWidth="1"/>
    <col min="3782" max="3782" width="12.875" style="877" customWidth="1"/>
    <col min="3783" max="3783" width="11.75" style="877" customWidth="1"/>
    <col min="3784" max="3784" width="12.875" style="877" customWidth="1"/>
    <col min="3785" max="3785" width="14.875" style="877" customWidth="1"/>
    <col min="3786" max="3786" width="13" style="877" customWidth="1"/>
    <col min="3787" max="3787" width="11.25" style="877" customWidth="1"/>
    <col min="3788" max="3788" width="14.875" style="877" customWidth="1"/>
    <col min="3789" max="3789" width="14.375" style="877" customWidth="1"/>
    <col min="3790" max="3790" width="13.375" style="877" customWidth="1"/>
    <col min="3791" max="3791" width="11.375" style="877" customWidth="1"/>
    <col min="3792" max="3792" width="12.875" style="877" customWidth="1"/>
    <col min="3793" max="3793" width="11.375" style="877" customWidth="1"/>
    <col min="3794" max="3794" width="13.125" style="877" customWidth="1"/>
    <col min="3795" max="3795" width="12.125" style="877" customWidth="1"/>
    <col min="3796" max="3796" width="13.875" style="877" customWidth="1"/>
    <col min="3797" max="3797" width="14" style="877" customWidth="1"/>
    <col min="3798" max="3798" width="13.25" style="877" customWidth="1"/>
    <col min="3799" max="3799" width="11.375" style="877" customWidth="1"/>
    <col min="3800" max="3800" width="14.75" style="877" bestFit="1" customWidth="1"/>
    <col min="3801" max="3801" width="13.25" style="877" customWidth="1"/>
    <col min="3802" max="3803" width="14.625" style="877" customWidth="1"/>
    <col min="3804" max="3806" width="13.125" style="877" customWidth="1"/>
    <col min="3807" max="3843" width="17.25" style="877" customWidth="1"/>
    <col min="3844" max="3844" width="14.75" style="877" bestFit="1" customWidth="1"/>
    <col min="3845" max="3845" width="13.75" style="877" customWidth="1"/>
    <col min="3846" max="3846" width="15.25" style="877" customWidth="1"/>
    <col min="3847" max="3847" width="13.125" style="877" customWidth="1"/>
    <col min="3848" max="3848" width="11.875" style="877" customWidth="1"/>
    <col min="3849" max="3849" width="13.25" style="877" customWidth="1"/>
    <col min="3850" max="3850" width="12.625" style="877" customWidth="1"/>
    <col min="3851" max="3851" width="13" style="877" bestFit="1" customWidth="1"/>
    <col min="3852" max="3852" width="13.375" style="877" bestFit="1" customWidth="1"/>
    <col min="3853" max="3853" width="19.375" style="877" customWidth="1"/>
    <col min="3854" max="3854" width="12.75" style="877" bestFit="1" customWidth="1"/>
    <col min="3855" max="3855" width="13" style="877" bestFit="1" customWidth="1"/>
    <col min="3856" max="3856" width="13.375" style="877" bestFit="1" customWidth="1"/>
    <col min="3857" max="3857" width="16.625" style="877" customWidth="1"/>
    <col min="3858" max="3858" width="13.125" style="877" customWidth="1"/>
    <col min="3859" max="3859" width="15.125" style="877" bestFit="1" customWidth="1"/>
    <col min="3860" max="3860" width="16.625" style="877" bestFit="1" customWidth="1"/>
    <col min="3861" max="3861" width="14.375" style="877" customWidth="1"/>
    <col min="3862" max="3862" width="13.25" style="877" bestFit="1" customWidth="1"/>
    <col min="3863" max="3863" width="13" style="877" bestFit="1" customWidth="1"/>
    <col min="3864" max="3871" width="13" style="877" customWidth="1"/>
    <col min="3872" max="3872" width="13" style="877" bestFit="1" customWidth="1"/>
    <col min="3873" max="3873" width="15.875" style="877" customWidth="1"/>
    <col min="3874" max="3874" width="12.75" style="877" bestFit="1" customWidth="1"/>
    <col min="3875" max="3876" width="13" style="877" bestFit="1" customWidth="1"/>
    <col min="3877" max="3877" width="14.375" style="877" customWidth="1"/>
    <col min="3878" max="3878" width="12.75" style="877" bestFit="1" customWidth="1"/>
    <col min="3879" max="3880" width="13" style="877" bestFit="1" customWidth="1"/>
    <col min="3881" max="3881" width="15.125" style="877" customWidth="1"/>
    <col min="3882" max="3884" width="13" style="877" bestFit="1" customWidth="1"/>
    <col min="3885" max="3885" width="13.75" style="877" customWidth="1"/>
    <col min="3886" max="3887" width="13" style="877" bestFit="1" customWidth="1"/>
    <col min="3888" max="3888" width="13.125" style="877" customWidth="1"/>
    <col min="3889" max="3889" width="15.875" style="877" customWidth="1"/>
    <col min="3890" max="3890" width="13" style="877" customWidth="1"/>
    <col min="3891" max="3891" width="13" style="877" bestFit="1" customWidth="1"/>
    <col min="3892" max="3892" width="21" style="877" customWidth="1"/>
    <col min="3893" max="3893" width="15.75" style="877" customWidth="1"/>
    <col min="3894" max="3894" width="13.375" style="877" customWidth="1"/>
    <col min="3895" max="3895" width="13" style="877" bestFit="1" customWidth="1"/>
    <col min="3896" max="3899" width="13" style="877" customWidth="1"/>
    <col min="3900" max="3900" width="13.375" style="877" bestFit="1" customWidth="1"/>
    <col min="3901" max="3901" width="14.375" style="877" customWidth="1"/>
    <col min="3902" max="3902" width="13.375" style="877" customWidth="1"/>
    <col min="3903" max="3907" width="12.625" style="877" customWidth="1"/>
    <col min="3908" max="3908" width="13.375" style="877" bestFit="1" customWidth="1"/>
    <col min="3909" max="3909" width="14" style="877" customWidth="1"/>
    <col min="3910" max="3910" width="13.375" style="877" bestFit="1" customWidth="1"/>
    <col min="3911" max="3911" width="13" style="877" bestFit="1" customWidth="1"/>
    <col min="3912" max="3913" width="13.75" style="877" customWidth="1"/>
    <col min="3914" max="3914" width="13.125" style="877" customWidth="1"/>
    <col min="3915" max="3915" width="12.25" style="877" customWidth="1"/>
    <col min="3916" max="3916" width="13.375" style="877" bestFit="1" customWidth="1"/>
    <col min="3917" max="3917" width="17" style="877" customWidth="1"/>
    <col min="3918" max="3918" width="13.25" style="877" bestFit="1" customWidth="1"/>
    <col min="3919" max="3919" width="13" style="877" bestFit="1" customWidth="1"/>
    <col min="3920" max="3920" width="12.75" style="877" bestFit="1" customWidth="1"/>
    <col min="3921" max="3921" width="14.75" style="877" customWidth="1"/>
    <col min="3922" max="3922" width="11.875" style="877" bestFit="1" customWidth="1"/>
    <col min="3923" max="3923" width="13" style="877" bestFit="1" customWidth="1"/>
    <col min="3924" max="3924" width="15.125" style="877" bestFit="1" customWidth="1"/>
    <col min="3925" max="3925" width="14" style="877" customWidth="1"/>
    <col min="3926" max="3926" width="12" style="877" bestFit="1" customWidth="1"/>
    <col min="3927" max="3927" width="11.375" style="877" customWidth="1"/>
    <col min="3928" max="3928" width="12.75" style="877" bestFit="1" customWidth="1"/>
    <col min="3929" max="3929" width="11.375" style="877" customWidth="1"/>
    <col min="3930" max="3931" width="13" style="877" bestFit="1" customWidth="1"/>
    <col min="3932" max="3932" width="12.75" style="877" bestFit="1" customWidth="1"/>
    <col min="3933" max="3933" width="18.25" style="877" customWidth="1"/>
    <col min="3934" max="3934" width="12.625" style="877" bestFit="1" customWidth="1"/>
    <col min="3935" max="3935" width="13" style="877" bestFit="1" customWidth="1"/>
    <col min="3936" max="3936" width="13" style="877" customWidth="1"/>
    <col min="3937" max="3937" width="14.375" style="877" customWidth="1"/>
    <col min="3938" max="3939" width="13" style="877" customWidth="1"/>
    <col min="3940" max="3940" width="13.25" style="877" customWidth="1"/>
    <col min="3941" max="3941" width="15.75" style="877" customWidth="1"/>
    <col min="3942" max="3942" width="12" style="877" bestFit="1" customWidth="1"/>
    <col min="3943" max="3944" width="12.25" style="877" customWidth="1"/>
    <col min="3945" max="3945" width="15.875" style="877" customWidth="1"/>
    <col min="3946" max="3948" width="12.25" style="877" customWidth="1"/>
    <col min="3949" max="3949" width="14.875" style="877" customWidth="1"/>
    <col min="3950" max="3952" width="12.25" style="877" customWidth="1"/>
    <col min="3953" max="3953" width="13.75" style="877" customWidth="1"/>
    <col min="3954" max="3955" width="12.25" style="877" customWidth="1"/>
    <col min="3956" max="3956" width="18.125" style="877" customWidth="1"/>
    <col min="3957" max="3957" width="16.25" style="877" customWidth="1"/>
    <col min="3958" max="3958" width="15" style="877" customWidth="1"/>
    <col min="3959" max="3959" width="9.125" style="877"/>
    <col min="3960" max="3960" width="13.375" style="877" bestFit="1" customWidth="1"/>
    <col min="3961" max="4032" width="9.125" style="877"/>
    <col min="4033" max="4033" width="3.75" style="877" customWidth="1"/>
    <col min="4034" max="4034" width="17" style="877" customWidth="1"/>
    <col min="4035" max="4035" width="13" style="877" customWidth="1"/>
    <col min="4036" max="4036" width="18.75" style="877" customWidth="1"/>
    <col min="4037" max="4037" width="14.125" style="877" customWidth="1"/>
    <col min="4038" max="4038" width="12.875" style="877" customWidth="1"/>
    <col min="4039" max="4039" width="11.75" style="877" customWidth="1"/>
    <col min="4040" max="4040" width="12.875" style="877" customWidth="1"/>
    <col min="4041" max="4041" width="14.875" style="877" customWidth="1"/>
    <col min="4042" max="4042" width="13" style="877" customWidth="1"/>
    <col min="4043" max="4043" width="11.25" style="877" customWidth="1"/>
    <col min="4044" max="4044" width="14.875" style="877" customWidth="1"/>
    <col min="4045" max="4045" width="14.375" style="877" customWidth="1"/>
    <col min="4046" max="4046" width="13.375" style="877" customWidth="1"/>
    <col min="4047" max="4047" width="11.375" style="877" customWidth="1"/>
    <col min="4048" max="4048" width="12.875" style="877" customWidth="1"/>
    <col min="4049" max="4049" width="11.375" style="877" customWidth="1"/>
    <col min="4050" max="4050" width="13.125" style="877" customWidth="1"/>
    <col min="4051" max="4051" width="12.125" style="877" customWidth="1"/>
    <col min="4052" max="4052" width="13.875" style="877" customWidth="1"/>
    <col min="4053" max="4053" width="14" style="877" customWidth="1"/>
    <col min="4054" max="4054" width="13.25" style="877" customWidth="1"/>
    <col min="4055" max="4055" width="11.375" style="877" customWidth="1"/>
    <col min="4056" max="4056" width="14.75" style="877" bestFit="1" customWidth="1"/>
    <col min="4057" max="4057" width="13.25" style="877" customWidth="1"/>
    <col min="4058" max="4059" width="14.625" style="877" customWidth="1"/>
    <col min="4060" max="4062" width="13.125" style="877" customWidth="1"/>
    <col min="4063" max="4099" width="17.25" style="877" customWidth="1"/>
    <col min="4100" max="4100" width="14.75" style="877" bestFit="1" customWidth="1"/>
    <col min="4101" max="4101" width="13.75" style="877" customWidth="1"/>
    <col min="4102" max="4102" width="15.25" style="877" customWidth="1"/>
    <col min="4103" max="4103" width="13.125" style="877" customWidth="1"/>
    <col min="4104" max="4104" width="11.875" style="877" customWidth="1"/>
    <col min="4105" max="4105" width="13.25" style="877" customWidth="1"/>
    <col min="4106" max="4106" width="12.625" style="877" customWidth="1"/>
    <col min="4107" max="4107" width="13" style="877" bestFit="1" customWidth="1"/>
    <col min="4108" max="4108" width="13.375" style="877" bestFit="1" customWidth="1"/>
    <col min="4109" max="4109" width="19.375" style="877" customWidth="1"/>
    <col min="4110" max="4110" width="12.75" style="877" bestFit="1" customWidth="1"/>
    <col min="4111" max="4111" width="13" style="877" bestFit="1" customWidth="1"/>
    <col min="4112" max="4112" width="13.375" style="877" bestFit="1" customWidth="1"/>
    <col min="4113" max="4113" width="16.625" style="877" customWidth="1"/>
    <col min="4114" max="4114" width="13.125" style="877" customWidth="1"/>
    <col min="4115" max="4115" width="15.125" style="877" bestFit="1" customWidth="1"/>
    <col min="4116" max="4116" width="16.625" style="877" bestFit="1" customWidth="1"/>
    <col min="4117" max="4117" width="14.375" style="877" customWidth="1"/>
    <col min="4118" max="4118" width="13.25" style="877" bestFit="1" customWidth="1"/>
    <col min="4119" max="4119" width="13" style="877" bestFit="1" customWidth="1"/>
    <col min="4120" max="4127" width="13" style="877" customWidth="1"/>
    <col min="4128" max="4128" width="13" style="877" bestFit="1" customWidth="1"/>
    <col min="4129" max="4129" width="15.875" style="877" customWidth="1"/>
    <col min="4130" max="4130" width="12.75" style="877" bestFit="1" customWidth="1"/>
    <col min="4131" max="4132" width="13" style="877" bestFit="1" customWidth="1"/>
    <col min="4133" max="4133" width="14.375" style="877" customWidth="1"/>
    <col min="4134" max="4134" width="12.75" style="877" bestFit="1" customWidth="1"/>
    <col min="4135" max="4136" width="13" style="877" bestFit="1" customWidth="1"/>
    <col min="4137" max="4137" width="15.125" style="877" customWidth="1"/>
    <col min="4138" max="4140" width="13" style="877" bestFit="1" customWidth="1"/>
    <col min="4141" max="4141" width="13.75" style="877" customWidth="1"/>
    <col min="4142" max="4143" width="13" style="877" bestFit="1" customWidth="1"/>
    <col min="4144" max="4144" width="13.125" style="877" customWidth="1"/>
    <col min="4145" max="4145" width="15.875" style="877" customWidth="1"/>
    <col min="4146" max="4146" width="13" style="877" customWidth="1"/>
    <col min="4147" max="4147" width="13" style="877" bestFit="1" customWidth="1"/>
    <col min="4148" max="4148" width="21" style="877" customWidth="1"/>
    <col min="4149" max="4149" width="15.75" style="877" customWidth="1"/>
    <col min="4150" max="4150" width="13.375" style="877" customWidth="1"/>
    <col min="4151" max="4151" width="13" style="877" bestFit="1" customWidth="1"/>
    <col min="4152" max="4155" width="13" style="877" customWidth="1"/>
    <col min="4156" max="4156" width="13.375" style="877" bestFit="1" customWidth="1"/>
    <col min="4157" max="4157" width="14.375" style="877" customWidth="1"/>
    <col min="4158" max="4158" width="13.375" style="877" customWidth="1"/>
    <col min="4159" max="4163" width="12.625" style="877" customWidth="1"/>
    <col min="4164" max="4164" width="13.375" style="877" bestFit="1" customWidth="1"/>
    <col min="4165" max="4165" width="14" style="877" customWidth="1"/>
    <col min="4166" max="4166" width="13.375" style="877" bestFit="1" customWidth="1"/>
    <col min="4167" max="4167" width="13" style="877" bestFit="1" customWidth="1"/>
    <col min="4168" max="4169" width="13.75" style="877" customWidth="1"/>
    <col min="4170" max="4170" width="13.125" style="877" customWidth="1"/>
    <col min="4171" max="4171" width="12.25" style="877" customWidth="1"/>
    <col min="4172" max="4172" width="13.375" style="877" bestFit="1" customWidth="1"/>
    <col min="4173" max="4173" width="17" style="877" customWidth="1"/>
    <col min="4174" max="4174" width="13.25" style="877" bestFit="1" customWidth="1"/>
    <col min="4175" max="4175" width="13" style="877" bestFit="1" customWidth="1"/>
    <col min="4176" max="4176" width="12.75" style="877" bestFit="1" customWidth="1"/>
    <col min="4177" max="4177" width="14.75" style="877" customWidth="1"/>
    <col min="4178" max="4178" width="11.875" style="877" bestFit="1" customWidth="1"/>
    <col min="4179" max="4179" width="13" style="877" bestFit="1" customWidth="1"/>
    <col min="4180" max="4180" width="15.125" style="877" bestFit="1" customWidth="1"/>
    <col min="4181" max="4181" width="14" style="877" customWidth="1"/>
    <col min="4182" max="4182" width="12" style="877" bestFit="1" customWidth="1"/>
    <col min="4183" max="4183" width="11.375" style="877" customWidth="1"/>
    <col min="4184" max="4184" width="12.75" style="877" bestFit="1" customWidth="1"/>
    <col min="4185" max="4185" width="11.375" style="877" customWidth="1"/>
    <col min="4186" max="4187" width="13" style="877" bestFit="1" customWidth="1"/>
    <col min="4188" max="4188" width="12.75" style="877" bestFit="1" customWidth="1"/>
    <col min="4189" max="4189" width="18.25" style="877" customWidth="1"/>
    <col min="4190" max="4190" width="12.625" style="877" bestFit="1" customWidth="1"/>
    <col min="4191" max="4191" width="13" style="877" bestFit="1" customWidth="1"/>
    <col min="4192" max="4192" width="13" style="877" customWidth="1"/>
    <col min="4193" max="4193" width="14.375" style="877" customWidth="1"/>
    <col min="4194" max="4195" width="13" style="877" customWidth="1"/>
    <col min="4196" max="4196" width="13.25" style="877" customWidth="1"/>
    <col min="4197" max="4197" width="15.75" style="877" customWidth="1"/>
    <col min="4198" max="4198" width="12" style="877" bestFit="1" customWidth="1"/>
    <col min="4199" max="4200" width="12.25" style="877" customWidth="1"/>
    <col min="4201" max="4201" width="15.875" style="877" customWidth="1"/>
    <col min="4202" max="4204" width="12.25" style="877" customWidth="1"/>
    <col min="4205" max="4205" width="14.875" style="877" customWidth="1"/>
    <col min="4206" max="4208" width="12.25" style="877" customWidth="1"/>
    <col min="4209" max="4209" width="13.75" style="877" customWidth="1"/>
    <col min="4210" max="4211" width="12.25" style="877" customWidth="1"/>
    <col min="4212" max="4212" width="18.125" style="877" customWidth="1"/>
    <col min="4213" max="4213" width="16.25" style="877" customWidth="1"/>
    <col min="4214" max="4214" width="15" style="877" customWidth="1"/>
    <col min="4215" max="4215" width="9.125" style="877"/>
    <col min="4216" max="4216" width="13.375" style="877" bestFit="1" customWidth="1"/>
    <col min="4217" max="4288" width="9.125" style="877"/>
    <col min="4289" max="4289" width="3.75" style="877" customWidth="1"/>
    <col min="4290" max="4290" width="17" style="877" customWidth="1"/>
    <col min="4291" max="4291" width="13" style="877" customWidth="1"/>
    <col min="4292" max="4292" width="18.75" style="877" customWidth="1"/>
    <col min="4293" max="4293" width="14.125" style="877" customWidth="1"/>
    <col min="4294" max="4294" width="12.875" style="877" customWidth="1"/>
    <col min="4295" max="4295" width="11.75" style="877" customWidth="1"/>
    <col min="4296" max="4296" width="12.875" style="877" customWidth="1"/>
    <col min="4297" max="4297" width="14.875" style="877" customWidth="1"/>
    <col min="4298" max="4298" width="13" style="877" customWidth="1"/>
    <col min="4299" max="4299" width="11.25" style="877" customWidth="1"/>
    <col min="4300" max="4300" width="14.875" style="877" customWidth="1"/>
    <col min="4301" max="4301" width="14.375" style="877" customWidth="1"/>
    <col min="4302" max="4302" width="13.375" style="877" customWidth="1"/>
    <col min="4303" max="4303" width="11.375" style="877" customWidth="1"/>
    <col min="4304" max="4304" width="12.875" style="877" customWidth="1"/>
    <col min="4305" max="4305" width="11.375" style="877" customWidth="1"/>
    <col min="4306" max="4306" width="13.125" style="877" customWidth="1"/>
    <col min="4307" max="4307" width="12.125" style="877" customWidth="1"/>
    <col min="4308" max="4308" width="13.875" style="877" customWidth="1"/>
    <col min="4309" max="4309" width="14" style="877" customWidth="1"/>
    <col min="4310" max="4310" width="13.25" style="877" customWidth="1"/>
    <col min="4311" max="4311" width="11.375" style="877" customWidth="1"/>
    <col min="4312" max="4312" width="14.75" style="877" bestFit="1" customWidth="1"/>
    <col min="4313" max="4313" width="13.25" style="877" customWidth="1"/>
    <col min="4314" max="4315" width="14.625" style="877" customWidth="1"/>
    <col min="4316" max="4318" width="13.125" style="877" customWidth="1"/>
    <col min="4319" max="4355" width="17.25" style="877" customWidth="1"/>
    <col min="4356" max="4356" width="14.75" style="877" bestFit="1" customWidth="1"/>
    <col min="4357" max="4357" width="13.75" style="877" customWidth="1"/>
    <col min="4358" max="4358" width="15.25" style="877" customWidth="1"/>
    <col min="4359" max="4359" width="13.125" style="877" customWidth="1"/>
    <col min="4360" max="4360" width="11.875" style="877" customWidth="1"/>
    <col min="4361" max="4361" width="13.25" style="877" customWidth="1"/>
    <col min="4362" max="4362" width="12.625" style="877" customWidth="1"/>
    <col min="4363" max="4363" width="13" style="877" bestFit="1" customWidth="1"/>
    <col min="4364" max="4364" width="13.375" style="877" bestFit="1" customWidth="1"/>
    <col min="4365" max="4365" width="19.375" style="877" customWidth="1"/>
    <col min="4366" max="4366" width="12.75" style="877" bestFit="1" customWidth="1"/>
    <col min="4367" max="4367" width="13" style="877" bestFit="1" customWidth="1"/>
    <col min="4368" max="4368" width="13.375" style="877" bestFit="1" customWidth="1"/>
    <col min="4369" max="4369" width="16.625" style="877" customWidth="1"/>
    <col min="4370" max="4370" width="13.125" style="877" customWidth="1"/>
    <col min="4371" max="4371" width="15.125" style="877" bestFit="1" customWidth="1"/>
    <col min="4372" max="4372" width="16.625" style="877" bestFit="1" customWidth="1"/>
    <col min="4373" max="4373" width="14.375" style="877" customWidth="1"/>
    <col min="4374" max="4374" width="13.25" style="877" bestFit="1" customWidth="1"/>
    <col min="4375" max="4375" width="13" style="877" bestFit="1" customWidth="1"/>
    <col min="4376" max="4383" width="13" style="877" customWidth="1"/>
    <col min="4384" max="4384" width="13" style="877" bestFit="1" customWidth="1"/>
    <col min="4385" max="4385" width="15.875" style="877" customWidth="1"/>
    <col min="4386" max="4386" width="12.75" style="877" bestFit="1" customWidth="1"/>
    <col min="4387" max="4388" width="13" style="877" bestFit="1" customWidth="1"/>
    <col min="4389" max="4389" width="14.375" style="877" customWidth="1"/>
    <col min="4390" max="4390" width="12.75" style="877" bestFit="1" customWidth="1"/>
    <col min="4391" max="4392" width="13" style="877" bestFit="1" customWidth="1"/>
    <col min="4393" max="4393" width="15.125" style="877" customWidth="1"/>
    <col min="4394" max="4396" width="13" style="877" bestFit="1" customWidth="1"/>
    <col min="4397" max="4397" width="13.75" style="877" customWidth="1"/>
    <col min="4398" max="4399" width="13" style="877" bestFit="1" customWidth="1"/>
    <col min="4400" max="4400" width="13.125" style="877" customWidth="1"/>
    <col min="4401" max="4401" width="15.875" style="877" customWidth="1"/>
    <col min="4402" max="4402" width="13" style="877" customWidth="1"/>
    <col min="4403" max="4403" width="13" style="877" bestFit="1" customWidth="1"/>
    <col min="4404" max="4404" width="21" style="877" customWidth="1"/>
    <col min="4405" max="4405" width="15.75" style="877" customWidth="1"/>
    <col min="4406" max="4406" width="13.375" style="877" customWidth="1"/>
    <col min="4407" max="4407" width="13" style="877" bestFit="1" customWidth="1"/>
    <col min="4408" max="4411" width="13" style="877" customWidth="1"/>
    <col min="4412" max="4412" width="13.375" style="877" bestFit="1" customWidth="1"/>
    <col min="4413" max="4413" width="14.375" style="877" customWidth="1"/>
    <col min="4414" max="4414" width="13.375" style="877" customWidth="1"/>
    <col min="4415" max="4419" width="12.625" style="877" customWidth="1"/>
    <col min="4420" max="4420" width="13.375" style="877" bestFit="1" customWidth="1"/>
    <col min="4421" max="4421" width="14" style="877" customWidth="1"/>
    <col min="4422" max="4422" width="13.375" style="877" bestFit="1" customWidth="1"/>
    <col min="4423" max="4423" width="13" style="877" bestFit="1" customWidth="1"/>
    <col min="4424" max="4425" width="13.75" style="877" customWidth="1"/>
    <col min="4426" max="4426" width="13.125" style="877" customWidth="1"/>
    <col min="4427" max="4427" width="12.25" style="877" customWidth="1"/>
    <col min="4428" max="4428" width="13.375" style="877" bestFit="1" customWidth="1"/>
    <col min="4429" max="4429" width="17" style="877" customWidth="1"/>
    <col min="4430" max="4430" width="13.25" style="877" bestFit="1" customWidth="1"/>
    <col min="4431" max="4431" width="13" style="877" bestFit="1" customWidth="1"/>
    <col min="4432" max="4432" width="12.75" style="877" bestFit="1" customWidth="1"/>
    <col min="4433" max="4433" width="14.75" style="877" customWidth="1"/>
    <col min="4434" max="4434" width="11.875" style="877" bestFit="1" customWidth="1"/>
    <col min="4435" max="4435" width="13" style="877" bestFit="1" customWidth="1"/>
    <col min="4436" max="4436" width="15.125" style="877" bestFit="1" customWidth="1"/>
    <col min="4437" max="4437" width="14" style="877" customWidth="1"/>
    <col min="4438" max="4438" width="12" style="877" bestFit="1" customWidth="1"/>
    <col min="4439" max="4439" width="11.375" style="877" customWidth="1"/>
    <col min="4440" max="4440" width="12.75" style="877" bestFit="1" customWidth="1"/>
    <col min="4441" max="4441" width="11.375" style="877" customWidth="1"/>
    <col min="4442" max="4443" width="13" style="877" bestFit="1" customWidth="1"/>
    <col min="4444" max="4444" width="12.75" style="877" bestFit="1" customWidth="1"/>
    <col min="4445" max="4445" width="18.25" style="877" customWidth="1"/>
    <col min="4446" max="4446" width="12.625" style="877" bestFit="1" customWidth="1"/>
    <col min="4447" max="4447" width="13" style="877" bestFit="1" customWidth="1"/>
    <col min="4448" max="4448" width="13" style="877" customWidth="1"/>
    <col min="4449" max="4449" width="14.375" style="877" customWidth="1"/>
    <col min="4450" max="4451" width="13" style="877" customWidth="1"/>
    <col min="4452" max="4452" width="13.25" style="877" customWidth="1"/>
    <col min="4453" max="4453" width="15.75" style="877" customWidth="1"/>
    <col min="4454" max="4454" width="12" style="877" bestFit="1" customWidth="1"/>
    <col min="4455" max="4456" width="12.25" style="877" customWidth="1"/>
    <col min="4457" max="4457" width="15.875" style="877" customWidth="1"/>
    <col min="4458" max="4460" width="12.25" style="877" customWidth="1"/>
    <col min="4461" max="4461" width="14.875" style="877" customWidth="1"/>
    <col min="4462" max="4464" width="12.25" style="877" customWidth="1"/>
    <col min="4465" max="4465" width="13.75" style="877" customWidth="1"/>
    <col min="4466" max="4467" width="12.25" style="877" customWidth="1"/>
    <col min="4468" max="4468" width="18.125" style="877" customWidth="1"/>
    <col min="4469" max="4469" width="16.25" style="877" customWidth="1"/>
    <col min="4470" max="4470" width="15" style="877" customWidth="1"/>
    <col min="4471" max="4471" width="9.125" style="877"/>
    <col min="4472" max="4472" width="13.375" style="877" bestFit="1" customWidth="1"/>
    <col min="4473" max="4544" width="9.125" style="877"/>
    <col min="4545" max="4545" width="3.75" style="877" customWidth="1"/>
    <col min="4546" max="4546" width="17" style="877" customWidth="1"/>
    <col min="4547" max="4547" width="13" style="877" customWidth="1"/>
    <col min="4548" max="4548" width="18.75" style="877" customWidth="1"/>
    <col min="4549" max="4549" width="14.125" style="877" customWidth="1"/>
    <col min="4550" max="4550" width="12.875" style="877" customWidth="1"/>
    <col min="4551" max="4551" width="11.75" style="877" customWidth="1"/>
    <col min="4552" max="4552" width="12.875" style="877" customWidth="1"/>
    <col min="4553" max="4553" width="14.875" style="877" customWidth="1"/>
    <col min="4554" max="4554" width="13" style="877" customWidth="1"/>
    <col min="4555" max="4555" width="11.25" style="877" customWidth="1"/>
    <col min="4556" max="4556" width="14.875" style="877" customWidth="1"/>
    <col min="4557" max="4557" width="14.375" style="877" customWidth="1"/>
    <col min="4558" max="4558" width="13.375" style="877" customWidth="1"/>
    <col min="4559" max="4559" width="11.375" style="877" customWidth="1"/>
    <col min="4560" max="4560" width="12.875" style="877" customWidth="1"/>
    <col min="4561" max="4561" width="11.375" style="877" customWidth="1"/>
    <col min="4562" max="4562" width="13.125" style="877" customWidth="1"/>
    <col min="4563" max="4563" width="12.125" style="877" customWidth="1"/>
    <col min="4564" max="4564" width="13.875" style="877" customWidth="1"/>
    <col min="4565" max="4565" width="14" style="877" customWidth="1"/>
    <col min="4566" max="4566" width="13.25" style="877" customWidth="1"/>
    <col min="4567" max="4567" width="11.375" style="877" customWidth="1"/>
    <col min="4568" max="4568" width="14.75" style="877" bestFit="1" customWidth="1"/>
    <col min="4569" max="4569" width="13.25" style="877" customWidth="1"/>
    <col min="4570" max="4571" width="14.625" style="877" customWidth="1"/>
    <col min="4572" max="4574" width="13.125" style="877" customWidth="1"/>
    <col min="4575" max="4611" width="17.25" style="877" customWidth="1"/>
    <col min="4612" max="4612" width="14.75" style="877" bestFit="1" customWidth="1"/>
    <col min="4613" max="4613" width="13.75" style="877" customWidth="1"/>
    <col min="4614" max="4614" width="15.25" style="877" customWidth="1"/>
    <col min="4615" max="4615" width="13.125" style="877" customWidth="1"/>
    <col min="4616" max="4616" width="11.875" style="877" customWidth="1"/>
    <col min="4617" max="4617" width="13.25" style="877" customWidth="1"/>
    <col min="4618" max="4618" width="12.625" style="877" customWidth="1"/>
    <col min="4619" max="4619" width="13" style="877" bestFit="1" customWidth="1"/>
    <col min="4620" max="4620" width="13.375" style="877" bestFit="1" customWidth="1"/>
    <col min="4621" max="4621" width="19.375" style="877" customWidth="1"/>
    <col min="4622" max="4622" width="12.75" style="877" bestFit="1" customWidth="1"/>
    <col min="4623" max="4623" width="13" style="877" bestFit="1" customWidth="1"/>
    <col min="4624" max="4624" width="13.375" style="877" bestFit="1" customWidth="1"/>
    <col min="4625" max="4625" width="16.625" style="877" customWidth="1"/>
    <col min="4626" max="4626" width="13.125" style="877" customWidth="1"/>
    <col min="4627" max="4627" width="15.125" style="877" bestFit="1" customWidth="1"/>
    <col min="4628" max="4628" width="16.625" style="877" bestFit="1" customWidth="1"/>
    <col min="4629" max="4629" width="14.375" style="877" customWidth="1"/>
    <col min="4630" max="4630" width="13.25" style="877" bestFit="1" customWidth="1"/>
    <col min="4631" max="4631" width="13" style="877" bestFit="1" customWidth="1"/>
    <col min="4632" max="4639" width="13" style="877" customWidth="1"/>
    <col min="4640" max="4640" width="13" style="877" bestFit="1" customWidth="1"/>
    <col min="4641" max="4641" width="15.875" style="877" customWidth="1"/>
    <col min="4642" max="4642" width="12.75" style="877" bestFit="1" customWidth="1"/>
    <col min="4643" max="4644" width="13" style="877" bestFit="1" customWidth="1"/>
    <col min="4645" max="4645" width="14.375" style="877" customWidth="1"/>
    <col min="4646" max="4646" width="12.75" style="877" bestFit="1" customWidth="1"/>
    <col min="4647" max="4648" width="13" style="877" bestFit="1" customWidth="1"/>
    <col min="4649" max="4649" width="15.125" style="877" customWidth="1"/>
    <col min="4650" max="4652" width="13" style="877" bestFit="1" customWidth="1"/>
    <col min="4653" max="4653" width="13.75" style="877" customWidth="1"/>
    <col min="4654" max="4655" width="13" style="877" bestFit="1" customWidth="1"/>
    <col min="4656" max="4656" width="13.125" style="877" customWidth="1"/>
    <col min="4657" max="4657" width="15.875" style="877" customWidth="1"/>
    <col min="4658" max="4658" width="13" style="877" customWidth="1"/>
    <col min="4659" max="4659" width="13" style="877" bestFit="1" customWidth="1"/>
    <col min="4660" max="4660" width="21" style="877" customWidth="1"/>
    <col min="4661" max="4661" width="15.75" style="877" customWidth="1"/>
    <col min="4662" max="4662" width="13.375" style="877" customWidth="1"/>
    <col min="4663" max="4663" width="13" style="877" bestFit="1" customWidth="1"/>
    <col min="4664" max="4667" width="13" style="877" customWidth="1"/>
    <col min="4668" max="4668" width="13.375" style="877" bestFit="1" customWidth="1"/>
    <col min="4669" max="4669" width="14.375" style="877" customWidth="1"/>
    <col min="4670" max="4670" width="13.375" style="877" customWidth="1"/>
    <col min="4671" max="4675" width="12.625" style="877" customWidth="1"/>
    <col min="4676" max="4676" width="13.375" style="877" bestFit="1" customWidth="1"/>
    <col min="4677" max="4677" width="14" style="877" customWidth="1"/>
    <col min="4678" max="4678" width="13.375" style="877" bestFit="1" customWidth="1"/>
    <col min="4679" max="4679" width="13" style="877" bestFit="1" customWidth="1"/>
    <col min="4680" max="4681" width="13.75" style="877" customWidth="1"/>
    <col min="4682" max="4682" width="13.125" style="877" customWidth="1"/>
    <col min="4683" max="4683" width="12.25" style="877" customWidth="1"/>
    <col min="4684" max="4684" width="13.375" style="877" bestFit="1" customWidth="1"/>
    <col min="4685" max="4685" width="17" style="877" customWidth="1"/>
    <col min="4686" max="4686" width="13.25" style="877" bestFit="1" customWidth="1"/>
    <col min="4687" max="4687" width="13" style="877" bestFit="1" customWidth="1"/>
    <col min="4688" max="4688" width="12.75" style="877" bestFit="1" customWidth="1"/>
    <col min="4689" max="4689" width="14.75" style="877" customWidth="1"/>
    <col min="4690" max="4690" width="11.875" style="877" bestFit="1" customWidth="1"/>
    <col min="4691" max="4691" width="13" style="877" bestFit="1" customWidth="1"/>
    <col min="4692" max="4692" width="15.125" style="877" bestFit="1" customWidth="1"/>
    <col min="4693" max="4693" width="14" style="877" customWidth="1"/>
    <col min="4694" max="4694" width="12" style="877" bestFit="1" customWidth="1"/>
    <col min="4695" max="4695" width="11.375" style="877" customWidth="1"/>
    <col min="4696" max="4696" width="12.75" style="877" bestFit="1" customWidth="1"/>
    <col min="4697" max="4697" width="11.375" style="877" customWidth="1"/>
    <col min="4698" max="4699" width="13" style="877" bestFit="1" customWidth="1"/>
    <col min="4700" max="4700" width="12.75" style="877" bestFit="1" customWidth="1"/>
    <col min="4701" max="4701" width="18.25" style="877" customWidth="1"/>
    <col min="4702" max="4702" width="12.625" style="877" bestFit="1" customWidth="1"/>
    <col min="4703" max="4703" width="13" style="877" bestFit="1" customWidth="1"/>
    <col min="4704" max="4704" width="13" style="877" customWidth="1"/>
    <col min="4705" max="4705" width="14.375" style="877" customWidth="1"/>
    <col min="4706" max="4707" width="13" style="877" customWidth="1"/>
    <col min="4708" max="4708" width="13.25" style="877" customWidth="1"/>
    <col min="4709" max="4709" width="15.75" style="877" customWidth="1"/>
    <col min="4710" max="4710" width="12" style="877" bestFit="1" customWidth="1"/>
    <col min="4711" max="4712" width="12.25" style="877" customWidth="1"/>
    <col min="4713" max="4713" width="15.875" style="877" customWidth="1"/>
    <col min="4714" max="4716" width="12.25" style="877" customWidth="1"/>
    <col min="4717" max="4717" width="14.875" style="877" customWidth="1"/>
    <col min="4718" max="4720" width="12.25" style="877" customWidth="1"/>
    <col min="4721" max="4721" width="13.75" style="877" customWidth="1"/>
    <col min="4722" max="4723" width="12.25" style="877" customWidth="1"/>
    <col min="4724" max="4724" width="18.125" style="877" customWidth="1"/>
    <col min="4725" max="4725" width="16.25" style="877" customWidth="1"/>
    <col min="4726" max="4726" width="15" style="877" customWidth="1"/>
    <col min="4727" max="4727" width="9.125" style="877"/>
    <col min="4728" max="4728" width="13.375" style="877" bestFit="1" customWidth="1"/>
    <col min="4729" max="4800" width="9.125" style="877"/>
    <col min="4801" max="4801" width="3.75" style="877" customWidth="1"/>
    <col min="4802" max="4802" width="17" style="877" customWidth="1"/>
    <col min="4803" max="4803" width="13" style="877" customWidth="1"/>
    <col min="4804" max="4804" width="18.75" style="877" customWidth="1"/>
    <col min="4805" max="4805" width="14.125" style="877" customWidth="1"/>
    <col min="4806" max="4806" width="12.875" style="877" customWidth="1"/>
    <col min="4807" max="4807" width="11.75" style="877" customWidth="1"/>
    <col min="4808" max="4808" width="12.875" style="877" customWidth="1"/>
    <col min="4809" max="4809" width="14.875" style="877" customWidth="1"/>
    <col min="4810" max="4810" width="13" style="877" customWidth="1"/>
    <col min="4811" max="4811" width="11.25" style="877" customWidth="1"/>
    <col min="4812" max="4812" width="14.875" style="877" customWidth="1"/>
    <col min="4813" max="4813" width="14.375" style="877" customWidth="1"/>
    <col min="4814" max="4814" width="13.375" style="877" customWidth="1"/>
    <col min="4815" max="4815" width="11.375" style="877" customWidth="1"/>
    <col min="4816" max="4816" width="12.875" style="877" customWidth="1"/>
    <col min="4817" max="4817" width="11.375" style="877" customWidth="1"/>
    <col min="4818" max="4818" width="13.125" style="877" customWidth="1"/>
    <col min="4819" max="4819" width="12.125" style="877" customWidth="1"/>
    <col min="4820" max="4820" width="13.875" style="877" customWidth="1"/>
    <col min="4821" max="4821" width="14" style="877" customWidth="1"/>
    <col min="4822" max="4822" width="13.25" style="877" customWidth="1"/>
    <col min="4823" max="4823" width="11.375" style="877" customWidth="1"/>
    <col min="4824" max="4824" width="14.75" style="877" bestFit="1" customWidth="1"/>
    <col min="4825" max="4825" width="13.25" style="877" customWidth="1"/>
    <col min="4826" max="4827" width="14.625" style="877" customWidth="1"/>
    <col min="4828" max="4830" width="13.125" style="877" customWidth="1"/>
    <col min="4831" max="4867" width="17.25" style="877" customWidth="1"/>
    <col min="4868" max="4868" width="14.75" style="877" bestFit="1" customWidth="1"/>
    <col min="4869" max="4869" width="13.75" style="877" customWidth="1"/>
    <col min="4870" max="4870" width="15.25" style="877" customWidth="1"/>
    <col min="4871" max="4871" width="13.125" style="877" customWidth="1"/>
    <col min="4872" max="4872" width="11.875" style="877" customWidth="1"/>
    <col min="4873" max="4873" width="13.25" style="877" customWidth="1"/>
    <col min="4874" max="4874" width="12.625" style="877" customWidth="1"/>
    <col min="4875" max="4875" width="13" style="877" bestFit="1" customWidth="1"/>
    <col min="4876" max="4876" width="13.375" style="877" bestFit="1" customWidth="1"/>
    <col min="4877" max="4877" width="19.375" style="877" customWidth="1"/>
    <col min="4878" max="4878" width="12.75" style="877" bestFit="1" customWidth="1"/>
    <col min="4879" max="4879" width="13" style="877" bestFit="1" customWidth="1"/>
    <col min="4880" max="4880" width="13.375" style="877" bestFit="1" customWidth="1"/>
    <col min="4881" max="4881" width="16.625" style="877" customWidth="1"/>
    <col min="4882" max="4882" width="13.125" style="877" customWidth="1"/>
    <col min="4883" max="4883" width="15.125" style="877" bestFit="1" customWidth="1"/>
    <col min="4884" max="4884" width="16.625" style="877" bestFit="1" customWidth="1"/>
    <col min="4885" max="4885" width="14.375" style="877" customWidth="1"/>
    <col min="4886" max="4886" width="13.25" style="877" bestFit="1" customWidth="1"/>
    <col min="4887" max="4887" width="13" style="877" bestFit="1" customWidth="1"/>
    <col min="4888" max="4895" width="13" style="877" customWidth="1"/>
    <col min="4896" max="4896" width="13" style="877" bestFit="1" customWidth="1"/>
    <col min="4897" max="4897" width="15.875" style="877" customWidth="1"/>
    <col min="4898" max="4898" width="12.75" style="877" bestFit="1" customWidth="1"/>
    <col min="4899" max="4900" width="13" style="877" bestFit="1" customWidth="1"/>
    <col min="4901" max="4901" width="14.375" style="877" customWidth="1"/>
    <col min="4902" max="4902" width="12.75" style="877" bestFit="1" customWidth="1"/>
    <col min="4903" max="4904" width="13" style="877" bestFit="1" customWidth="1"/>
    <col min="4905" max="4905" width="15.125" style="877" customWidth="1"/>
    <col min="4906" max="4908" width="13" style="877" bestFit="1" customWidth="1"/>
    <col min="4909" max="4909" width="13.75" style="877" customWidth="1"/>
    <col min="4910" max="4911" width="13" style="877" bestFit="1" customWidth="1"/>
    <col min="4912" max="4912" width="13.125" style="877" customWidth="1"/>
    <col min="4913" max="4913" width="15.875" style="877" customWidth="1"/>
    <col min="4914" max="4914" width="13" style="877" customWidth="1"/>
    <col min="4915" max="4915" width="13" style="877" bestFit="1" customWidth="1"/>
    <col min="4916" max="4916" width="21" style="877" customWidth="1"/>
    <col min="4917" max="4917" width="15.75" style="877" customWidth="1"/>
    <col min="4918" max="4918" width="13.375" style="877" customWidth="1"/>
    <col min="4919" max="4919" width="13" style="877" bestFit="1" customWidth="1"/>
    <col min="4920" max="4923" width="13" style="877" customWidth="1"/>
    <col min="4924" max="4924" width="13.375" style="877" bestFit="1" customWidth="1"/>
    <col min="4925" max="4925" width="14.375" style="877" customWidth="1"/>
    <col min="4926" max="4926" width="13.375" style="877" customWidth="1"/>
    <col min="4927" max="4931" width="12.625" style="877" customWidth="1"/>
    <col min="4932" max="4932" width="13.375" style="877" bestFit="1" customWidth="1"/>
    <col min="4933" max="4933" width="14" style="877" customWidth="1"/>
    <col min="4934" max="4934" width="13.375" style="877" bestFit="1" customWidth="1"/>
    <col min="4935" max="4935" width="13" style="877" bestFit="1" customWidth="1"/>
    <col min="4936" max="4937" width="13.75" style="877" customWidth="1"/>
    <col min="4938" max="4938" width="13.125" style="877" customWidth="1"/>
    <col min="4939" max="4939" width="12.25" style="877" customWidth="1"/>
    <col min="4940" max="4940" width="13.375" style="877" bestFit="1" customWidth="1"/>
    <col min="4941" max="4941" width="17" style="877" customWidth="1"/>
    <col min="4942" max="4942" width="13.25" style="877" bestFit="1" customWidth="1"/>
    <col min="4943" max="4943" width="13" style="877" bestFit="1" customWidth="1"/>
    <col min="4944" max="4944" width="12.75" style="877" bestFit="1" customWidth="1"/>
    <col min="4945" max="4945" width="14.75" style="877" customWidth="1"/>
    <col min="4946" max="4946" width="11.875" style="877" bestFit="1" customWidth="1"/>
    <col min="4947" max="4947" width="13" style="877" bestFit="1" customWidth="1"/>
    <col min="4948" max="4948" width="15.125" style="877" bestFit="1" customWidth="1"/>
    <col min="4949" max="4949" width="14" style="877" customWidth="1"/>
    <col min="4950" max="4950" width="12" style="877" bestFit="1" customWidth="1"/>
    <col min="4951" max="4951" width="11.375" style="877" customWidth="1"/>
    <col min="4952" max="4952" width="12.75" style="877" bestFit="1" customWidth="1"/>
    <col min="4953" max="4953" width="11.375" style="877" customWidth="1"/>
    <col min="4954" max="4955" width="13" style="877" bestFit="1" customWidth="1"/>
    <col min="4956" max="4956" width="12.75" style="877" bestFit="1" customWidth="1"/>
    <col min="4957" max="4957" width="18.25" style="877" customWidth="1"/>
    <col min="4958" max="4958" width="12.625" style="877" bestFit="1" customWidth="1"/>
    <col min="4959" max="4959" width="13" style="877" bestFit="1" customWidth="1"/>
    <col min="4960" max="4960" width="13" style="877" customWidth="1"/>
    <col min="4961" max="4961" width="14.375" style="877" customWidth="1"/>
    <col min="4962" max="4963" width="13" style="877" customWidth="1"/>
    <col min="4964" max="4964" width="13.25" style="877" customWidth="1"/>
    <col min="4965" max="4965" width="15.75" style="877" customWidth="1"/>
    <col min="4966" max="4966" width="12" style="877" bestFit="1" customWidth="1"/>
    <col min="4967" max="4968" width="12.25" style="877" customWidth="1"/>
    <col min="4969" max="4969" width="15.875" style="877" customWidth="1"/>
    <col min="4970" max="4972" width="12.25" style="877" customWidth="1"/>
    <col min="4973" max="4973" width="14.875" style="877" customWidth="1"/>
    <col min="4974" max="4976" width="12.25" style="877" customWidth="1"/>
    <col min="4977" max="4977" width="13.75" style="877" customWidth="1"/>
    <col min="4978" max="4979" width="12.25" style="877" customWidth="1"/>
    <col min="4980" max="4980" width="18.125" style="877" customWidth="1"/>
    <col min="4981" max="4981" width="16.25" style="877" customWidth="1"/>
    <col min="4982" max="4982" width="15" style="877" customWidth="1"/>
    <col min="4983" max="4983" width="9.125" style="877"/>
    <col min="4984" max="4984" width="13.375" style="877" bestFit="1" customWidth="1"/>
    <col min="4985" max="5056" width="9.125" style="877"/>
    <col min="5057" max="5057" width="3.75" style="877" customWidth="1"/>
    <col min="5058" max="5058" width="17" style="877" customWidth="1"/>
    <col min="5059" max="5059" width="13" style="877" customWidth="1"/>
    <col min="5060" max="5060" width="18.75" style="877" customWidth="1"/>
    <col min="5061" max="5061" width="14.125" style="877" customWidth="1"/>
    <col min="5062" max="5062" width="12.875" style="877" customWidth="1"/>
    <col min="5063" max="5063" width="11.75" style="877" customWidth="1"/>
    <col min="5064" max="5064" width="12.875" style="877" customWidth="1"/>
    <col min="5065" max="5065" width="14.875" style="877" customWidth="1"/>
    <col min="5066" max="5066" width="13" style="877" customWidth="1"/>
    <col min="5067" max="5067" width="11.25" style="877" customWidth="1"/>
    <col min="5068" max="5068" width="14.875" style="877" customWidth="1"/>
    <col min="5069" max="5069" width="14.375" style="877" customWidth="1"/>
    <col min="5070" max="5070" width="13.375" style="877" customWidth="1"/>
    <col min="5071" max="5071" width="11.375" style="877" customWidth="1"/>
    <col min="5072" max="5072" width="12.875" style="877" customWidth="1"/>
    <col min="5073" max="5073" width="11.375" style="877" customWidth="1"/>
    <col min="5074" max="5074" width="13.125" style="877" customWidth="1"/>
    <col min="5075" max="5075" width="12.125" style="877" customWidth="1"/>
    <col min="5076" max="5076" width="13.875" style="877" customWidth="1"/>
    <col min="5077" max="5077" width="14" style="877" customWidth="1"/>
    <col min="5078" max="5078" width="13.25" style="877" customWidth="1"/>
    <col min="5079" max="5079" width="11.375" style="877" customWidth="1"/>
    <col min="5080" max="5080" width="14.75" style="877" bestFit="1" customWidth="1"/>
    <col min="5081" max="5081" width="13.25" style="877" customWidth="1"/>
    <col min="5082" max="5083" width="14.625" style="877" customWidth="1"/>
    <col min="5084" max="5086" width="13.125" style="877" customWidth="1"/>
    <col min="5087" max="5123" width="17.25" style="877" customWidth="1"/>
    <col min="5124" max="5124" width="14.75" style="877" bestFit="1" customWidth="1"/>
    <col min="5125" max="5125" width="13.75" style="877" customWidth="1"/>
    <col min="5126" max="5126" width="15.25" style="877" customWidth="1"/>
    <col min="5127" max="5127" width="13.125" style="877" customWidth="1"/>
    <col min="5128" max="5128" width="11.875" style="877" customWidth="1"/>
    <col min="5129" max="5129" width="13.25" style="877" customWidth="1"/>
    <col min="5130" max="5130" width="12.625" style="877" customWidth="1"/>
    <col min="5131" max="5131" width="13" style="877" bestFit="1" customWidth="1"/>
    <col min="5132" max="5132" width="13.375" style="877" bestFit="1" customWidth="1"/>
    <col min="5133" max="5133" width="19.375" style="877" customWidth="1"/>
    <col min="5134" max="5134" width="12.75" style="877" bestFit="1" customWidth="1"/>
    <col min="5135" max="5135" width="13" style="877" bestFit="1" customWidth="1"/>
    <col min="5136" max="5136" width="13.375" style="877" bestFit="1" customWidth="1"/>
    <col min="5137" max="5137" width="16.625" style="877" customWidth="1"/>
    <col min="5138" max="5138" width="13.125" style="877" customWidth="1"/>
    <col min="5139" max="5139" width="15.125" style="877" bestFit="1" customWidth="1"/>
    <col min="5140" max="5140" width="16.625" style="877" bestFit="1" customWidth="1"/>
    <col min="5141" max="5141" width="14.375" style="877" customWidth="1"/>
    <col min="5142" max="5142" width="13.25" style="877" bestFit="1" customWidth="1"/>
    <col min="5143" max="5143" width="13" style="877" bestFit="1" customWidth="1"/>
    <col min="5144" max="5151" width="13" style="877" customWidth="1"/>
    <col min="5152" max="5152" width="13" style="877" bestFit="1" customWidth="1"/>
    <col min="5153" max="5153" width="15.875" style="877" customWidth="1"/>
    <col min="5154" max="5154" width="12.75" style="877" bestFit="1" customWidth="1"/>
    <col min="5155" max="5156" width="13" style="877" bestFit="1" customWidth="1"/>
    <col min="5157" max="5157" width="14.375" style="877" customWidth="1"/>
    <col min="5158" max="5158" width="12.75" style="877" bestFit="1" customWidth="1"/>
    <col min="5159" max="5160" width="13" style="877" bestFit="1" customWidth="1"/>
    <col min="5161" max="5161" width="15.125" style="877" customWidth="1"/>
    <col min="5162" max="5164" width="13" style="877" bestFit="1" customWidth="1"/>
    <col min="5165" max="5165" width="13.75" style="877" customWidth="1"/>
    <col min="5166" max="5167" width="13" style="877" bestFit="1" customWidth="1"/>
    <col min="5168" max="5168" width="13.125" style="877" customWidth="1"/>
    <col min="5169" max="5169" width="15.875" style="877" customWidth="1"/>
    <col min="5170" max="5170" width="13" style="877" customWidth="1"/>
    <col min="5171" max="5171" width="13" style="877" bestFit="1" customWidth="1"/>
    <col min="5172" max="5172" width="21" style="877" customWidth="1"/>
    <col min="5173" max="5173" width="15.75" style="877" customWidth="1"/>
    <col min="5174" max="5174" width="13.375" style="877" customWidth="1"/>
    <col min="5175" max="5175" width="13" style="877" bestFit="1" customWidth="1"/>
    <col min="5176" max="5179" width="13" style="877" customWidth="1"/>
    <col min="5180" max="5180" width="13.375" style="877" bestFit="1" customWidth="1"/>
    <col min="5181" max="5181" width="14.375" style="877" customWidth="1"/>
    <col min="5182" max="5182" width="13.375" style="877" customWidth="1"/>
    <col min="5183" max="5187" width="12.625" style="877" customWidth="1"/>
    <col min="5188" max="5188" width="13.375" style="877" bestFit="1" customWidth="1"/>
    <col min="5189" max="5189" width="14" style="877" customWidth="1"/>
    <col min="5190" max="5190" width="13.375" style="877" bestFit="1" customWidth="1"/>
    <col min="5191" max="5191" width="13" style="877" bestFit="1" customWidth="1"/>
    <col min="5192" max="5193" width="13.75" style="877" customWidth="1"/>
    <col min="5194" max="5194" width="13.125" style="877" customWidth="1"/>
    <col min="5195" max="5195" width="12.25" style="877" customWidth="1"/>
    <col min="5196" max="5196" width="13.375" style="877" bestFit="1" customWidth="1"/>
    <col min="5197" max="5197" width="17" style="877" customWidth="1"/>
    <col min="5198" max="5198" width="13.25" style="877" bestFit="1" customWidth="1"/>
    <col min="5199" max="5199" width="13" style="877" bestFit="1" customWidth="1"/>
    <col min="5200" max="5200" width="12.75" style="877" bestFit="1" customWidth="1"/>
    <col min="5201" max="5201" width="14.75" style="877" customWidth="1"/>
    <col min="5202" max="5202" width="11.875" style="877" bestFit="1" customWidth="1"/>
    <col min="5203" max="5203" width="13" style="877" bestFit="1" customWidth="1"/>
    <col min="5204" max="5204" width="15.125" style="877" bestFit="1" customWidth="1"/>
    <col min="5205" max="5205" width="14" style="877" customWidth="1"/>
    <col min="5206" max="5206" width="12" style="877" bestFit="1" customWidth="1"/>
    <col min="5207" max="5207" width="11.375" style="877" customWidth="1"/>
    <col min="5208" max="5208" width="12.75" style="877" bestFit="1" customWidth="1"/>
    <col min="5209" max="5209" width="11.375" style="877" customWidth="1"/>
    <col min="5210" max="5211" width="13" style="877" bestFit="1" customWidth="1"/>
    <col min="5212" max="5212" width="12.75" style="877" bestFit="1" customWidth="1"/>
    <col min="5213" max="5213" width="18.25" style="877" customWidth="1"/>
    <col min="5214" max="5214" width="12.625" style="877" bestFit="1" customWidth="1"/>
    <col min="5215" max="5215" width="13" style="877" bestFit="1" customWidth="1"/>
    <col min="5216" max="5216" width="13" style="877" customWidth="1"/>
    <col min="5217" max="5217" width="14.375" style="877" customWidth="1"/>
    <col min="5218" max="5219" width="13" style="877" customWidth="1"/>
    <col min="5220" max="5220" width="13.25" style="877" customWidth="1"/>
    <col min="5221" max="5221" width="15.75" style="877" customWidth="1"/>
    <col min="5222" max="5222" width="12" style="877" bestFit="1" customWidth="1"/>
    <col min="5223" max="5224" width="12.25" style="877" customWidth="1"/>
    <col min="5225" max="5225" width="15.875" style="877" customWidth="1"/>
    <col min="5226" max="5228" width="12.25" style="877" customWidth="1"/>
    <col min="5229" max="5229" width="14.875" style="877" customWidth="1"/>
    <col min="5230" max="5232" width="12.25" style="877" customWidth="1"/>
    <col min="5233" max="5233" width="13.75" style="877" customWidth="1"/>
    <col min="5234" max="5235" width="12.25" style="877" customWidth="1"/>
    <col min="5236" max="5236" width="18.125" style="877" customWidth="1"/>
    <col min="5237" max="5237" width="16.25" style="877" customWidth="1"/>
    <col min="5238" max="5238" width="15" style="877" customWidth="1"/>
    <col min="5239" max="5239" width="9.125" style="877"/>
    <col min="5240" max="5240" width="13.375" style="877" bestFit="1" customWidth="1"/>
    <col min="5241" max="5312" width="9.125" style="877"/>
    <col min="5313" max="5313" width="3.75" style="877" customWidth="1"/>
    <col min="5314" max="5314" width="17" style="877" customWidth="1"/>
    <col min="5315" max="5315" width="13" style="877" customWidth="1"/>
    <col min="5316" max="5316" width="18.75" style="877" customWidth="1"/>
    <col min="5317" max="5317" width="14.125" style="877" customWidth="1"/>
    <col min="5318" max="5318" width="12.875" style="877" customWidth="1"/>
    <col min="5319" max="5319" width="11.75" style="877" customWidth="1"/>
    <col min="5320" max="5320" width="12.875" style="877" customWidth="1"/>
    <col min="5321" max="5321" width="14.875" style="877" customWidth="1"/>
    <col min="5322" max="5322" width="13" style="877" customWidth="1"/>
    <col min="5323" max="5323" width="11.25" style="877" customWidth="1"/>
    <col min="5324" max="5324" width="14.875" style="877" customWidth="1"/>
    <col min="5325" max="5325" width="14.375" style="877" customWidth="1"/>
    <col min="5326" max="5326" width="13.375" style="877" customWidth="1"/>
    <col min="5327" max="5327" width="11.375" style="877" customWidth="1"/>
    <col min="5328" max="5328" width="12.875" style="877" customWidth="1"/>
    <col min="5329" max="5329" width="11.375" style="877" customWidth="1"/>
    <col min="5330" max="5330" width="13.125" style="877" customWidth="1"/>
    <col min="5331" max="5331" width="12.125" style="877" customWidth="1"/>
    <col min="5332" max="5332" width="13.875" style="877" customWidth="1"/>
    <col min="5333" max="5333" width="14" style="877" customWidth="1"/>
    <col min="5334" max="5334" width="13.25" style="877" customWidth="1"/>
    <col min="5335" max="5335" width="11.375" style="877" customWidth="1"/>
    <col min="5336" max="5336" width="14.75" style="877" bestFit="1" customWidth="1"/>
    <col min="5337" max="5337" width="13.25" style="877" customWidth="1"/>
    <col min="5338" max="5339" width="14.625" style="877" customWidth="1"/>
    <col min="5340" max="5342" width="13.125" style="877" customWidth="1"/>
    <col min="5343" max="5379" width="17.25" style="877" customWidth="1"/>
    <col min="5380" max="5380" width="14.75" style="877" bestFit="1" customWidth="1"/>
    <col min="5381" max="5381" width="13.75" style="877" customWidth="1"/>
    <col min="5382" max="5382" width="15.25" style="877" customWidth="1"/>
    <col min="5383" max="5383" width="13.125" style="877" customWidth="1"/>
    <col min="5384" max="5384" width="11.875" style="877" customWidth="1"/>
    <col min="5385" max="5385" width="13.25" style="877" customWidth="1"/>
    <col min="5386" max="5386" width="12.625" style="877" customWidth="1"/>
    <col min="5387" max="5387" width="13" style="877" bestFit="1" customWidth="1"/>
    <col min="5388" max="5388" width="13.375" style="877" bestFit="1" customWidth="1"/>
    <col min="5389" max="5389" width="19.375" style="877" customWidth="1"/>
    <col min="5390" max="5390" width="12.75" style="877" bestFit="1" customWidth="1"/>
    <col min="5391" max="5391" width="13" style="877" bestFit="1" customWidth="1"/>
    <col min="5392" max="5392" width="13.375" style="877" bestFit="1" customWidth="1"/>
    <col min="5393" max="5393" width="16.625" style="877" customWidth="1"/>
    <col min="5394" max="5394" width="13.125" style="877" customWidth="1"/>
    <col min="5395" max="5395" width="15.125" style="877" bestFit="1" customWidth="1"/>
    <col min="5396" max="5396" width="16.625" style="877" bestFit="1" customWidth="1"/>
    <col min="5397" max="5397" width="14.375" style="877" customWidth="1"/>
    <col min="5398" max="5398" width="13.25" style="877" bestFit="1" customWidth="1"/>
    <col min="5399" max="5399" width="13" style="877" bestFit="1" customWidth="1"/>
    <col min="5400" max="5407" width="13" style="877" customWidth="1"/>
    <col min="5408" max="5408" width="13" style="877" bestFit="1" customWidth="1"/>
    <col min="5409" max="5409" width="15.875" style="877" customWidth="1"/>
    <col min="5410" max="5410" width="12.75" style="877" bestFit="1" customWidth="1"/>
    <col min="5411" max="5412" width="13" style="877" bestFit="1" customWidth="1"/>
    <col min="5413" max="5413" width="14.375" style="877" customWidth="1"/>
    <col min="5414" max="5414" width="12.75" style="877" bestFit="1" customWidth="1"/>
    <col min="5415" max="5416" width="13" style="877" bestFit="1" customWidth="1"/>
    <col min="5417" max="5417" width="15.125" style="877" customWidth="1"/>
    <col min="5418" max="5420" width="13" style="877" bestFit="1" customWidth="1"/>
    <col min="5421" max="5421" width="13.75" style="877" customWidth="1"/>
    <col min="5422" max="5423" width="13" style="877" bestFit="1" customWidth="1"/>
    <col min="5424" max="5424" width="13.125" style="877" customWidth="1"/>
    <col min="5425" max="5425" width="15.875" style="877" customWidth="1"/>
    <col min="5426" max="5426" width="13" style="877" customWidth="1"/>
    <col min="5427" max="5427" width="13" style="877" bestFit="1" customWidth="1"/>
    <col min="5428" max="5428" width="21" style="877" customWidth="1"/>
    <col min="5429" max="5429" width="15.75" style="877" customWidth="1"/>
    <col min="5430" max="5430" width="13.375" style="877" customWidth="1"/>
    <col min="5431" max="5431" width="13" style="877" bestFit="1" customWidth="1"/>
    <col min="5432" max="5435" width="13" style="877" customWidth="1"/>
    <col min="5436" max="5436" width="13.375" style="877" bestFit="1" customWidth="1"/>
    <col min="5437" max="5437" width="14.375" style="877" customWidth="1"/>
    <col min="5438" max="5438" width="13.375" style="877" customWidth="1"/>
    <col min="5439" max="5443" width="12.625" style="877" customWidth="1"/>
    <col min="5444" max="5444" width="13.375" style="877" bestFit="1" customWidth="1"/>
    <col min="5445" max="5445" width="14" style="877" customWidth="1"/>
    <col min="5446" max="5446" width="13.375" style="877" bestFit="1" customWidth="1"/>
    <col min="5447" max="5447" width="13" style="877" bestFit="1" customWidth="1"/>
    <col min="5448" max="5449" width="13.75" style="877" customWidth="1"/>
    <col min="5450" max="5450" width="13.125" style="877" customWidth="1"/>
    <col min="5451" max="5451" width="12.25" style="877" customWidth="1"/>
    <col min="5452" max="5452" width="13.375" style="877" bestFit="1" customWidth="1"/>
    <col min="5453" max="5453" width="17" style="877" customWidth="1"/>
    <col min="5454" max="5454" width="13.25" style="877" bestFit="1" customWidth="1"/>
    <col min="5455" max="5455" width="13" style="877" bestFit="1" customWidth="1"/>
    <col min="5456" max="5456" width="12.75" style="877" bestFit="1" customWidth="1"/>
    <col min="5457" max="5457" width="14.75" style="877" customWidth="1"/>
    <col min="5458" max="5458" width="11.875" style="877" bestFit="1" customWidth="1"/>
    <col min="5459" max="5459" width="13" style="877" bestFit="1" customWidth="1"/>
    <col min="5460" max="5460" width="15.125" style="877" bestFit="1" customWidth="1"/>
    <col min="5461" max="5461" width="14" style="877" customWidth="1"/>
    <col min="5462" max="5462" width="12" style="877" bestFit="1" customWidth="1"/>
    <col min="5463" max="5463" width="11.375" style="877" customWidth="1"/>
    <col min="5464" max="5464" width="12.75" style="877" bestFit="1" customWidth="1"/>
    <col min="5465" max="5465" width="11.375" style="877" customWidth="1"/>
    <col min="5466" max="5467" width="13" style="877" bestFit="1" customWidth="1"/>
    <col min="5468" max="5468" width="12.75" style="877" bestFit="1" customWidth="1"/>
    <col min="5469" max="5469" width="18.25" style="877" customWidth="1"/>
    <col min="5470" max="5470" width="12.625" style="877" bestFit="1" customWidth="1"/>
    <col min="5471" max="5471" width="13" style="877" bestFit="1" customWidth="1"/>
    <col min="5472" max="5472" width="13" style="877" customWidth="1"/>
    <col min="5473" max="5473" width="14.375" style="877" customWidth="1"/>
    <col min="5474" max="5475" width="13" style="877" customWidth="1"/>
    <col min="5476" max="5476" width="13.25" style="877" customWidth="1"/>
    <col min="5477" max="5477" width="15.75" style="877" customWidth="1"/>
    <col min="5478" max="5478" width="12" style="877" bestFit="1" customWidth="1"/>
    <col min="5479" max="5480" width="12.25" style="877" customWidth="1"/>
    <col min="5481" max="5481" width="15.875" style="877" customWidth="1"/>
    <col min="5482" max="5484" width="12.25" style="877" customWidth="1"/>
    <col min="5485" max="5485" width="14.875" style="877" customWidth="1"/>
    <col min="5486" max="5488" width="12.25" style="877" customWidth="1"/>
    <col min="5489" max="5489" width="13.75" style="877" customWidth="1"/>
    <col min="5490" max="5491" width="12.25" style="877" customWidth="1"/>
    <col min="5492" max="5492" width="18.125" style="877" customWidth="1"/>
    <col min="5493" max="5493" width="16.25" style="877" customWidth="1"/>
    <col min="5494" max="5494" width="15" style="877" customWidth="1"/>
    <col min="5495" max="5495" width="9.125" style="877"/>
    <col min="5496" max="5496" width="13.375" style="877" bestFit="1" customWidth="1"/>
    <col min="5497" max="5568" width="9.125" style="877"/>
    <col min="5569" max="5569" width="3.75" style="877" customWidth="1"/>
    <col min="5570" max="5570" width="17" style="877" customWidth="1"/>
    <col min="5571" max="5571" width="13" style="877" customWidth="1"/>
    <col min="5572" max="5572" width="18.75" style="877" customWidth="1"/>
    <col min="5573" max="5573" width="14.125" style="877" customWidth="1"/>
    <col min="5574" max="5574" width="12.875" style="877" customWidth="1"/>
    <col min="5575" max="5575" width="11.75" style="877" customWidth="1"/>
    <col min="5576" max="5576" width="12.875" style="877" customWidth="1"/>
    <col min="5577" max="5577" width="14.875" style="877" customWidth="1"/>
    <col min="5578" max="5578" width="13" style="877" customWidth="1"/>
    <col min="5579" max="5579" width="11.25" style="877" customWidth="1"/>
    <col min="5580" max="5580" width="14.875" style="877" customWidth="1"/>
    <col min="5581" max="5581" width="14.375" style="877" customWidth="1"/>
    <col min="5582" max="5582" width="13.375" style="877" customWidth="1"/>
    <col min="5583" max="5583" width="11.375" style="877" customWidth="1"/>
    <col min="5584" max="5584" width="12.875" style="877" customWidth="1"/>
    <col min="5585" max="5585" width="11.375" style="877" customWidth="1"/>
    <col min="5586" max="5586" width="13.125" style="877" customWidth="1"/>
    <col min="5587" max="5587" width="12.125" style="877" customWidth="1"/>
    <col min="5588" max="5588" width="13.875" style="877" customWidth="1"/>
    <col min="5589" max="5589" width="14" style="877" customWidth="1"/>
    <col min="5590" max="5590" width="13.25" style="877" customWidth="1"/>
    <col min="5591" max="5591" width="11.375" style="877" customWidth="1"/>
    <col min="5592" max="5592" width="14.75" style="877" bestFit="1" customWidth="1"/>
    <col min="5593" max="5593" width="13.25" style="877" customWidth="1"/>
    <col min="5594" max="5595" width="14.625" style="877" customWidth="1"/>
    <col min="5596" max="5598" width="13.125" style="877" customWidth="1"/>
    <col min="5599" max="5635" width="17.25" style="877" customWidth="1"/>
    <col min="5636" max="5636" width="14.75" style="877" bestFit="1" customWidth="1"/>
    <col min="5637" max="5637" width="13.75" style="877" customWidth="1"/>
    <col min="5638" max="5638" width="15.25" style="877" customWidth="1"/>
    <col min="5639" max="5639" width="13.125" style="877" customWidth="1"/>
    <col min="5640" max="5640" width="11.875" style="877" customWidth="1"/>
    <col min="5641" max="5641" width="13.25" style="877" customWidth="1"/>
    <col min="5642" max="5642" width="12.625" style="877" customWidth="1"/>
    <col min="5643" max="5643" width="13" style="877" bestFit="1" customWidth="1"/>
    <col min="5644" max="5644" width="13.375" style="877" bestFit="1" customWidth="1"/>
    <col min="5645" max="5645" width="19.375" style="877" customWidth="1"/>
    <col min="5646" max="5646" width="12.75" style="877" bestFit="1" customWidth="1"/>
    <col min="5647" max="5647" width="13" style="877" bestFit="1" customWidth="1"/>
    <col min="5648" max="5648" width="13.375" style="877" bestFit="1" customWidth="1"/>
    <col min="5649" max="5649" width="16.625" style="877" customWidth="1"/>
    <col min="5650" max="5650" width="13.125" style="877" customWidth="1"/>
    <col min="5651" max="5651" width="15.125" style="877" bestFit="1" customWidth="1"/>
    <col min="5652" max="5652" width="16.625" style="877" bestFit="1" customWidth="1"/>
    <col min="5653" max="5653" width="14.375" style="877" customWidth="1"/>
    <col min="5654" max="5654" width="13.25" style="877" bestFit="1" customWidth="1"/>
    <col min="5655" max="5655" width="13" style="877" bestFit="1" customWidth="1"/>
    <col min="5656" max="5663" width="13" style="877" customWidth="1"/>
    <col min="5664" max="5664" width="13" style="877" bestFit="1" customWidth="1"/>
    <col min="5665" max="5665" width="15.875" style="877" customWidth="1"/>
    <col min="5666" max="5666" width="12.75" style="877" bestFit="1" customWidth="1"/>
    <col min="5667" max="5668" width="13" style="877" bestFit="1" customWidth="1"/>
    <col min="5669" max="5669" width="14.375" style="877" customWidth="1"/>
    <col min="5670" max="5670" width="12.75" style="877" bestFit="1" customWidth="1"/>
    <col min="5671" max="5672" width="13" style="877" bestFit="1" customWidth="1"/>
    <col min="5673" max="5673" width="15.125" style="877" customWidth="1"/>
    <col min="5674" max="5676" width="13" style="877" bestFit="1" customWidth="1"/>
    <col min="5677" max="5677" width="13.75" style="877" customWidth="1"/>
    <col min="5678" max="5679" width="13" style="877" bestFit="1" customWidth="1"/>
    <col min="5680" max="5680" width="13.125" style="877" customWidth="1"/>
    <col min="5681" max="5681" width="15.875" style="877" customWidth="1"/>
    <col min="5682" max="5682" width="13" style="877" customWidth="1"/>
    <col min="5683" max="5683" width="13" style="877" bestFit="1" customWidth="1"/>
    <col min="5684" max="5684" width="21" style="877" customWidth="1"/>
    <col min="5685" max="5685" width="15.75" style="877" customWidth="1"/>
    <col min="5686" max="5686" width="13.375" style="877" customWidth="1"/>
    <col min="5687" max="5687" width="13" style="877" bestFit="1" customWidth="1"/>
    <col min="5688" max="5691" width="13" style="877" customWidth="1"/>
    <col min="5692" max="5692" width="13.375" style="877" bestFit="1" customWidth="1"/>
    <col min="5693" max="5693" width="14.375" style="877" customWidth="1"/>
    <col min="5694" max="5694" width="13.375" style="877" customWidth="1"/>
    <col min="5695" max="5699" width="12.625" style="877" customWidth="1"/>
    <col min="5700" max="5700" width="13.375" style="877" bestFit="1" customWidth="1"/>
    <col min="5701" max="5701" width="14" style="877" customWidth="1"/>
    <col min="5702" max="5702" width="13.375" style="877" bestFit="1" customWidth="1"/>
    <col min="5703" max="5703" width="13" style="877" bestFit="1" customWidth="1"/>
    <col min="5704" max="5705" width="13.75" style="877" customWidth="1"/>
    <col min="5706" max="5706" width="13.125" style="877" customWidth="1"/>
    <col min="5707" max="5707" width="12.25" style="877" customWidth="1"/>
    <col min="5708" max="5708" width="13.375" style="877" bestFit="1" customWidth="1"/>
    <col min="5709" max="5709" width="17" style="877" customWidth="1"/>
    <col min="5710" max="5710" width="13.25" style="877" bestFit="1" customWidth="1"/>
    <col min="5711" max="5711" width="13" style="877" bestFit="1" customWidth="1"/>
    <col min="5712" max="5712" width="12.75" style="877" bestFit="1" customWidth="1"/>
    <col min="5713" max="5713" width="14.75" style="877" customWidth="1"/>
    <col min="5714" max="5714" width="11.875" style="877" bestFit="1" customWidth="1"/>
    <col min="5715" max="5715" width="13" style="877" bestFit="1" customWidth="1"/>
    <col min="5716" max="5716" width="15.125" style="877" bestFit="1" customWidth="1"/>
    <col min="5717" max="5717" width="14" style="877" customWidth="1"/>
    <col min="5718" max="5718" width="12" style="877" bestFit="1" customWidth="1"/>
    <col min="5719" max="5719" width="11.375" style="877" customWidth="1"/>
    <col min="5720" max="5720" width="12.75" style="877" bestFit="1" customWidth="1"/>
    <col min="5721" max="5721" width="11.375" style="877" customWidth="1"/>
    <col min="5722" max="5723" width="13" style="877" bestFit="1" customWidth="1"/>
    <col min="5724" max="5724" width="12.75" style="877" bestFit="1" customWidth="1"/>
    <col min="5725" max="5725" width="18.25" style="877" customWidth="1"/>
    <col min="5726" max="5726" width="12.625" style="877" bestFit="1" customWidth="1"/>
    <col min="5727" max="5727" width="13" style="877" bestFit="1" customWidth="1"/>
    <col min="5728" max="5728" width="13" style="877" customWidth="1"/>
    <col min="5729" max="5729" width="14.375" style="877" customWidth="1"/>
    <col min="5730" max="5731" width="13" style="877" customWidth="1"/>
    <col min="5732" max="5732" width="13.25" style="877" customWidth="1"/>
    <col min="5733" max="5733" width="15.75" style="877" customWidth="1"/>
    <col min="5734" max="5734" width="12" style="877" bestFit="1" customWidth="1"/>
    <col min="5735" max="5736" width="12.25" style="877" customWidth="1"/>
    <col min="5737" max="5737" width="15.875" style="877" customWidth="1"/>
    <col min="5738" max="5740" width="12.25" style="877" customWidth="1"/>
    <col min="5741" max="5741" width="14.875" style="877" customWidth="1"/>
    <col min="5742" max="5744" width="12.25" style="877" customWidth="1"/>
    <col min="5745" max="5745" width="13.75" style="877" customWidth="1"/>
    <col min="5746" max="5747" width="12.25" style="877" customWidth="1"/>
    <col min="5748" max="5748" width="18.125" style="877" customWidth="1"/>
    <col min="5749" max="5749" width="16.25" style="877" customWidth="1"/>
    <col min="5750" max="5750" width="15" style="877" customWidth="1"/>
    <col min="5751" max="5751" width="9.125" style="877"/>
    <col min="5752" max="5752" width="13.375" style="877" bestFit="1" customWidth="1"/>
    <col min="5753" max="5824" width="9.125" style="877"/>
    <col min="5825" max="5825" width="3.75" style="877" customWidth="1"/>
    <col min="5826" max="5826" width="17" style="877" customWidth="1"/>
    <col min="5827" max="5827" width="13" style="877" customWidth="1"/>
    <col min="5828" max="5828" width="18.75" style="877" customWidth="1"/>
    <col min="5829" max="5829" width="14.125" style="877" customWidth="1"/>
    <col min="5830" max="5830" width="12.875" style="877" customWidth="1"/>
    <col min="5831" max="5831" width="11.75" style="877" customWidth="1"/>
    <col min="5832" max="5832" width="12.875" style="877" customWidth="1"/>
    <col min="5833" max="5833" width="14.875" style="877" customWidth="1"/>
    <col min="5834" max="5834" width="13" style="877" customWidth="1"/>
    <col min="5835" max="5835" width="11.25" style="877" customWidth="1"/>
    <col min="5836" max="5836" width="14.875" style="877" customWidth="1"/>
    <col min="5837" max="5837" width="14.375" style="877" customWidth="1"/>
    <col min="5838" max="5838" width="13.375" style="877" customWidth="1"/>
    <col min="5839" max="5839" width="11.375" style="877" customWidth="1"/>
    <col min="5840" max="5840" width="12.875" style="877" customWidth="1"/>
    <col min="5841" max="5841" width="11.375" style="877" customWidth="1"/>
    <col min="5842" max="5842" width="13.125" style="877" customWidth="1"/>
    <col min="5843" max="5843" width="12.125" style="877" customWidth="1"/>
    <col min="5844" max="5844" width="13.875" style="877" customWidth="1"/>
    <col min="5845" max="5845" width="14" style="877" customWidth="1"/>
    <col min="5846" max="5846" width="13.25" style="877" customWidth="1"/>
    <col min="5847" max="5847" width="11.375" style="877" customWidth="1"/>
    <col min="5848" max="5848" width="14.75" style="877" bestFit="1" customWidth="1"/>
    <col min="5849" max="5849" width="13.25" style="877" customWidth="1"/>
    <col min="5850" max="5851" width="14.625" style="877" customWidth="1"/>
    <col min="5852" max="5854" width="13.125" style="877" customWidth="1"/>
    <col min="5855" max="5891" width="17.25" style="877" customWidth="1"/>
    <col min="5892" max="5892" width="14.75" style="877" bestFit="1" customWidth="1"/>
    <col min="5893" max="5893" width="13.75" style="877" customWidth="1"/>
    <col min="5894" max="5894" width="15.25" style="877" customWidth="1"/>
    <col min="5895" max="5895" width="13.125" style="877" customWidth="1"/>
    <col min="5896" max="5896" width="11.875" style="877" customWidth="1"/>
    <col min="5897" max="5897" width="13.25" style="877" customWidth="1"/>
    <col min="5898" max="5898" width="12.625" style="877" customWidth="1"/>
    <col min="5899" max="5899" width="13" style="877" bestFit="1" customWidth="1"/>
    <col min="5900" max="5900" width="13.375" style="877" bestFit="1" customWidth="1"/>
    <col min="5901" max="5901" width="19.375" style="877" customWidth="1"/>
    <col min="5902" max="5902" width="12.75" style="877" bestFit="1" customWidth="1"/>
    <col min="5903" max="5903" width="13" style="877" bestFit="1" customWidth="1"/>
    <col min="5904" max="5904" width="13.375" style="877" bestFit="1" customWidth="1"/>
    <col min="5905" max="5905" width="16.625" style="877" customWidth="1"/>
    <col min="5906" max="5906" width="13.125" style="877" customWidth="1"/>
    <col min="5907" max="5907" width="15.125" style="877" bestFit="1" customWidth="1"/>
    <col min="5908" max="5908" width="16.625" style="877" bestFit="1" customWidth="1"/>
    <col min="5909" max="5909" width="14.375" style="877" customWidth="1"/>
    <col min="5910" max="5910" width="13.25" style="877" bestFit="1" customWidth="1"/>
    <col min="5911" max="5911" width="13" style="877" bestFit="1" customWidth="1"/>
    <col min="5912" max="5919" width="13" style="877" customWidth="1"/>
    <col min="5920" max="5920" width="13" style="877" bestFit="1" customWidth="1"/>
    <col min="5921" max="5921" width="15.875" style="877" customWidth="1"/>
    <col min="5922" max="5922" width="12.75" style="877" bestFit="1" customWidth="1"/>
    <col min="5923" max="5924" width="13" style="877" bestFit="1" customWidth="1"/>
    <col min="5925" max="5925" width="14.375" style="877" customWidth="1"/>
    <col min="5926" max="5926" width="12.75" style="877" bestFit="1" customWidth="1"/>
    <col min="5927" max="5928" width="13" style="877" bestFit="1" customWidth="1"/>
    <col min="5929" max="5929" width="15.125" style="877" customWidth="1"/>
    <col min="5930" max="5932" width="13" style="877" bestFit="1" customWidth="1"/>
    <col min="5933" max="5933" width="13.75" style="877" customWidth="1"/>
    <col min="5934" max="5935" width="13" style="877" bestFit="1" customWidth="1"/>
    <col min="5936" max="5936" width="13.125" style="877" customWidth="1"/>
    <col min="5937" max="5937" width="15.875" style="877" customWidth="1"/>
    <col min="5938" max="5938" width="13" style="877" customWidth="1"/>
    <col min="5939" max="5939" width="13" style="877" bestFit="1" customWidth="1"/>
    <col min="5940" max="5940" width="21" style="877" customWidth="1"/>
    <col min="5941" max="5941" width="15.75" style="877" customWidth="1"/>
    <col min="5942" max="5942" width="13.375" style="877" customWidth="1"/>
    <col min="5943" max="5943" width="13" style="877" bestFit="1" customWidth="1"/>
    <col min="5944" max="5947" width="13" style="877" customWidth="1"/>
    <col min="5948" max="5948" width="13.375" style="877" bestFit="1" customWidth="1"/>
    <col min="5949" max="5949" width="14.375" style="877" customWidth="1"/>
    <col min="5950" max="5950" width="13.375" style="877" customWidth="1"/>
    <col min="5951" max="5955" width="12.625" style="877" customWidth="1"/>
    <col min="5956" max="5956" width="13.375" style="877" bestFit="1" customWidth="1"/>
    <col min="5957" max="5957" width="14" style="877" customWidth="1"/>
    <col min="5958" max="5958" width="13.375" style="877" bestFit="1" customWidth="1"/>
    <col min="5959" max="5959" width="13" style="877" bestFit="1" customWidth="1"/>
    <col min="5960" max="5961" width="13.75" style="877" customWidth="1"/>
    <col min="5962" max="5962" width="13.125" style="877" customWidth="1"/>
    <col min="5963" max="5963" width="12.25" style="877" customWidth="1"/>
    <col min="5964" max="5964" width="13.375" style="877" bestFit="1" customWidth="1"/>
    <col min="5965" max="5965" width="17" style="877" customWidth="1"/>
    <col min="5966" max="5966" width="13.25" style="877" bestFit="1" customWidth="1"/>
    <col min="5967" max="5967" width="13" style="877" bestFit="1" customWidth="1"/>
    <col min="5968" max="5968" width="12.75" style="877" bestFit="1" customWidth="1"/>
    <col min="5969" max="5969" width="14.75" style="877" customWidth="1"/>
    <col min="5970" max="5970" width="11.875" style="877" bestFit="1" customWidth="1"/>
    <col min="5971" max="5971" width="13" style="877" bestFit="1" customWidth="1"/>
    <col min="5972" max="5972" width="15.125" style="877" bestFit="1" customWidth="1"/>
    <col min="5973" max="5973" width="14" style="877" customWidth="1"/>
    <col min="5974" max="5974" width="12" style="877" bestFit="1" customWidth="1"/>
    <col min="5975" max="5975" width="11.375" style="877" customWidth="1"/>
    <col min="5976" max="5976" width="12.75" style="877" bestFit="1" customWidth="1"/>
    <col min="5977" max="5977" width="11.375" style="877" customWidth="1"/>
    <col min="5978" max="5979" width="13" style="877" bestFit="1" customWidth="1"/>
    <col min="5980" max="5980" width="12.75" style="877" bestFit="1" customWidth="1"/>
    <col min="5981" max="5981" width="18.25" style="877" customWidth="1"/>
    <col min="5982" max="5982" width="12.625" style="877" bestFit="1" customWidth="1"/>
    <col min="5983" max="5983" width="13" style="877" bestFit="1" customWidth="1"/>
    <col min="5984" max="5984" width="13" style="877" customWidth="1"/>
    <col min="5985" max="5985" width="14.375" style="877" customWidth="1"/>
    <col min="5986" max="5987" width="13" style="877" customWidth="1"/>
    <col min="5988" max="5988" width="13.25" style="877" customWidth="1"/>
    <col min="5989" max="5989" width="15.75" style="877" customWidth="1"/>
    <col min="5990" max="5990" width="12" style="877" bestFit="1" customWidth="1"/>
    <col min="5991" max="5992" width="12.25" style="877" customWidth="1"/>
    <col min="5993" max="5993" width="15.875" style="877" customWidth="1"/>
    <col min="5994" max="5996" width="12.25" style="877" customWidth="1"/>
    <col min="5997" max="5997" width="14.875" style="877" customWidth="1"/>
    <col min="5998" max="6000" width="12.25" style="877" customWidth="1"/>
    <col min="6001" max="6001" width="13.75" style="877" customWidth="1"/>
    <col min="6002" max="6003" width="12.25" style="877" customWidth="1"/>
    <col min="6004" max="6004" width="18.125" style="877" customWidth="1"/>
    <col min="6005" max="6005" width="16.25" style="877" customWidth="1"/>
    <col min="6006" max="6006" width="15" style="877" customWidth="1"/>
    <col min="6007" max="6007" width="9.125" style="877"/>
    <col min="6008" max="6008" width="13.375" style="877" bestFit="1" customWidth="1"/>
    <col min="6009" max="6080" width="9.125" style="877"/>
    <col min="6081" max="6081" width="3.75" style="877" customWidth="1"/>
    <col min="6082" max="6082" width="17" style="877" customWidth="1"/>
    <col min="6083" max="6083" width="13" style="877" customWidth="1"/>
    <col min="6084" max="6084" width="18.75" style="877" customWidth="1"/>
    <col min="6085" max="6085" width="14.125" style="877" customWidth="1"/>
    <col min="6086" max="6086" width="12.875" style="877" customWidth="1"/>
    <col min="6087" max="6087" width="11.75" style="877" customWidth="1"/>
    <col min="6088" max="6088" width="12.875" style="877" customWidth="1"/>
    <col min="6089" max="6089" width="14.875" style="877" customWidth="1"/>
    <col min="6090" max="6090" width="13" style="877" customWidth="1"/>
    <col min="6091" max="6091" width="11.25" style="877" customWidth="1"/>
    <col min="6092" max="6092" width="14.875" style="877" customWidth="1"/>
    <col min="6093" max="6093" width="14.375" style="877" customWidth="1"/>
    <col min="6094" max="6094" width="13.375" style="877" customWidth="1"/>
    <col min="6095" max="6095" width="11.375" style="877" customWidth="1"/>
    <col min="6096" max="6096" width="12.875" style="877" customWidth="1"/>
    <col min="6097" max="6097" width="11.375" style="877" customWidth="1"/>
    <col min="6098" max="6098" width="13.125" style="877" customWidth="1"/>
    <col min="6099" max="6099" width="12.125" style="877" customWidth="1"/>
    <col min="6100" max="6100" width="13.875" style="877" customWidth="1"/>
    <col min="6101" max="6101" width="14" style="877" customWidth="1"/>
    <col min="6102" max="6102" width="13.25" style="877" customWidth="1"/>
    <col min="6103" max="6103" width="11.375" style="877" customWidth="1"/>
    <col min="6104" max="6104" width="14.75" style="877" bestFit="1" customWidth="1"/>
    <col min="6105" max="6105" width="13.25" style="877" customWidth="1"/>
    <col min="6106" max="6107" width="14.625" style="877" customWidth="1"/>
    <col min="6108" max="6110" width="13.125" style="877" customWidth="1"/>
    <col min="6111" max="6147" width="17.25" style="877" customWidth="1"/>
    <col min="6148" max="6148" width="14.75" style="877" bestFit="1" customWidth="1"/>
    <col min="6149" max="6149" width="13.75" style="877" customWidth="1"/>
    <col min="6150" max="6150" width="15.25" style="877" customWidth="1"/>
    <col min="6151" max="6151" width="13.125" style="877" customWidth="1"/>
    <col min="6152" max="6152" width="11.875" style="877" customWidth="1"/>
    <col min="6153" max="6153" width="13.25" style="877" customWidth="1"/>
    <col min="6154" max="6154" width="12.625" style="877" customWidth="1"/>
    <col min="6155" max="6155" width="13" style="877" bestFit="1" customWidth="1"/>
    <col min="6156" max="6156" width="13.375" style="877" bestFit="1" customWidth="1"/>
    <col min="6157" max="6157" width="19.375" style="877" customWidth="1"/>
    <col min="6158" max="6158" width="12.75" style="877" bestFit="1" customWidth="1"/>
    <col min="6159" max="6159" width="13" style="877" bestFit="1" customWidth="1"/>
    <col min="6160" max="6160" width="13.375" style="877" bestFit="1" customWidth="1"/>
    <col min="6161" max="6161" width="16.625" style="877" customWidth="1"/>
    <col min="6162" max="6162" width="13.125" style="877" customWidth="1"/>
    <col min="6163" max="6163" width="15.125" style="877" bestFit="1" customWidth="1"/>
    <col min="6164" max="6164" width="16.625" style="877" bestFit="1" customWidth="1"/>
    <col min="6165" max="6165" width="14.375" style="877" customWidth="1"/>
    <col min="6166" max="6166" width="13.25" style="877" bestFit="1" customWidth="1"/>
    <col min="6167" max="6167" width="13" style="877" bestFit="1" customWidth="1"/>
    <col min="6168" max="6175" width="13" style="877" customWidth="1"/>
    <col min="6176" max="6176" width="13" style="877" bestFit="1" customWidth="1"/>
    <col min="6177" max="6177" width="15.875" style="877" customWidth="1"/>
    <col min="6178" max="6178" width="12.75" style="877" bestFit="1" customWidth="1"/>
    <col min="6179" max="6180" width="13" style="877" bestFit="1" customWidth="1"/>
    <col min="6181" max="6181" width="14.375" style="877" customWidth="1"/>
    <col min="6182" max="6182" width="12.75" style="877" bestFit="1" customWidth="1"/>
    <col min="6183" max="6184" width="13" style="877" bestFit="1" customWidth="1"/>
    <col min="6185" max="6185" width="15.125" style="877" customWidth="1"/>
    <col min="6186" max="6188" width="13" style="877" bestFit="1" customWidth="1"/>
    <col min="6189" max="6189" width="13.75" style="877" customWidth="1"/>
    <col min="6190" max="6191" width="13" style="877" bestFit="1" customWidth="1"/>
    <col min="6192" max="6192" width="13.125" style="877" customWidth="1"/>
    <col min="6193" max="6193" width="15.875" style="877" customWidth="1"/>
    <col min="6194" max="6194" width="13" style="877" customWidth="1"/>
    <col min="6195" max="6195" width="13" style="877" bestFit="1" customWidth="1"/>
    <col min="6196" max="6196" width="21" style="877" customWidth="1"/>
    <col min="6197" max="6197" width="15.75" style="877" customWidth="1"/>
    <col min="6198" max="6198" width="13.375" style="877" customWidth="1"/>
    <col min="6199" max="6199" width="13" style="877" bestFit="1" customWidth="1"/>
    <col min="6200" max="6203" width="13" style="877" customWidth="1"/>
    <col min="6204" max="6204" width="13.375" style="877" bestFit="1" customWidth="1"/>
    <col min="6205" max="6205" width="14.375" style="877" customWidth="1"/>
    <col min="6206" max="6206" width="13.375" style="877" customWidth="1"/>
    <col min="6207" max="6211" width="12.625" style="877" customWidth="1"/>
    <col min="6212" max="6212" width="13.375" style="877" bestFit="1" customWidth="1"/>
    <col min="6213" max="6213" width="14" style="877" customWidth="1"/>
    <col min="6214" max="6214" width="13.375" style="877" bestFit="1" customWidth="1"/>
    <col min="6215" max="6215" width="13" style="877" bestFit="1" customWidth="1"/>
    <col min="6216" max="6217" width="13.75" style="877" customWidth="1"/>
    <col min="6218" max="6218" width="13.125" style="877" customWidth="1"/>
    <col min="6219" max="6219" width="12.25" style="877" customWidth="1"/>
    <col min="6220" max="6220" width="13.375" style="877" bestFit="1" customWidth="1"/>
    <col min="6221" max="6221" width="17" style="877" customWidth="1"/>
    <col min="6222" max="6222" width="13.25" style="877" bestFit="1" customWidth="1"/>
    <col min="6223" max="6223" width="13" style="877" bestFit="1" customWidth="1"/>
    <col min="6224" max="6224" width="12.75" style="877" bestFit="1" customWidth="1"/>
    <col min="6225" max="6225" width="14.75" style="877" customWidth="1"/>
    <col min="6226" max="6226" width="11.875" style="877" bestFit="1" customWidth="1"/>
    <col min="6227" max="6227" width="13" style="877" bestFit="1" customWidth="1"/>
    <col min="6228" max="6228" width="15.125" style="877" bestFit="1" customWidth="1"/>
    <col min="6229" max="6229" width="14" style="877" customWidth="1"/>
    <col min="6230" max="6230" width="12" style="877" bestFit="1" customWidth="1"/>
    <col min="6231" max="6231" width="11.375" style="877" customWidth="1"/>
    <col min="6232" max="6232" width="12.75" style="877" bestFit="1" customWidth="1"/>
    <col min="6233" max="6233" width="11.375" style="877" customWidth="1"/>
    <col min="6234" max="6235" width="13" style="877" bestFit="1" customWidth="1"/>
    <col min="6236" max="6236" width="12.75" style="877" bestFit="1" customWidth="1"/>
    <col min="6237" max="6237" width="18.25" style="877" customWidth="1"/>
    <col min="6238" max="6238" width="12.625" style="877" bestFit="1" customWidth="1"/>
    <col min="6239" max="6239" width="13" style="877" bestFit="1" customWidth="1"/>
    <col min="6240" max="6240" width="13" style="877" customWidth="1"/>
    <col min="6241" max="6241" width="14.375" style="877" customWidth="1"/>
    <col min="6242" max="6243" width="13" style="877" customWidth="1"/>
    <col min="6244" max="6244" width="13.25" style="877" customWidth="1"/>
    <col min="6245" max="6245" width="15.75" style="877" customWidth="1"/>
    <col min="6246" max="6246" width="12" style="877" bestFit="1" customWidth="1"/>
    <col min="6247" max="6248" width="12.25" style="877" customWidth="1"/>
    <col min="6249" max="6249" width="15.875" style="877" customWidth="1"/>
    <col min="6250" max="6252" width="12.25" style="877" customWidth="1"/>
    <col min="6253" max="6253" width="14.875" style="877" customWidth="1"/>
    <col min="6254" max="6256" width="12.25" style="877" customWidth="1"/>
    <col min="6257" max="6257" width="13.75" style="877" customWidth="1"/>
    <col min="6258" max="6259" width="12.25" style="877" customWidth="1"/>
    <col min="6260" max="6260" width="18.125" style="877" customWidth="1"/>
    <col min="6261" max="6261" width="16.25" style="877" customWidth="1"/>
    <col min="6262" max="6262" width="15" style="877" customWidth="1"/>
    <col min="6263" max="6263" width="9.125" style="877"/>
    <col min="6264" max="6264" width="13.375" style="877" bestFit="1" customWidth="1"/>
    <col min="6265" max="6336" width="9.125" style="877"/>
    <col min="6337" max="6337" width="3.75" style="877" customWidth="1"/>
    <col min="6338" max="6338" width="17" style="877" customWidth="1"/>
    <col min="6339" max="6339" width="13" style="877" customWidth="1"/>
    <col min="6340" max="6340" width="18.75" style="877" customWidth="1"/>
    <col min="6341" max="6341" width="14.125" style="877" customWidth="1"/>
    <col min="6342" max="6342" width="12.875" style="877" customWidth="1"/>
    <col min="6343" max="6343" width="11.75" style="877" customWidth="1"/>
    <col min="6344" max="6344" width="12.875" style="877" customWidth="1"/>
    <col min="6345" max="6345" width="14.875" style="877" customWidth="1"/>
    <col min="6346" max="6346" width="13" style="877" customWidth="1"/>
    <col min="6347" max="6347" width="11.25" style="877" customWidth="1"/>
    <col min="6348" max="6348" width="14.875" style="877" customWidth="1"/>
    <col min="6349" max="6349" width="14.375" style="877" customWidth="1"/>
    <col min="6350" max="6350" width="13.375" style="877" customWidth="1"/>
    <col min="6351" max="6351" width="11.375" style="877" customWidth="1"/>
    <col min="6352" max="6352" width="12.875" style="877" customWidth="1"/>
    <col min="6353" max="6353" width="11.375" style="877" customWidth="1"/>
    <col min="6354" max="6354" width="13.125" style="877" customWidth="1"/>
    <col min="6355" max="6355" width="12.125" style="877" customWidth="1"/>
    <col min="6356" max="6356" width="13.875" style="877" customWidth="1"/>
    <col min="6357" max="6357" width="14" style="877" customWidth="1"/>
    <col min="6358" max="6358" width="13.25" style="877" customWidth="1"/>
    <col min="6359" max="6359" width="11.375" style="877" customWidth="1"/>
    <col min="6360" max="6360" width="14.75" style="877" bestFit="1" customWidth="1"/>
    <col min="6361" max="6361" width="13.25" style="877" customWidth="1"/>
    <col min="6362" max="6363" width="14.625" style="877" customWidth="1"/>
    <col min="6364" max="6366" width="13.125" style="877" customWidth="1"/>
    <col min="6367" max="6403" width="17.25" style="877" customWidth="1"/>
    <col min="6404" max="6404" width="14.75" style="877" bestFit="1" customWidth="1"/>
    <col min="6405" max="6405" width="13.75" style="877" customWidth="1"/>
    <col min="6406" max="6406" width="15.25" style="877" customWidth="1"/>
    <col min="6407" max="6407" width="13.125" style="877" customWidth="1"/>
    <col min="6408" max="6408" width="11.875" style="877" customWidth="1"/>
    <col min="6409" max="6409" width="13.25" style="877" customWidth="1"/>
    <col min="6410" max="6410" width="12.625" style="877" customWidth="1"/>
    <col min="6411" max="6411" width="13" style="877" bestFit="1" customWidth="1"/>
    <col min="6412" max="6412" width="13.375" style="877" bestFit="1" customWidth="1"/>
    <col min="6413" max="6413" width="19.375" style="877" customWidth="1"/>
    <col min="6414" max="6414" width="12.75" style="877" bestFit="1" customWidth="1"/>
    <col min="6415" max="6415" width="13" style="877" bestFit="1" customWidth="1"/>
    <col min="6416" max="6416" width="13.375" style="877" bestFit="1" customWidth="1"/>
    <col min="6417" max="6417" width="16.625" style="877" customWidth="1"/>
    <col min="6418" max="6418" width="13.125" style="877" customWidth="1"/>
    <col min="6419" max="6419" width="15.125" style="877" bestFit="1" customWidth="1"/>
    <col min="6420" max="6420" width="16.625" style="877" bestFit="1" customWidth="1"/>
    <col min="6421" max="6421" width="14.375" style="877" customWidth="1"/>
    <col min="6422" max="6422" width="13.25" style="877" bestFit="1" customWidth="1"/>
    <col min="6423" max="6423" width="13" style="877" bestFit="1" customWidth="1"/>
    <col min="6424" max="6431" width="13" style="877" customWidth="1"/>
    <col min="6432" max="6432" width="13" style="877" bestFit="1" customWidth="1"/>
    <col min="6433" max="6433" width="15.875" style="877" customWidth="1"/>
    <col min="6434" max="6434" width="12.75" style="877" bestFit="1" customWidth="1"/>
    <col min="6435" max="6436" width="13" style="877" bestFit="1" customWidth="1"/>
    <col min="6437" max="6437" width="14.375" style="877" customWidth="1"/>
    <col min="6438" max="6438" width="12.75" style="877" bestFit="1" customWidth="1"/>
    <col min="6439" max="6440" width="13" style="877" bestFit="1" customWidth="1"/>
    <col min="6441" max="6441" width="15.125" style="877" customWidth="1"/>
    <col min="6442" max="6444" width="13" style="877" bestFit="1" customWidth="1"/>
    <col min="6445" max="6445" width="13.75" style="877" customWidth="1"/>
    <col min="6446" max="6447" width="13" style="877" bestFit="1" customWidth="1"/>
    <col min="6448" max="6448" width="13.125" style="877" customWidth="1"/>
    <col min="6449" max="6449" width="15.875" style="877" customWidth="1"/>
    <col min="6450" max="6450" width="13" style="877" customWidth="1"/>
    <col min="6451" max="6451" width="13" style="877" bestFit="1" customWidth="1"/>
    <col min="6452" max="6452" width="21" style="877" customWidth="1"/>
    <col min="6453" max="6453" width="15.75" style="877" customWidth="1"/>
    <col min="6454" max="6454" width="13.375" style="877" customWidth="1"/>
    <col min="6455" max="6455" width="13" style="877" bestFit="1" customWidth="1"/>
    <col min="6456" max="6459" width="13" style="877" customWidth="1"/>
    <col min="6460" max="6460" width="13.375" style="877" bestFit="1" customWidth="1"/>
    <col min="6461" max="6461" width="14.375" style="877" customWidth="1"/>
    <col min="6462" max="6462" width="13.375" style="877" customWidth="1"/>
    <col min="6463" max="6467" width="12.625" style="877" customWidth="1"/>
    <col min="6468" max="6468" width="13.375" style="877" bestFit="1" customWidth="1"/>
    <col min="6469" max="6469" width="14" style="877" customWidth="1"/>
    <col min="6470" max="6470" width="13.375" style="877" bestFit="1" customWidth="1"/>
    <col min="6471" max="6471" width="13" style="877" bestFit="1" customWidth="1"/>
    <col min="6472" max="6473" width="13.75" style="877" customWidth="1"/>
    <col min="6474" max="6474" width="13.125" style="877" customWidth="1"/>
    <col min="6475" max="6475" width="12.25" style="877" customWidth="1"/>
    <col min="6476" max="6476" width="13.375" style="877" bestFit="1" customWidth="1"/>
    <col min="6477" max="6477" width="17" style="877" customWidth="1"/>
    <col min="6478" max="6478" width="13.25" style="877" bestFit="1" customWidth="1"/>
    <col min="6479" max="6479" width="13" style="877" bestFit="1" customWidth="1"/>
    <col min="6480" max="6480" width="12.75" style="877" bestFit="1" customWidth="1"/>
    <col min="6481" max="6481" width="14.75" style="877" customWidth="1"/>
    <col min="6482" max="6482" width="11.875" style="877" bestFit="1" customWidth="1"/>
    <col min="6483" max="6483" width="13" style="877" bestFit="1" customWidth="1"/>
    <col min="6484" max="6484" width="15.125" style="877" bestFit="1" customWidth="1"/>
    <col min="6485" max="6485" width="14" style="877" customWidth="1"/>
    <col min="6486" max="6486" width="12" style="877" bestFit="1" customWidth="1"/>
    <col min="6487" max="6487" width="11.375" style="877" customWidth="1"/>
    <col min="6488" max="6488" width="12.75" style="877" bestFit="1" customWidth="1"/>
    <col min="6489" max="6489" width="11.375" style="877" customWidth="1"/>
    <col min="6490" max="6491" width="13" style="877" bestFit="1" customWidth="1"/>
    <col min="6492" max="6492" width="12.75" style="877" bestFit="1" customWidth="1"/>
    <col min="6493" max="6493" width="18.25" style="877" customWidth="1"/>
    <col min="6494" max="6494" width="12.625" style="877" bestFit="1" customWidth="1"/>
    <col min="6495" max="6495" width="13" style="877" bestFit="1" customWidth="1"/>
    <col min="6496" max="6496" width="13" style="877" customWidth="1"/>
    <col min="6497" max="6497" width="14.375" style="877" customWidth="1"/>
    <col min="6498" max="6499" width="13" style="877" customWidth="1"/>
    <col min="6500" max="6500" width="13.25" style="877" customWidth="1"/>
    <col min="6501" max="6501" width="15.75" style="877" customWidth="1"/>
    <col min="6502" max="6502" width="12" style="877" bestFit="1" customWidth="1"/>
    <col min="6503" max="6504" width="12.25" style="877" customWidth="1"/>
    <col min="6505" max="6505" width="15.875" style="877" customWidth="1"/>
    <col min="6506" max="6508" width="12.25" style="877" customWidth="1"/>
    <col min="6509" max="6509" width="14.875" style="877" customWidth="1"/>
    <col min="6510" max="6512" width="12.25" style="877" customWidth="1"/>
    <col min="6513" max="6513" width="13.75" style="877" customWidth="1"/>
    <col min="6514" max="6515" width="12.25" style="877" customWidth="1"/>
    <col min="6516" max="6516" width="18.125" style="877" customWidth="1"/>
    <col min="6517" max="6517" width="16.25" style="877" customWidth="1"/>
    <col min="6518" max="6518" width="15" style="877" customWidth="1"/>
    <col min="6519" max="6519" width="9.125" style="877"/>
    <col min="6520" max="6520" width="13.375" style="877" bestFit="1" customWidth="1"/>
    <col min="6521" max="6592" width="9.125" style="877"/>
    <col min="6593" max="6593" width="3.75" style="877" customWidth="1"/>
    <col min="6594" max="6594" width="17" style="877" customWidth="1"/>
    <col min="6595" max="6595" width="13" style="877" customWidth="1"/>
    <col min="6596" max="6596" width="18.75" style="877" customWidth="1"/>
    <col min="6597" max="6597" width="14.125" style="877" customWidth="1"/>
    <col min="6598" max="6598" width="12.875" style="877" customWidth="1"/>
    <col min="6599" max="6599" width="11.75" style="877" customWidth="1"/>
    <col min="6600" max="6600" width="12.875" style="877" customWidth="1"/>
    <col min="6601" max="6601" width="14.875" style="877" customWidth="1"/>
    <col min="6602" max="6602" width="13" style="877" customWidth="1"/>
    <col min="6603" max="6603" width="11.25" style="877" customWidth="1"/>
    <col min="6604" max="6604" width="14.875" style="877" customWidth="1"/>
    <col min="6605" max="6605" width="14.375" style="877" customWidth="1"/>
    <col min="6606" max="6606" width="13.375" style="877" customWidth="1"/>
    <col min="6607" max="6607" width="11.375" style="877" customWidth="1"/>
    <col min="6608" max="6608" width="12.875" style="877" customWidth="1"/>
    <col min="6609" max="6609" width="11.375" style="877" customWidth="1"/>
    <col min="6610" max="6610" width="13.125" style="877" customWidth="1"/>
    <col min="6611" max="6611" width="12.125" style="877" customWidth="1"/>
    <col min="6612" max="6612" width="13.875" style="877" customWidth="1"/>
    <col min="6613" max="6613" width="14" style="877" customWidth="1"/>
    <col min="6614" max="6614" width="13.25" style="877" customWidth="1"/>
    <col min="6615" max="6615" width="11.375" style="877" customWidth="1"/>
    <col min="6616" max="6616" width="14.75" style="877" bestFit="1" customWidth="1"/>
    <col min="6617" max="6617" width="13.25" style="877" customWidth="1"/>
    <col min="6618" max="6619" width="14.625" style="877" customWidth="1"/>
    <col min="6620" max="6622" width="13.125" style="877" customWidth="1"/>
    <col min="6623" max="6659" width="17.25" style="877" customWidth="1"/>
    <col min="6660" max="6660" width="14.75" style="877" bestFit="1" customWidth="1"/>
    <col min="6661" max="6661" width="13.75" style="877" customWidth="1"/>
    <col min="6662" max="6662" width="15.25" style="877" customWidth="1"/>
    <col min="6663" max="6663" width="13.125" style="877" customWidth="1"/>
    <col min="6664" max="6664" width="11.875" style="877" customWidth="1"/>
    <col min="6665" max="6665" width="13.25" style="877" customWidth="1"/>
    <col min="6666" max="6666" width="12.625" style="877" customWidth="1"/>
    <col min="6667" max="6667" width="13" style="877" bestFit="1" customWidth="1"/>
    <col min="6668" max="6668" width="13.375" style="877" bestFit="1" customWidth="1"/>
    <col min="6669" max="6669" width="19.375" style="877" customWidth="1"/>
    <col min="6670" max="6670" width="12.75" style="877" bestFit="1" customWidth="1"/>
    <col min="6671" max="6671" width="13" style="877" bestFit="1" customWidth="1"/>
    <col min="6672" max="6672" width="13.375" style="877" bestFit="1" customWidth="1"/>
    <col min="6673" max="6673" width="16.625" style="877" customWidth="1"/>
    <col min="6674" max="6674" width="13.125" style="877" customWidth="1"/>
    <col min="6675" max="6675" width="15.125" style="877" bestFit="1" customWidth="1"/>
    <col min="6676" max="6676" width="16.625" style="877" bestFit="1" customWidth="1"/>
    <col min="6677" max="6677" width="14.375" style="877" customWidth="1"/>
    <col min="6678" max="6678" width="13.25" style="877" bestFit="1" customWidth="1"/>
    <col min="6679" max="6679" width="13" style="877" bestFit="1" customWidth="1"/>
    <col min="6680" max="6687" width="13" style="877" customWidth="1"/>
    <col min="6688" max="6688" width="13" style="877" bestFit="1" customWidth="1"/>
    <col min="6689" max="6689" width="15.875" style="877" customWidth="1"/>
    <col min="6690" max="6690" width="12.75" style="877" bestFit="1" customWidth="1"/>
    <col min="6691" max="6692" width="13" style="877" bestFit="1" customWidth="1"/>
    <col min="6693" max="6693" width="14.375" style="877" customWidth="1"/>
    <col min="6694" max="6694" width="12.75" style="877" bestFit="1" customWidth="1"/>
    <col min="6695" max="6696" width="13" style="877" bestFit="1" customWidth="1"/>
    <col min="6697" max="6697" width="15.125" style="877" customWidth="1"/>
    <col min="6698" max="6700" width="13" style="877" bestFit="1" customWidth="1"/>
    <col min="6701" max="6701" width="13.75" style="877" customWidth="1"/>
    <col min="6702" max="6703" width="13" style="877" bestFit="1" customWidth="1"/>
    <col min="6704" max="6704" width="13.125" style="877" customWidth="1"/>
    <col min="6705" max="6705" width="15.875" style="877" customWidth="1"/>
    <col min="6706" max="6706" width="13" style="877" customWidth="1"/>
    <col min="6707" max="6707" width="13" style="877" bestFit="1" customWidth="1"/>
    <col min="6708" max="6708" width="21" style="877" customWidth="1"/>
    <col min="6709" max="6709" width="15.75" style="877" customWidth="1"/>
    <col min="6710" max="6710" width="13.375" style="877" customWidth="1"/>
    <col min="6711" max="6711" width="13" style="877" bestFit="1" customWidth="1"/>
    <col min="6712" max="6715" width="13" style="877" customWidth="1"/>
    <col min="6716" max="6716" width="13.375" style="877" bestFit="1" customWidth="1"/>
    <col min="6717" max="6717" width="14.375" style="877" customWidth="1"/>
    <col min="6718" max="6718" width="13.375" style="877" customWidth="1"/>
    <col min="6719" max="6723" width="12.625" style="877" customWidth="1"/>
    <col min="6724" max="6724" width="13.375" style="877" bestFit="1" customWidth="1"/>
    <col min="6725" max="6725" width="14" style="877" customWidth="1"/>
    <col min="6726" max="6726" width="13.375" style="877" bestFit="1" customWidth="1"/>
    <col min="6727" max="6727" width="13" style="877" bestFit="1" customWidth="1"/>
    <col min="6728" max="6729" width="13.75" style="877" customWidth="1"/>
    <col min="6730" max="6730" width="13.125" style="877" customWidth="1"/>
    <col min="6731" max="6731" width="12.25" style="877" customWidth="1"/>
    <col min="6732" max="6732" width="13.375" style="877" bestFit="1" customWidth="1"/>
    <col min="6733" max="6733" width="17" style="877" customWidth="1"/>
    <col min="6734" max="6734" width="13.25" style="877" bestFit="1" customWidth="1"/>
    <col min="6735" max="6735" width="13" style="877" bestFit="1" customWidth="1"/>
    <col min="6736" max="6736" width="12.75" style="877" bestFit="1" customWidth="1"/>
    <col min="6737" max="6737" width="14.75" style="877" customWidth="1"/>
    <col min="6738" max="6738" width="11.875" style="877" bestFit="1" customWidth="1"/>
    <col min="6739" max="6739" width="13" style="877" bestFit="1" customWidth="1"/>
    <col min="6740" max="6740" width="15.125" style="877" bestFit="1" customWidth="1"/>
    <col min="6741" max="6741" width="14" style="877" customWidth="1"/>
    <col min="6742" max="6742" width="12" style="877" bestFit="1" customWidth="1"/>
    <col min="6743" max="6743" width="11.375" style="877" customWidth="1"/>
    <col min="6744" max="6744" width="12.75" style="877" bestFit="1" customWidth="1"/>
    <col min="6745" max="6745" width="11.375" style="877" customWidth="1"/>
    <col min="6746" max="6747" width="13" style="877" bestFit="1" customWidth="1"/>
    <col min="6748" max="6748" width="12.75" style="877" bestFit="1" customWidth="1"/>
    <col min="6749" max="6749" width="18.25" style="877" customWidth="1"/>
    <col min="6750" max="6750" width="12.625" style="877" bestFit="1" customWidth="1"/>
    <col min="6751" max="6751" width="13" style="877" bestFit="1" customWidth="1"/>
    <col min="6752" max="6752" width="13" style="877" customWidth="1"/>
    <col min="6753" max="6753" width="14.375" style="877" customWidth="1"/>
    <col min="6754" max="6755" width="13" style="877" customWidth="1"/>
    <col min="6756" max="6756" width="13.25" style="877" customWidth="1"/>
    <col min="6757" max="6757" width="15.75" style="877" customWidth="1"/>
    <col min="6758" max="6758" width="12" style="877" bestFit="1" customWidth="1"/>
    <col min="6759" max="6760" width="12.25" style="877" customWidth="1"/>
    <col min="6761" max="6761" width="15.875" style="877" customWidth="1"/>
    <col min="6762" max="6764" width="12.25" style="877" customWidth="1"/>
    <col min="6765" max="6765" width="14.875" style="877" customWidth="1"/>
    <col min="6766" max="6768" width="12.25" style="877" customWidth="1"/>
    <col min="6769" max="6769" width="13.75" style="877" customWidth="1"/>
    <col min="6770" max="6771" width="12.25" style="877" customWidth="1"/>
    <col min="6772" max="6772" width="18.125" style="877" customWidth="1"/>
    <col min="6773" max="6773" width="16.25" style="877" customWidth="1"/>
    <col min="6774" max="6774" width="15" style="877" customWidth="1"/>
    <col min="6775" max="6775" width="9.125" style="877"/>
    <col min="6776" max="6776" width="13.375" style="877" bestFit="1" customWidth="1"/>
    <col min="6777" max="6848" width="9.125" style="877"/>
    <col min="6849" max="6849" width="3.75" style="877" customWidth="1"/>
    <col min="6850" max="6850" width="17" style="877" customWidth="1"/>
    <col min="6851" max="6851" width="13" style="877" customWidth="1"/>
    <col min="6852" max="6852" width="18.75" style="877" customWidth="1"/>
    <col min="6853" max="6853" width="14.125" style="877" customWidth="1"/>
    <col min="6854" max="6854" width="12.875" style="877" customWidth="1"/>
    <col min="6855" max="6855" width="11.75" style="877" customWidth="1"/>
    <col min="6856" max="6856" width="12.875" style="877" customWidth="1"/>
    <col min="6857" max="6857" width="14.875" style="877" customWidth="1"/>
    <col min="6858" max="6858" width="13" style="877" customWidth="1"/>
    <col min="6859" max="6859" width="11.25" style="877" customWidth="1"/>
    <col min="6860" max="6860" width="14.875" style="877" customWidth="1"/>
    <col min="6861" max="6861" width="14.375" style="877" customWidth="1"/>
    <col min="6862" max="6862" width="13.375" style="877" customWidth="1"/>
    <col min="6863" max="6863" width="11.375" style="877" customWidth="1"/>
    <col min="6864" max="6864" width="12.875" style="877" customWidth="1"/>
    <col min="6865" max="6865" width="11.375" style="877" customWidth="1"/>
    <col min="6866" max="6866" width="13.125" style="877" customWidth="1"/>
    <col min="6867" max="6867" width="12.125" style="877" customWidth="1"/>
    <col min="6868" max="6868" width="13.875" style="877" customWidth="1"/>
    <col min="6869" max="6869" width="14" style="877" customWidth="1"/>
    <col min="6870" max="6870" width="13.25" style="877" customWidth="1"/>
    <col min="6871" max="6871" width="11.375" style="877" customWidth="1"/>
    <col min="6872" max="6872" width="14.75" style="877" bestFit="1" customWidth="1"/>
    <col min="6873" max="6873" width="13.25" style="877" customWidth="1"/>
    <col min="6874" max="6875" width="14.625" style="877" customWidth="1"/>
    <col min="6876" max="6878" width="13.125" style="877" customWidth="1"/>
    <col min="6879" max="6915" width="17.25" style="877" customWidth="1"/>
    <col min="6916" max="6916" width="14.75" style="877" bestFit="1" customWidth="1"/>
    <col min="6917" max="6917" width="13.75" style="877" customWidth="1"/>
    <col min="6918" max="6918" width="15.25" style="877" customWidth="1"/>
    <col min="6919" max="6919" width="13.125" style="877" customWidth="1"/>
    <col min="6920" max="6920" width="11.875" style="877" customWidth="1"/>
    <col min="6921" max="6921" width="13.25" style="877" customWidth="1"/>
    <col min="6922" max="6922" width="12.625" style="877" customWidth="1"/>
    <col min="6923" max="6923" width="13" style="877" bestFit="1" customWidth="1"/>
    <col min="6924" max="6924" width="13.375" style="877" bestFit="1" customWidth="1"/>
    <col min="6925" max="6925" width="19.375" style="877" customWidth="1"/>
    <col min="6926" max="6926" width="12.75" style="877" bestFit="1" customWidth="1"/>
    <col min="6927" max="6927" width="13" style="877" bestFit="1" customWidth="1"/>
    <col min="6928" max="6928" width="13.375" style="877" bestFit="1" customWidth="1"/>
    <col min="6929" max="6929" width="16.625" style="877" customWidth="1"/>
    <col min="6930" max="6930" width="13.125" style="877" customWidth="1"/>
    <col min="6931" max="6931" width="15.125" style="877" bestFit="1" customWidth="1"/>
    <col min="6932" max="6932" width="16.625" style="877" bestFit="1" customWidth="1"/>
    <col min="6933" max="6933" width="14.375" style="877" customWidth="1"/>
    <col min="6934" max="6934" width="13.25" style="877" bestFit="1" customWidth="1"/>
    <col min="6935" max="6935" width="13" style="877" bestFit="1" customWidth="1"/>
    <col min="6936" max="6943" width="13" style="877" customWidth="1"/>
    <col min="6944" max="6944" width="13" style="877" bestFit="1" customWidth="1"/>
    <col min="6945" max="6945" width="15.875" style="877" customWidth="1"/>
    <col min="6946" max="6946" width="12.75" style="877" bestFit="1" customWidth="1"/>
    <col min="6947" max="6948" width="13" style="877" bestFit="1" customWidth="1"/>
    <col min="6949" max="6949" width="14.375" style="877" customWidth="1"/>
    <col min="6950" max="6950" width="12.75" style="877" bestFit="1" customWidth="1"/>
    <col min="6951" max="6952" width="13" style="877" bestFit="1" customWidth="1"/>
    <col min="6953" max="6953" width="15.125" style="877" customWidth="1"/>
    <col min="6954" max="6956" width="13" style="877" bestFit="1" customWidth="1"/>
    <col min="6957" max="6957" width="13.75" style="877" customWidth="1"/>
    <col min="6958" max="6959" width="13" style="877" bestFit="1" customWidth="1"/>
    <col min="6960" max="6960" width="13.125" style="877" customWidth="1"/>
    <col min="6961" max="6961" width="15.875" style="877" customWidth="1"/>
    <col min="6962" max="6962" width="13" style="877" customWidth="1"/>
    <col min="6963" max="6963" width="13" style="877" bestFit="1" customWidth="1"/>
    <col min="6964" max="6964" width="21" style="877" customWidth="1"/>
    <col min="6965" max="6965" width="15.75" style="877" customWidth="1"/>
    <col min="6966" max="6966" width="13.375" style="877" customWidth="1"/>
    <col min="6967" max="6967" width="13" style="877" bestFit="1" customWidth="1"/>
    <col min="6968" max="6971" width="13" style="877" customWidth="1"/>
    <col min="6972" max="6972" width="13.375" style="877" bestFit="1" customWidth="1"/>
    <col min="6973" max="6973" width="14.375" style="877" customWidth="1"/>
    <col min="6974" max="6974" width="13.375" style="877" customWidth="1"/>
    <col min="6975" max="6979" width="12.625" style="877" customWidth="1"/>
    <col min="6980" max="6980" width="13.375" style="877" bestFit="1" customWidth="1"/>
    <col min="6981" max="6981" width="14" style="877" customWidth="1"/>
    <col min="6982" max="6982" width="13.375" style="877" bestFit="1" customWidth="1"/>
    <col min="6983" max="6983" width="13" style="877" bestFit="1" customWidth="1"/>
    <col min="6984" max="6985" width="13.75" style="877" customWidth="1"/>
    <col min="6986" max="6986" width="13.125" style="877" customWidth="1"/>
    <col min="6987" max="6987" width="12.25" style="877" customWidth="1"/>
    <col min="6988" max="6988" width="13.375" style="877" bestFit="1" customWidth="1"/>
    <col min="6989" max="6989" width="17" style="877" customWidth="1"/>
    <col min="6990" max="6990" width="13.25" style="877" bestFit="1" customWidth="1"/>
    <col min="6991" max="6991" width="13" style="877" bestFit="1" customWidth="1"/>
    <col min="6992" max="6992" width="12.75" style="877" bestFit="1" customWidth="1"/>
    <col min="6993" max="6993" width="14.75" style="877" customWidth="1"/>
    <col min="6994" max="6994" width="11.875" style="877" bestFit="1" customWidth="1"/>
    <col min="6995" max="6995" width="13" style="877" bestFit="1" customWidth="1"/>
    <col min="6996" max="6996" width="15.125" style="877" bestFit="1" customWidth="1"/>
    <col min="6997" max="6997" width="14" style="877" customWidth="1"/>
    <col min="6998" max="6998" width="12" style="877" bestFit="1" customWidth="1"/>
    <col min="6999" max="6999" width="11.375" style="877" customWidth="1"/>
    <col min="7000" max="7000" width="12.75" style="877" bestFit="1" customWidth="1"/>
    <col min="7001" max="7001" width="11.375" style="877" customWidth="1"/>
    <col min="7002" max="7003" width="13" style="877" bestFit="1" customWidth="1"/>
    <col min="7004" max="7004" width="12.75" style="877" bestFit="1" customWidth="1"/>
    <col min="7005" max="7005" width="18.25" style="877" customWidth="1"/>
    <col min="7006" max="7006" width="12.625" style="877" bestFit="1" customWidth="1"/>
    <col min="7007" max="7007" width="13" style="877" bestFit="1" customWidth="1"/>
    <col min="7008" max="7008" width="13" style="877" customWidth="1"/>
    <col min="7009" max="7009" width="14.375" style="877" customWidth="1"/>
    <col min="7010" max="7011" width="13" style="877" customWidth="1"/>
    <col min="7012" max="7012" width="13.25" style="877" customWidth="1"/>
    <col min="7013" max="7013" width="15.75" style="877" customWidth="1"/>
    <col min="7014" max="7014" width="12" style="877" bestFit="1" customWidth="1"/>
    <col min="7015" max="7016" width="12.25" style="877" customWidth="1"/>
    <col min="7017" max="7017" width="15.875" style="877" customWidth="1"/>
    <col min="7018" max="7020" width="12.25" style="877" customWidth="1"/>
    <col min="7021" max="7021" width="14.875" style="877" customWidth="1"/>
    <col min="7022" max="7024" width="12.25" style="877" customWidth="1"/>
    <col min="7025" max="7025" width="13.75" style="877" customWidth="1"/>
    <col min="7026" max="7027" width="12.25" style="877" customWidth="1"/>
    <col min="7028" max="7028" width="18.125" style="877" customWidth="1"/>
    <col min="7029" max="7029" width="16.25" style="877" customWidth="1"/>
    <col min="7030" max="7030" width="15" style="877" customWidth="1"/>
    <col min="7031" max="7031" width="9.125" style="877"/>
    <col min="7032" max="7032" width="13.375" style="877" bestFit="1" customWidth="1"/>
    <col min="7033" max="7104" width="9.125" style="877"/>
    <col min="7105" max="7105" width="3.75" style="877" customWidth="1"/>
    <col min="7106" max="7106" width="17" style="877" customWidth="1"/>
    <col min="7107" max="7107" width="13" style="877" customWidth="1"/>
    <col min="7108" max="7108" width="18.75" style="877" customWidth="1"/>
    <col min="7109" max="7109" width="14.125" style="877" customWidth="1"/>
    <col min="7110" max="7110" width="12.875" style="877" customWidth="1"/>
    <col min="7111" max="7111" width="11.75" style="877" customWidth="1"/>
    <col min="7112" max="7112" width="12.875" style="877" customWidth="1"/>
    <col min="7113" max="7113" width="14.875" style="877" customWidth="1"/>
    <col min="7114" max="7114" width="13" style="877" customWidth="1"/>
    <col min="7115" max="7115" width="11.25" style="877" customWidth="1"/>
    <col min="7116" max="7116" width="14.875" style="877" customWidth="1"/>
    <col min="7117" max="7117" width="14.375" style="877" customWidth="1"/>
    <col min="7118" max="7118" width="13.375" style="877" customWidth="1"/>
    <col min="7119" max="7119" width="11.375" style="877" customWidth="1"/>
    <col min="7120" max="7120" width="12.875" style="877" customWidth="1"/>
    <col min="7121" max="7121" width="11.375" style="877" customWidth="1"/>
    <col min="7122" max="7122" width="13.125" style="877" customWidth="1"/>
    <col min="7123" max="7123" width="12.125" style="877" customWidth="1"/>
    <col min="7124" max="7124" width="13.875" style="877" customWidth="1"/>
    <col min="7125" max="7125" width="14" style="877" customWidth="1"/>
    <col min="7126" max="7126" width="13.25" style="877" customWidth="1"/>
    <col min="7127" max="7127" width="11.375" style="877" customWidth="1"/>
    <col min="7128" max="7128" width="14.75" style="877" bestFit="1" customWidth="1"/>
    <col min="7129" max="7129" width="13.25" style="877" customWidth="1"/>
    <col min="7130" max="7131" width="14.625" style="877" customWidth="1"/>
    <col min="7132" max="7134" width="13.125" style="877" customWidth="1"/>
    <col min="7135" max="7171" width="17.25" style="877" customWidth="1"/>
    <col min="7172" max="7172" width="14.75" style="877" bestFit="1" customWidth="1"/>
    <col min="7173" max="7173" width="13.75" style="877" customWidth="1"/>
    <col min="7174" max="7174" width="15.25" style="877" customWidth="1"/>
    <col min="7175" max="7175" width="13.125" style="877" customWidth="1"/>
    <col min="7176" max="7176" width="11.875" style="877" customWidth="1"/>
    <col min="7177" max="7177" width="13.25" style="877" customWidth="1"/>
    <col min="7178" max="7178" width="12.625" style="877" customWidth="1"/>
    <col min="7179" max="7179" width="13" style="877" bestFit="1" customWidth="1"/>
    <col min="7180" max="7180" width="13.375" style="877" bestFit="1" customWidth="1"/>
    <col min="7181" max="7181" width="19.375" style="877" customWidth="1"/>
    <col min="7182" max="7182" width="12.75" style="877" bestFit="1" customWidth="1"/>
    <col min="7183" max="7183" width="13" style="877" bestFit="1" customWidth="1"/>
    <col min="7184" max="7184" width="13.375" style="877" bestFit="1" customWidth="1"/>
    <col min="7185" max="7185" width="16.625" style="877" customWidth="1"/>
    <col min="7186" max="7186" width="13.125" style="877" customWidth="1"/>
    <col min="7187" max="7187" width="15.125" style="877" bestFit="1" customWidth="1"/>
    <col min="7188" max="7188" width="16.625" style="877" bestFit="1" customWidth="1"/>
    <col min="7189" max="7189" width="14.375" style="877" customWidth="1"/>
    <col min="7190" max="7190" width="13.25" style="877" bestFit="1" customWidth="1"/>
    <col min="7191" max="7191" width="13" style="877" bestFit="1" customWidth="1"/>
    <col min="7192" max="7199" width="13" style="877" customWidth="1"/>
    <col min="7200" max="7200" width="13" style="877" bestFit="1" customWidth="1"/>
    <col min="7201" max="7201" width="15.875" style="877" customWidth="1"/>
    <col min="7202" max="7202" width="12.75" style="877" bestFit="1" customWidth="1"/>
    <col min="7203" max="7204" width="13" style="877" bestFit="1" customWidth="1"/>
    <col min="7205" max="7205" width="14.375" style="877" customWidth="1"/>
    <col min="7206" max="7206" width="12.75" style="877" bestFit="1" customWidth="1"/>
    <col min="7207" max="7208" width="13" style="877" bestFit="1" customWidth="1"/>
    <col min="7209" max="7209" width="15.125" style="877" customWidth="1"/>
    <col min="7210" max="7212" width="13" style="877" bestFit="1" customWidth="1"/>
    <col min="7213" max="7213" width="13.75" style="877" customWidth="1"/>
    <col min="7214" max="7215" width="13" style="877" bestFit="1" customWidth="1"/>
    <col min="7216" max="7216" width="13.125" style="877" customWidth="1"/>
    <col min="7217" max="7217" width="15.875" style="877" customWidth="1"/>
    <col min="7218" max="7218" width="13" style="877" customWidth="1"/>
    <col min="7219" max="7219" width="13" style="877" bestFit="1" customWidth="1"/>
    <col min="7220" max="7220" width="21" style="877" customWidth="1"/>
    <col min="7221" max="7221" width="15.75" style="877" customWidth="1"/>
    <col min="7222" max="7222" width="13.375" style="877" customWidth="1"/>
    <col min="7223" max="7223" width="13" style="877" bestFit="1" customWidth="1"/>
    <col min="7224" max="7227" width="13" style="877" customWidth="1"/>
    <col min="7228" max="7228" width="13.375" style="877" bestFit="1" customWidth="1"/>
    <col min="7229" max="7229" width="14.375" style="877" customWidth="1"/>
    <col min="7230" max="7230" width="13.375" style="877" customWidth="1"/>
    <col min="7231" max="7235" width="12.625" style="877" customWidth="1"/>
    <col min="7236" max="7236" width="13.375" style="877" bestFit="1" customWidth="1"/>
    <col min="7237" max="7237" width="14" style="877" customWidth="1"/>
    <col min="7238" max="7238" width="13.375" style="877" bestFit="1" customWidth="1"/>
    <col min="7239" max="7239" width="13" style="877" bestFit="1" customWidth="1"/>
    <col min="7240" max="7241" width="13.75" style="877" customWidth="1"/>
    <col min="7242" max="7242" width="13.125" style="877" customWidth="1"/>
    <col min="7243" max="7243" width="12.25" style="877" customWidth="1"/>
    <col min="7244" max="7244" width="13.375" style="877" bestFit="1" customWidth="1"/>
    <col min="7245" max="7245" width="17" style="877" customWidth="1"/>
    <col min="7246" max="7246" width="13.25" style="877" bestFit="1" customWidth="1"/>
    <col min="7247" max="7247" width="13" style="877" bestFit="1" customWidth="1"/>
    <col min="7248" max="7248" width="12.75" style="877" bestFit="1" customWidth="1"/>
    <col min="7249" max="7249" width="14.75" style="877" customWidth="1"/>
    <col min="7250" max="7250" width="11.875" style="877" bestFit="1" customWidth="1"/>
    <col min="7251" max="7251" width="13" style="877" bestFit="1" customWidth="1"/>
    <col min="7252" max="7252" width="15.125" style="877" bestFit="1" customWidth="1"/>
    <col min="7253" max="7253" width="14" style="877" customWidth="1"/>
    <col min="7254" max="7254" width="12" style="877" bestFit="1" customWidth="1"/>
    <col min="7255" max="7255" width="11.375" style="877" customWidth="1"/>
    <col min="7256" max="7256" width="12.75" style="877" bestFit="1" customWidth="1"/>
    <col min="7257" max="7257" width="11.375" style="877" customWidth="1"/>
    <col min="7258" max="7259" width="13" style="877" bestFit="1" customWidth="1"/>
    <col min="7260" max="7260" width="12.75" style="877" bestFit="1" customWidth="1"/>
    <col min="7261" max="7261" width="18.25" style="877" customWidth="1"/>
    <col min="7262" max="7262" width="12.625" style="877" bestFit="1" customWidth="1"/>
    <col min="7263" max="7263" width="13" style="877" bestFit="1" customWidth="1"/>
    <col min="7264" max="7264" width="13" style="877" customWidth="1"/>
    <col min="7265" max="7265" width="14.375" style="877" customWidth="1"/>
    <col min="7266" max="7267" width="13" style="877" customWidth="1"/>
    <col min="7268" max="7268" width="13.25" style="877" customWidth="1"/>
    <col min="7269" max="7269" width="15.75" style="877" customWidth="1"/>
    <col min="7270" max="7270" width="12" style="877" bestFit="1" customWidth="1"/>
    <col min="7271" max="7272" width="12.25" style="877" customWidth="1"/>
    <col min="7273" max="7273" width="15.875" style="877" customWidth="1"/>
    <col min="7274" max="7276" width="12.25" style="877" customWidth="1"/>
    <col min="7277" max="7277" width="14.875" style="877" customWidth="1"/>
    <col min="7278" max="7280" width="12.25" style="877" customWidth="1"/>
    <col min="7281" max="7281" width="13.75" style="877" customWidth="1"/>
    <col min="7282" max="7283" width="12.25" style="877" customWidth="1"/>
    <col min="7284" max="7284" width="18.125" style="877" customWidth="1"/>
    <col min="7285" max="7285" width="16.25" style="877" customWidth="1"/>
    <col min="7286" max="7286" width="15" style="877" customWidth="1"/>
    <col min="7287" max="7287" width="9.125" style="877"/>
    <col min="7288" max="7288" width="13.375" style="877" bestFit="1" customWidth="1"/>
    <col min="7289" max="7360" width="9.125" style="877"/>
    <col min="7361" max="7361" width="3.75" style="877" customWidth="1"/>
    <col min="7362" max="7362" width="17" style="877" customWidth="1"/>
    <col min="7363" max="7363" width="13" style="877" customWidth="1"/>
    <col min="7364" max="7364" width="18.75" style="877" customWidth="1"/>
    <col min="7365" max="7365" width="14.125" style="877" customWidth="1"/>
    <col min="7366" max="7366" width="12.875" style="877" customWidth="1"/>
    <col min="7367" max="7367" width="11.75" style="877" customWidth="1"/>
    <col min="7368" max="7368" width="12.875" style="877" customWidth="1"/>
    <col min="7369" max="7369" width="14.875" style="877" customWidth="1"/>
    <col min="7370" max="7370" width="13" style="877" customWidth="1"/>
    <col min="7371" max="7371" width="11.25" style="877" customWidth="1"/>
    <col min="7372" max="7372" width="14.875" style="877" customWidth="1"/>
    <col min="7373" max="7373" width="14.375" style="877" customWidth="1"/>
    <col min="7374" max="7374" width="13.375" style="877" customWidth="1"/>
    <col min="7375" max="7375" width="11.375" style="877" customWidth="1"/>
    <col min="7376" max="7376" width="12.875" style="877" customWidth="1"/>
    <col min="7377" max="7377" width="11.375" style="877" customWidth="1"/>
    <col min="7378" max="7378" width="13.125" style="877" customWidth="1"/>
    <col min="7379" max="7379" width="12.125" style="877" customWidth="1"/>
    <col min="7380" max="7380" width="13.875" style="877" customWidth="1"/>
    <col min="7381" max="7381" width="14" style="877" customWidth="1"/>
    <col min="7382" max="7382" width="13.25" style="877" customWidth="1"/>
    <col min="7383" max="7383" width="11.375" style="877" customWidth="1"/>
    <col min="7384" max="7384" width="14.75" style="877" bestFit="1" customWidth="1"/>
    <col min="7385" max="7385" width="13.25" style="877" customWidth="1"/>
    <col min="7386" max="7387" width="14.625" style="877" customWidth="1"/>
    <col min="7388" max="7390" width="13.125" style="877" customWidth="1"/>
    <col min="7391" max="7427" width="17.25" style="877" customWidth="1"/>
    <col min="7428" max="7428" width="14.75" style="877" bestFit="1" customWidth="1"/>
    <col min="7429" max="7429" width="13.75" style="877" customWidth="1"/>
    <col min="7430" max="7430" width="15.25" style="877" customWidth="1"/>
    <col min="7431" max="7431" width="13.125" style="877" customWidth="1"/>
    <col min="7432" max="7432" width="11.875" style="877" customWidth="1"/>
    <col min="7433" max="7433" width="13.25" style="877" customWidth="1"/>
    <col min="7434" max="7434" width="12.625" style="877" customWidth="1"/>
    <col min="7435" max="7435" width="13" style="877" bestFit="1" customWidth="1"/>
    <col min="7436" max="7436" width="13.375" style="877" bestFit="1" customWidth="1"/>
    <col min="7437" max="7437" width="19.375" style="877" customWidth="1"/>
    <col min="7438" max="7438" width="12.75" style="877" bestFit="1" customWidth="1"/>
    <col min="7439" max="7439" width="13" style="877" bestFit="1" customWidth="1"/>
    <col min="7440" max="7440" width="13.375" style="877" bestFit="1" customWidth="1"/>
    <col min="7441" max="7441" width="16.625" style="877" customWidth="1"/>
    <col min="7442" max="7442" width="13.125" style="877" customWidth="1"/>
    <col min="7443" max="7443" width="15.125" style="877" bestFit="1" customWidth="1"/>
    <col min="7444" max="7444" width="16.625" style="877" bestFit="1" customWidth="1"/>
    <col min="7445" max="7445" width="14.375" style="877" customWidth="1"/>
    <col min="7446" max="7446" width="13.25" style="877" bestFit="1" customWidth="1"/>
    <col min="7447" max="7447" width="13" style="877" bestFit="1" customWidth="1"/>
    <col min="7448" max="7455" width="13" style="877" customWidth="1"/>
    <col min="7456" max="7456" width="13" style="877" bestFit="1" customWidth="1"/>
    <col min="7457" max="7457" width="15.875" style="877" customWidth="1"/>
    <col min="7458" max="7458" width="12.75" style="877" bestFit="1" customWidth="1"/>
    <col min="7459" max="7460" width="13" style="877" bestFit="1" customWidth="1"/>
    <col min="7461" max="7461" width="14.375" style="877" customWidth="1"/>
    <col min="7462" max="7462" width="12.75" style="877" bestFit="1" customWidth="1"/>
    <col min="7463" max="7464" width="13" style="877" bestFit="1" customWidth="1"/>
    <col min="7465" max="7465" width="15.125" style="877" customWidth="1"/>
    <col min="7466" max="7468" width="13" style="877" bestFit="1" customWidth="1"/>
    <col min="7469" max="7469" width="13.75" style="877" customWidth="1"/>
    <col min="7470" max="7471" width="13" style="877" bestFit="1" customWidth="1"/>
    <col min="7472" max="7472" width="13.125" style="877" customWidth="1"/>
    <col min="7473" max="7473" width="15.875" style="877" customWidth="1"/>
    <col min="7474" max="7474" width="13" style="877" customWidth="1"/>
    <col min="7475" max="7475" width="13" style="877" bestFit="1" customWidth="1"/>
    <col min="7476" max="7476" width="21" style="877" customWidth="1"/>
    <col min="7477" max="7477" width="15.75" style="877" customWidth="1"/>
    <col min="7478" max="7478" width="13.375" style="877" customWidth="1"/>
    <col min="7479" max="7479" width="13" style="877" bestFit="1" customWidth="1"/>
    <col min="7480" max="7483" width="13" style="877" customWidth="1"/>
    <col min="7484" max="7484" width="13.375" style="877" bestFit="1" customWidth="1"/>
    <col min="7485" max="7485" width="14.375" style="877" customWidth="1"/>
    <col min="7486" max="7486" width="13.375" style="877" customWidth="1"/>
    <col min="7487" max="7491" width="12.625" style="877" customWidth="1"/>
    <col min="7492" max="7492" width="13.375" style="877" bestFit="1" customWidth="1"/>
    <col min="7493" max="7493" width="14" style="877" customWidth="1"/>
    <col min="7494" max="7494" width="13.375" style="877" bestFit="1" customWidth="1"/>
    <col min="7495" max="7495" width="13" style="877" bestFit="1" customWidth="1"/>
    <col min="7496" max="7497" width="13.75" style="877" customWidth="1"/>
    <col min="7498" max="7498" width="13.125" style="877" customWidth="1"/>
    <col min="7499" max="7499" width="12.25" style="877" customWidth="1"/>
    <col min="7500" max="7500" width="13.375" style="877" bestFit="1" customWidth="1"/>
    <col min="7501" max="7501" width="17" style="877" customWidth="1"/>
    <col min="7502" max="7502" width="13.25" style="877" bestFit="1" customWidth="1"/>
    <col min="7503" max="7503" width="13" style="877" bestFit="1" customWidth="1"/>
    <col min="7504" max="7504" width="12.75" style="877" bestFit="1" customWidth="1"/>
    <col min="7505" max="7505" width="14.75" style="877" customWidth="1"/>
    <col min="7506" max="7506" width="11.875" style="877" bestFit="1" customWidth="1"/>
    <col min="7507" max="7507" width="13" style="877" bestFit="1" customWidth="1"/>
    <col min="7508" max="7508" width="15.125" style="877" bestFit="1" customWidth="1"/>
    <col min="7509" max="7509" width="14" style="877" customWidth="1"/>
    <col min="7510" max="7510" width="12" style="877" bestFit="1" customWidth="1"/>
    <col min="7511" max="7511" width="11.375" style="877" customWidth="1"/>
    <col min="7512" max="7512" width="12.75" style="877" bestFit="1" customWidth="1"/>
    <col min="7513" max="7513" width="11.375" style="877" customWidth="1"/>
    <col min="7514" max="7515" width="13" style="877" bestFit="1" customWidth="1"/>
    <col min="7516" max="7516" width="12.75" style="877" bestFit="1" customWidth="1"/>
    <col min="7517" max="7517" width="18.25" style="877" customWidth="1"/>
    <col min="7518" max="7518" width="12.625" style="877" bestFit="1" customWidth="1"/>
    <col min="7519" max="7519" width="13" style="877" bestFit="1" customWidth="1"/>
    <col min="7520" max="7520" width="13" style="877" customWidth="1"/>
    <col min="7521" max="7521" width="14.375" style="877" customWidth="1"/>
    <col min="7522" max="7523" width="13" style="877" customWidth="1"/>
    <col min="7524" max="7524" width="13.25" style="877" customWidth="1"/>
    <col min="7525" max="7525" width="15.75" style="877" customWidth="1"/>
    <col min="7526" max="7526" width="12" style="877" bestFit="1" customWidth="1"/>
    <col min="7527" max="7528" width="12.25" style="877" customWidth="1"/>
    <col min="7529" max="7529" width="15.875" style="877" customWidth="1"/>
    <col min="7530" max="7532" width="12.25" style="877" customWidth="1"/>
    <col min="7533" max="7533" width="14.875" style="877" customWidth="1"/>
    <col min="7534" max="7536" width="12.25" style="877" customWidth="1"/>
    <col min="7537" max="7537" width="13.75" style="877" customWidth="1"/>
    <col min="7538" max="7539" width="12.25" style="877" customWidth="1"/>
    <col min="7540" max="7540" width="18.125" style="877" customWidth="1"/>
    <col min="7541" max="7541" width="16.25" style="877" customWidth="1"/>
    <col min="7542" max="7542" width="15" style="877" customWidth="1"/>
    <col min="7543" max="7543" width="9.125" style="877"/>
    <col min="7544" max="7544" width="13.375" style="877" bestFit="1" customWidth="1"/>
    <col min="7545" max="7616" width="9.125" style="877"/>
    <col min="7617" max="7617" width="3.75" style="877" customWidth="1"/>
    <col min="7618" max="7618" width="17" style="877" customWidth="1"/>
    <col min="7619" max="7619" width="13" style="877" customWidth="1"/>
    <col min="7620" max="7620" width="18.75" style="877" customWidth="1"/>
    <col min="7621" max="7621" width="14.125" style="877" customWidth="1"/>
    <col min="7622" max="7622" width="12.875" style="877" customWidth="1"/>
    <col min="7623" max="7623" width="11.75" style="877" customWidth="1"/>
    <col min="7624" max="7624" width="12.875" style="877" customWidth="1"/>
    <col min="7625" max="7625" width="14.875" style="877" customWidth="1"/>
    <col min="7626" max="7626" width="13" style="877" customWidth="1"/>
    <col min="7627" max="7627" width="11.25" style="877" customWidth="1"/>
    <col min="7628" max="7628" width="14.875" style="877" customWidth="1"/>
    <col min="7629" max="7629" width="14.375" style="877" customWidth="1"/>
    <col min="7630" max="7630" width="13.375" style="877" customWidth="1"/>
    <col min="7631" max="7631" width="11.375" style="877" customWidth="1"/>
    <col min="7632" max="7632" width="12.875" style="877" customWidth="1"/>
    <col min="7633" max="7633" width="11.375" style="877" customWidth="1"/>
    <col min="7634" max="7634" width="13.125" style="877" customWidth="1"/>
    <col min="7635" max="7635" width="12.125" style="877" customWidth="1"/>
    <col min="7636" max="7636" width="13.875" style="877" customWidth="1"/>
    <col min="7637" max="7637" width="14" style="877" customWidth="1"/>
    <col min="7638" max="7638" width="13.25" style="877" customWidth="1"/>
    <col min="7639" max="7639" width="11.375" style="877" customWidth="1"/>
    <col min="7640" max="7640" width="14.75" style="877" bestFit="1" customWidth="1"/>
    <col min="7641" max="7641" width="13.25" style="877" customWidth="1"/>
    <col min="7642" max="7643" width="14.625" style="877" customWidth="1"/>
    <col min="7644" max="7646" width="13.125" style="877" customWidth="1"/>
    <col min="7647" max="7683" width="17.25" style="877" customWidth="1"/>
    <col min="7684" max="7684" width="14.75" style="877" bestFit="1" customWidth="1"/>
    <col min="7685" max="7685" width="13.75" style="877" customWidth="1"/>
    <col min="7686" max="7686" width="15.25" style="877" customWidth="1"/>
    <col min="7687" max="7687" width="13.125" style="877" customWidth="1"/>
    <col min="7688" max="7688" width="11.875" style="877" customWidth="1"/>
    <col min="7689" max="7689" width="13.25" style="877" customWidth="1"/>
    <col min="7690" max="7690" width="12.625" style="877" customWidth="1"/>
    <col min="7691" max="7691" width="13" style="877" bestFit="1" customWidth="1"/>
    <col min="7692" max="7692" width="13.375" style="877" bestFit="1" customWidth="1"/>
    <col min="7693" max="7693" width="19.375" style="877" customWidth="1"/>
    <col min="7694" max="7694" width="12.75" style="877" bestFit="1" customWidth="1"/>
    <col min="7695" max="7695" width="13" style="877" bestFit="1" customWidth="1"/>
    <col min="7696" max="7696" width="13.375" style="877" bestFit="1" customWidth="1"/>
    <col min="7697" max="7697" width="16.625" style="877" customWidth="1"/>
    <col min="7698" max="7698" width="13.125" style="877" customWidth="1"/>
    <col min="7699" max="7699" width="15.125" style="877" bestFit="1" customWidth="1"/>
    <col min="7700" max="7700" width="16.625" style="877" bestFit="1" customWidth="1"/>
    <col min="7701" max="7701" width="14.375" style="877" customWidth="1"/>
    <col min="7702" max="7702" width="13.25" style="877" bestFit="1" customWidth="1"/>
    <col min="7703" max="7703" width="13" style="877" bestFit="1" customWidth="1"/>
    <col min="7704" max="7711" width="13" style="877" customWidth="1"/>
    <col min="7712" max="7712" width="13" style="877" bestFit="1" customWidth="1"/>
    <col min="7713" max="7713" width="15.875" style="877" customWidth="1"/>
    <col min="7714" max="7714" width="12.75" style="877" bestFit="1" customWidth="1"/>
    <col min="7715" max="7716" width="13" style="877" bestFit="1" customWidth="1"/>
    <col min="7717" max="7717" width="14.375" style="877" customWidth="1"/>
    <col min="7718" max="7718" width="12.75" style="877" bestFit="1" customWidth="1"/>
    <col min="7719" max="7720" width="13" style="877" bestFit="1" customWidth="1"/>
    <col min="7721" max="7721" width="15.125" style="877" customWidth="1"/>
    <col min="7722" max="7724" width="13" style="877" bestFit="1" customWidth="1"/>
    <col min="7725" max="7725" width="13.75" style="877" customWidth="1"/>
    <col min="7726" max="7727" width="13" style="877" bestFit="1" customWidth="1"/>
    <col min="7728" max="7728" width="13.125" style="877" customWidth="1"/>
    <col min="7729" max="7729" width="15.875" style="877" customWidth="1"/>
    <col min="7730" max="7730" width="13" style="877" customWidth="1"/>
    <col min="7731" max="7731" width="13" style="877" bestFit="1" customWidth="1"/>
    <col min="7732" max="7732" width="21" style="877" customWidth="1"/>
    <col min="7733" max="7733" width="15.75" style="877" customWidth="1"/>
    <col min="7734" max="7734" width="13.375" style="877" customWidth="1"/>
    <col min="7735" max="7735" width="13" style="877" bestFit="1" customWidth="1"/>
    <col min="7736" max="7739" width="13" style="877" customWidth="1"/>
    <col min="7740" max="7740" width="13.375" style="877" bestFit="1" customWidth="1"/>
    <col min="7741" max="7741" width="14.375" style="877" customWidth="1"/>
    <col min="7742" max="7742" width="13.375" style="877" customWidth="1"/>
    <col min="7743" max="7747" width="12.625" style="877" customWidth="1"/>
    <col min="7748" max="7748" width="13.375" style="877" bestFit="1" customWidth="1"/>
    <col min="7749" max="7749" width="14" style="877" customWidth="1"/>
    <col min="7750" max="7750" width="13.375" style="877" bestFit="1" customWidth="1"/>
    <col min="7751" max="7751" width="13" style="877" bestFit="1" customWidth="1"/>
    <col min="7752" max="7753" width="13.75" style="877" customWidth="1"/>
    <col min="7754" max="7754" width="13.125" style="877" customWidth="1"/>
    <col min="7755" max="7755" width="12.25" style="877" customWidth="1"/>
    <col min="7756" max="7756" width="13.375" style="877" bestFit="1" customWidth="1"/>
    <col min="7757" max="7757" width="17" style="877" customWidth="1"/>
    <col min="7758" max="7758" width="13.25" style="877" bestFit="1" customWidth="1"/>
    <col min="7759" max="7759" width="13" style="877" bestFit="1" customWidth="1"/>
    <col min="7760" max="7760" width="12.75" style="877" bestFit="1" customWidth="1"/>
    <col min="7761" max="7761" width="14.75" style="877" customWidth="1"/>
    <col min="7762" max="7762" width="11.875" style="877" bestFit="1" customWidth="1"/>
    <col min="7763" max="7763" width="13" style="877" bestFit="1" customWidth="1"/>
    <col min="7764" max="7764" width="15.125" style="877" bestFit="1" customWidth="1"/>
    <col min="7765" max="7765" width="14" style="877" customWidth="1"/>
    <col min="7766" max="7766" width="12" style="877" bestFit="1" customWidth="1"/>
    <col min="7767" max="7767" width="11.375" style="877" customWidth="1"/>
    <col min="7768" max="7768" width="12.75" style="877" bestFit="1" customWidth="1"/>
    <col min="7769" max="7769" width="11.375" style="877" customWidth="1"/>
    <col min="7770" max="7771" width="13" style="877" bestFit="1" customWidth="1"/>
    <col min="7772" max="7772" width="12.75" style="877" bestFit="1" customWidth="1"/>
    <col min="7773" max="7773" width="18.25" style="877" customWidth="1"/>
    <col min="7774" max="7774" width="12.625" style="877" bestFit="1" customWidth="1"/>
    <col min="7775" max="7775" width="13" style="877" bestFit="1" customWidth="1"/>
    <col min="7776" max="7776" width="13" style="877" customWidth="1"/>
    <col min="7777" max="7777" width="14.375" style="877" customWidth="1"/>
    <col min="7778" max="7779" width="13" style="877" customWidth="1"/>
    <col min="7780" max="7780" width="13.25" style="877" customWidth="1"/>
    <col min="7781" max="7781" width="15.75" style="877" customWidth="1"/>
    <col min="7782" max="7782" width="12" style="877" bestFit="1" customWidth="1"/>
    <col min="7783" max="7784" width="12.25" style="877" customWidth="1"/>
    <col min="7785" max="7785" width="15.875" style="877" customWidth="1"/>
    <col min="7786" max="7788" width="12.25" style="877" customWidth="1"/>
    <col min="7789" max="7789" width="14.875" style="877" customWidth="1"/>
    <col min="7790" max="7792" width="12.25" style="877" customWidth="1"/>
    <col min="7793" max="7793" width="13.75" style="877" customWidth="1"/>
    <col min="7794" max="7795" width="12.25" style="877" customWidth="1"/>
    <col min="7796" max="7796" width="18.125" style="877" customWidth="1"/>
    <col min="7797" max="7797" width="16.25" style="877" customWidth="1"/>
    <col min="7798" max="7798" width="15" style="877" customWidth="1"/>
    <col min="7799" max="7799" width="9.125" style="877"/>
    <col min="7800" max="7800" width="13.375" style="877" bestFit="1" customWidth="1"/>
    <col min="7801" max="7872" width="9.125" style="877"/>
    <col min="7873" max="7873" width="3.75" style="877" customWidth="1"/>
    <col min="7874" max="7874" width="17" style="877" customWidth="1"/>
    <col min="7875" max="7875" width="13" style="877" customWidth="1"/>
    <col min="7876" max="7876" width="18.75" style="877" customWidth="1"/>
    <col min="7877" max="7877" width="14.125" style="877" customWidth="1"/>
    <col min="7878" max="7878" width="12.875" style="877" customWidth="1"/>
    <col min="7879" max="7879" width="11.75" style="877" customWidth="1"/>
    <col min="7880" max="7880" width="12.875" style="877" customWidth="1"/>
    <col min="7881" max="7881" width="14.875" style="877" customWidth="1"/>
    <col min="7882" max="7882" width="13" style="877" customWidth="1"/>
    <col min="7883" max="7883" width="11.25" style="877" customWidth="1"/>
    <col min="7884" max="7884" width="14.875" style="877" customWidth="1"/>
    <col min="7885" max="7885" width="14.375" style="877" customWidth="1"/>
    <col min="7886" max="7886" width="13.375" style="877" customWidth="1"/>
    <col min="7887" max="7887" width="11.375" style="877" customWidth="1"/>
    <col min="7888" max="7888" width="12.875" style="877" customWidth="1"/>
    <col min="7889" max="7889" width="11.375" style="877" customWidth="1"/>
    <col min="7890" max="7890" width="13.125" style="877" customWidth="1"/>
    <col min="7891" max="7891" width="12.125" style="877" customWidth="1"/>
    <col min="7892" max="7892" width="13.875" style="877" customWidth="1"/>
    <col min="7893" max="7893" width="14" style="877" customWidth="1"/>
    <col min="7894" max="7894" width="13.25" style="877" customWidth="1"/>
    <col min="7895" max="7895" width="11.375" style="877" customWidth="1"/>
    <col min="7896" max="7896" width="14.75" style="877" bestFit="1" customWidth="1"/>
    <col min="7897" max="7897" width="13.25" style="877" customWidth="1"/>
    <col min="7898" max="7899" width="14.625" style="877" customWidth="1"/>
    <col min="7900" max="7902" width="13.125" style="877" customWidth="1"/>
    <col min="7903" max="7939" width="17.25" style="877" customWidth="1"/>
    <col min="7940" max="7940" width="14.75" style="877" bestFit="1" customWidth="1"/>
    <col min="7941" max="7941" width="13.75" style="877" customWidth="1"/>
    <col min="7942" max="7942" width="15.25" style="877" customWidth="1"/>
    <col min="7943" max="7943" width="13.125" style="877" customWidth="1"/>
    <col min="7944" max="7944" width="11.875" style="877" customWidth="1"/>
    <col min="7945" max="7945" width="13.25" style="877" customWidth="1"/>
    <col min="7946" max="7946" width="12.625" style="877" customWidth="1"/>
    <col min="7947" max="7947" width="13" style="877" bestFit="1" customWidth="1"/>
    <col min="7948" max="7948" width="13.375" style="877" bestFit="1" customWidth="1"/>
    <col min="7949" max="7949" width="19.375" style="877" customWidth="1"/>
    <col min="7950" max="7950" width="12.75" style="877" bestFit="1" customWidth="1"/>
    <col min="7951" max="7951" width="13" style="877" bestFit="1" customWidth="1"/>
    <col min="7952" max="7952" width="13.375" style="877" bestFit="1" customWidth="1"/>
    <col min="7953" max="7953" width="16.625" style="877" customWidth="1"/>
    <col min="7954" max="7954" width="13.125" style="877" customWidth="1"/>
    <col min="7955" max="7955" width="15.125" style="877" bestFit="1" customWidth="1"/>
    <col min="7956" max="7956" width="16.625" style="877" bestFit="1" customWidth="1"/>
    <col min="7957" max="7957" width="14.375" style="877" customWidth="1"/>
    <col min="7958" max="7958" width="13.25" style="877" bestFit="1" customWidth="1"/>
    <col min="7959" max="7959" width="13" style="877" bestFit="1" customWidth="1"/>
    <col min="7960" max="7967" width="13" style="877" customWidth="1"/>
    <col min="7968" max="7968" width="13" style="877" bestFit="1" customWidth="1"/>
    <col min="7969" max="7969" width="15.875" style="877" customWidth="1"/>
    <col min="7970" max="7970" width="12.75" style="877" bestFit="1" customWidth="1"/>
    <col min="7971" max="7972" width="13" style="877" bestFit="1" customWidth="1"/>
    <col min="7973" max="7973" width="14.375" style="877" customWidth="1"/>
    <col min="7974" max="7974" width="12.75" style="877" bestFit="1" customWidth="1"/>
    <col min="7975" max="7976" width="13" style="877" bestFit="1" customWidth="1"/>
    <col min="7977" max="7977" width="15.125" style="877" customWidth="1"/>
    <col min="7978" max="7980" width="13" style="877" bestFit="1" customWidth="1"/>
    <col min="7981" max="7981" width="13.75" style="877" customWidth="1"/>
    <col min="7982" max="7983" width="13" style="877" bestFit="1" customWidth="1"/>
    <col min="7984" max="7984" width="13.125" style="877" customWidth="1"/>
    <col min="7985" max="7985" width="15.875" style="877" customWidth="1"/>
    <col min="7986" max="7986" width="13" style="877" customWidth="1"/>
    <col min="7987" max="7987" width="13" style="877" bestFit="1" customWidth="1"/>
    <col min="7988" max="7988" width="21" style="877" customWidth="1"/>
    <col min="7989" max="7989" width="15.75" style="877" customWidth="1"/>
    <col min="7990" max="7990" width="13.375" style="877" customWidth="1"/>
    <col min="7991" max="7991" width="13" style="877" bestFit="1" customWidth="1"/>
    <col min="7992" max="7995" width="13" style="877" customWidth="1"/>
    <col min="7996" max="7996" width="13.375" style="877" bestFit="1" customWidth="1"/>
    <col min="7997" max="7997" width="14.375" style="877" customWidth="1"/>
    <col min="7998" max="7998" width="13.375" style="877" customWidth="1"/>
    <col min="7999" max="8003" width="12.625" style="877" customWidth="1"/>
    <col min="8004" max="8004" width="13.375" style="877" bestFit="1" customWidth="1"/>
    <col min="8005" max="8005" width="14" style="877" customWidth="1"/>
    <col min="8006" max="8006" width="13.375" style="877" bestFit="1" customWidth="1"/>
    <col min="8007" max="8007" width="13" style="877" bestFit="1" customWidth="1"/>
    <col min="8008" max="8009" width="13.75" style="877" customWidth="1"/>
    <col min="8010" max="8010" width="13.125" style="877" customWidth="1"/>
    <col min="8011" max="8011" width="12.25" style="877" customWidth="1"/>
    <col min="8012" max="8012" width="13.375" style="877" bestFit="1" customWidth="1"/>
    <col min="8013" max="8013" width="17" style="877" customWidth="1"/>
    <col min="8014" max="8014" width="13.25" style="877" bestFit="1" customWidth="1"/>
    <col min="8015" max="8015" width="13" style="877" bestFit="1" customWidth="1"/>
    <col min="8016" max="8016" width="12.75" style="877" bestFit="1" customWidth="1"/>
    <col min="8017" max="8017" width="14.75" style="877" customWidth="1"/>
    <col min="8018" max="8018" width="11.875" style="877" bestFit="1" customWidth="1"/>
    <col min="8019" max="8019" width="13" style="877" bestFit="1" customWidth="1"/>
    <col min="8020" max="8020" width="15.125" style="877" bestFit="1" customWidth="1"/>
    <col min="8021" max="8021" width="14" style="877" customWidth="1"/>
    <col min="8022" max="8022" width="12" style="877" bestFit="1" customWidth="1"/>
    <col min="8023" max="8023" width="11.375" style="877" customWidth="1"/>
    <col min="8024" max="8024" width="12.75" style="877" bestFit="1" customWidth="1"/>
    <col min="8025" max="8025" width="11.375" style="877" customWidth="1"/>
    <col min="8026" max="8027" width="13" style="877" bestFit="1" customWidth="1"/>
    <col min="8028" max="8028" width="12.75" style="877" bestFit="1" customWidth="1"/>
    <col min="8029" max="8029" width="18.25" style="877" customWidth="1"/>
    <col min="8030" max="8030" width="12.625" style="877" bestFit="1" customWidth="1"/>
    <col min="8031" max="8031" width="13" style="877" bestFit="1" customWidth="1"/>
    <col min="8032" max="8032" width="13" style="877" customWidth="1"/>
    <col min="8033" max="8033" width="14.375" style="877" customWidth="1"/>
    <col min="8034" max="8035" width="13" style="877" customWidth="1"/>
    <col min="8036" max="8036" width="13.25" style="877" customWidth="1"/>
    <col min="8037" max="8037" width="15.75" style="877" customWidth="1"/>
    <col min="8038" max="8038" width="12" style="877" bestFit="1" customWidth="1"/>
    <col min="8039" max="8040" width="12.25" style="877" customWidth="1"/>
    <col min="8041" max="8041" width="15.875" style="877" customWidth="1"/>
    <col min="8042" max="8044" width="12.25" style="877" customWidth="1"/>
    <col min="8045" max="8045" width="14.875" style="877" customWidth="1"/>
    <col min="8046" max="8048" width="12.25" style="877" customWidth="1"/>
    <col min="8049" max="8049" width="13.75" style="877" customWidth="1"/>
    <col min="8050" max="8051" width="12.25" style="877" customWidth="1"/>
    <col min="8052" max="8052" width="18.125" style="877" customWidth="1"/>
    <col min="8053" max="8053" width="16.25" style="877" customWidth="1"/>
    <col min="8054" max="8054" width="15" style="877" customWidth="1"/>
    <col min="8055" max="8055" width="9.125" style="877"/>
    <col min="8056" max="8056" width="13.375" style="877" bestFit="1" customWidth="1"/>
    <col min="8057" max="8128" width="9.125" style="877"/>
    <col min="8129" max="8129" width="3.75" style="877" customWidth="1"/>
    <col min="8130" max="8130" width="17" style="877" customWidth="1"/>
    <col min="8131" max="8131" width="13" style="877" customWidth="1"/>
    <col min="8132" max="8132" width="18.75" style="877" customWidth="1"/>
    <col min="8133" max="8133" width="14.125" style="877" customWidth="1"/>
    <col min="8134" max="8134" width="12.875" style="877" customWidth="1"/>
    <col min="8135" max="8135" width="11.75" style="877" customWidth="1"/>
    <col min="8136" max="8136" width="12.875" style="877" customWidth="1"/>
    <col min="8137" max="8137" width="14.875" style="877" customWidth="1"/>
    <col min="8138" max="8138" width="13" style="877" customWidth="1"/>
    <col min="8139" max="8139" width="11.25" style="877" customWidth="1"/>
    <col min="8140" max="8140" width="14.875" style="877" customWidth="1"/>
    <col min="8141" max="8141" width="14.375" style="877" customWidth="1"/>
    <col min="8142" max="8142" width="13.375" style="877" customWidth="1"/>
    <col min="8143" max="8143" width="11.375" style="877" customWidth="1"/>
    <col min="8144" max="8144" width="12.875" style="877" customWidth="1"/>
    <col min="8145" max="8145" width="11.375" style="877" customWidth="1"/>
    <col min="8146" max="8146" width="13.125" style="877" customWidth="1"/>
    <col min="8147" max="8147" width="12.125" style="877" customWidth="1"/>
    <col min="8148" max="8148" width="13.875" style="877" customWidth="1"/>
    <col min="8149" max="8149" width="14" style="877" customWidth="1"/>
    <col min="8150" max="8150" width="13.25" style="877" customWidth="1"/>
    <col min="8151" max="8151" width="11.375" style="877" customWidth="1"/>
    <col min="8152" max="8152" width="14.75" style="877" bestFit="1" customWidth="1"/>
    <col min="8153" max="8153" width="13.25" style="877" customWidth="1"/>
    <col min="8154" max="8155" width="14.625" style="877" customWidth="1"/>
    <col min="8156" max="8158" width="13.125" style="877" customWidth="1"/>
    <col min="8159" max="8195" width="17.25" style="877" customWidth="1"/>
    <col min="8196" max="8196" width="14.75" style="877" bestFit="1" customWidth="1"/>
    <col min="8197" max="8197" width="13.75" style="877" customWidth="1"/>
    <col min="8198" max="8198" width="15.25" style="877" customWidth="1"/>
    <col min="8199" max="8199" width="13.125" style="877" customWidth="1"/>
    <col min="8200" max="8200" width="11.875" style="877" customWidth="1"/>
    <col min="8201" max="8201" width="13.25" style="877" customWidth="1"/>
    <col min="8202" max="8202" width="12.625" style="877" customWidth="1"/>
    <col min="8203" max="8203" width="13" style="877" bestFit="1" customWidth="1"/>
    <col min="8204" max="8204" width="13.375" style="877" bestFit="1" customWidth="1"/>
    <col min="8205" max="8205" width="19.375" style="877" customWidth="1"/>
    <col min="8206" max="8206" width="12.75" style="877" bestFit="1" customWidth="1"/>
    <col min="8207" max="8207" width="13" style="877" bestFit="1" customWidth="1"/>
    <col min="8208" max="8208" width="13.375" style="877" bestFit="1" customWidth="1"/>
    <col min="8209" max="8209" width="16.625" style="877" customWidth="1"/>
    <col min="8210" max="8210" width="13.125" style="877" customWidth="1"/>
    <col min="8211" max="8211" width="15.125" style="877" bestFit="1" customWidth="1"/>
    <col min="8212" max="8212" width="16.625" style="877" bestFit="1" customWidth="1"/>
    <col min="8213" max="8213" width="14.375" style="877" customWidth="1"/>
    <col min="8214" max="8214" width="13.25" style="877" bestFit="1" customWidth="1"/>
    <col min="8215" max="8215" width="13" style="877" bestFit="1" customWidth="1"/>
    <col min="8216" max="8223" width="13" style="877" customWidth="1"/>
    <col min="8224" max="8224" width="13" style="877" bestFit="1" customWidth="1"/>
    <col min="8225" max="8225" width="15.875" style="877" customWidth="1"/>
    <col min="8226" max="8226" width="12.75" style="877" bestFit="1" customWidth="1"/>
    <col min="8227" max="8228" width="13" style="877" bestFit="1" customWidth="1"/>
    <col min="8229" max="8229" width="14.375" style="877" customWidth="1"/>
    <col min="8230" max="8230" width="12.75" style="877" bestFit="1" customWidth="1"/>
    <col min="8231" max="8232" width="13" style="877" bestFit="1" customWidth="1"/>
    <col min="8233" max="8233" width="15.125" style="877" customWidth="1"/>
    <col min="8234" max="8236" width="13" style="877" bestFit="1" customWidth="1"/>
    <col min="8237" max="8237" width="13.75" style="877" customWidth="1"/>
    <col min="8238" max="8239" width="13" style="877" bestFit="1" customWidth="1"/>
    <col min="8240" max="8240" width="13.125" style="877" customWidth="1"/>
    <col min="8241" max="8241" width="15.875" style="877" customWidth="1"/>
    <col min="8242" max="8242" width="13" style="877" customWidth="1"/>
    <col min="8243" max="8243" width="13" style="877" bestFit="1" customWidth="1"/>
    <col min="8244" max="8244" width="21" style="877" customWidth="1"/>
    <col min="8245" max="8245" width="15.75" style="877" customWidth="1"/>
    <col min="8246" max="8246" width="13.375" style="877" customWidth="1"/>
    <col min="8247" max="8247" width="13" style="877" bestFit="1" customWidth="1"/>
    <col min="8248" max="8251" width="13" style="877" customWidth="1"/>
    <col min="8252" max="8252" width="13.375" style="877" bestFit="1" customWidth="1"/>
    <col min="8253" max="8253" width="14.375" style="877" customWidth="1"/>
    <col min="8254" max="8254" width="13.375" style="877" customWidth="1"/>
    <col min="8255" max="8259" width="12.625" style="877" customWidth="1"/>
    <col min="8260" max="8260" width="13.375" style="877" bestFit="1" customWidth="1"/>
    <col min="8261" max="8261" width="14" style="877" customWidth="1"/>
    <col min="8262" max="8262" width="13.375" style="877" bestFit="1" customWidth="1"/>
    <col min="8263" max="8263" width="13" style="877" bestFit="1" customWidth="1"/>
    <col min="8264" max="8265" width="13.75" style="877" customWidth="1"/>
    <col min="8266" max="8266" width="13.125" style="877" customWidth="1"/>
    <col min="8267" max="8267" width="12.25" style="877" customWidth="1"/>
    <col min="8268" max="8268" width="13.375" style="877" bestFit="1" customWidth="1"/>
    <col min="8269" max="8269" width="17" style="877" customWidth="1"/>
    <col min="8270" max="8270" width="13.25" style="877" bestFit="1" customWidth="1"/>
    <col min="8271" max="8271" width="13" style="877" bestFit="1" customWidth="1"/>
    <col min="8272" max="8272" width="12.75" style="877" bestFit="1" customWidth="1"/>
    <col min="8273" max="8273" width="14.75" style="877" customWidth="1"/>
    <col min="8274" max="8274" width="11.875" style="877" bestFit="1" customWidth="1"/>
    <col min="8275" max="8275" width="13" style="877" bestFit="1" customWidth="1"/>
    <col min="8276" max="8276" width="15.125" style="877" bestFit="1" customWidth="1"/>
    <col min="8277" max="8277" width="14" style="877" customWidth="1"/>
    <col min="8278" max="8278" width="12" style="877" bestFit="1" customWidth="1"/>
    <col min="8279" max="8279" width="11.375" style="877" customWidth="1"/>
    <col min="8280" max="8280" width="12.75" style="877" bestFit="1" customWidth="1"/>
    <col min="8281" max="8281" width="11.375" style="877" customWidth="1"/>
    <col min="8282" max="8283" width="13" style="877" bestFit="1" customWidth="1"/>
    <col min="8284" max="8284" width="12.75" style="877" bestFit="1" customWidth="1"/>
    <col min="8285" max="8285" width="18.25" style="877" customWidth="1"/>
    <col min="8286" max="8286" width="12.625" style="877" bestFit="1" customWidth="1"/>
    <col min="8287" max="8287" width="13" style="877" bestFit="1" customWidth="1"/>
    <col min="8288" max="8288" width="13" style="877" customWidth="1"/>
    <col min="8289" max="8289" width="14.375" style="877" customWidth="1"/>
    <col min="8290" max="8291" width="13" style="877" customWidth="1"/>
    <col min="8292" max="8292" width="13.25" style="877" customWidth="1"/>
    <col min="8293" max="8293" width="15.75" style="877" customWidth="1"/>
    <col min="8294" max="8294" width="12" style="877" bestFit="1" customWidth="1"/>
    <col min="8295" max="8296" width="12.25" style="877" customWidth="1"/>
    <col min="8297" max="8297" width="15.875" style="877" customWidth="1"/>
    <col min="8298" max="8300" width="12.25" style="877" customWidth="1"/>
    <col min="8301" max="8301" width="14.875" style="877" customWidth="1"/>
    <col min="8302" max="8304" width="12.25" style="877" customWidth="1"/>
    <col min="8305" max="8305" width="13.75" style="877" customWidth="1"/>
    <col min="8306" max="8307" width="12.25" style="877" customWidth="1"/>
    <col min="8308" max="8308" width="18.125" style="877" customWidth="1"/>
    <col min="8309" max="8309" width="16.25" style="877" customWidth="1"/>
    <col min="8310" max="8310" width="15" style="877" customWidth="1"/>
    <col min="8311" max="8311" width="9.125" style="877"/>
    <col min="8312" max="8312" width="13.375" style="877" bestFit="1" customWidth="1"/>
    <col min="8313" max="8384" width="9.125" style="877"/>
    <col min="8385" max="8385" width="3.75" style="877" customWidth="1"/>
    <col min="8386" max="8386" width="17" style="877" customWidth="1"/>
    <col min="8387" max="8387" width="13" style="877" customWidth="1"/>
    <col min="8388" max="8388" width="18.75" style="877" customWidth="1"/>
    <col min="8389" max="8389" width="14.125" style="877" customWidth="1"/>
    <col min="8390" max="8390" width="12.875" style="877" customWidth="1"/>
    <col min="8391" max="8391" width="11.75" style="877" customWidth="1"/>
    <col min="8392" max="8392" width="12.875" style="877" customWidth="1"/>
    <col min="8393" max="8393" width="14.875" style="877" customWidth="1"/>
    <col min="8394" max="8394" width="13" style="877" customWidth="1"/>
    <col min="8395" max="8395" width="11.25" style="877" customWidth="1"/>
    <col min="8396" max="8396" width="14.875" style="877" customWidth="1"/>
    <col min="8397" max="8397" width="14.375" style="877" customWidth="1"/>
    <col min="8398" max="8398" width="13.375" style="877" customWidth="1"/>
    <col min="8399" max="8399" width="11.375" style="877" customWidth="1"/>
    <col min="8400" max="8400" width="12.875" style="877" customWidth="1"/>
    <col min="8401" max="8401" width="11.375" style="877" customWidth="1"/>
    <col min="8402" max="8402" width="13.125" style="877" customWidth="1"/>
    <col min="8403" max="8403" width="12.125" style="877" customWidth="1"/>
    <col min="8404" max="8404" width="13.875" style="877" customWidth="1"/>
    <col min="8405" max="8405" width="14" style="877" customWidth="1"/>
    <col min="8406" max="8406" width="13.25" style="877" customWidth="1"/>
    <col min="8407" max="8407" width="11.375" style="877" customWidth="1"/>
    <col min="8408" max="8408" width="14.75" style="877" bestFit="1" customWidth="1"/>
    <col min="8409" max="8409" width="13.25" style="877" customWidth="1"/>
    <col min="8410" max="8411" width="14.625" style="877" customWidth="1"/>
    <col min="8412" max="8414" width="13.125" style="877" customWidth="1"/>
    <col min="8415" max="8451" width="17.25" style="877" customWidth="1"/>
    <col min="8452" max="8452" width="14.75" style="877" bestFit="1" customWidth="1"/>
    <col min="8453" max="8453" width="13.75" style="877" customWidth="1"/>
    <col min="8454" max="8454" width="15.25" style="877" customWidth="1"/>
    <col min="8455" max="8455" width="13.125" style="877" customWidth="1"/>
    <col min="8456" max="8456" width="11.875" style="877" customWidth="1"/>
    <col min="8457" max="8457" width="13.25" style="877" customWidth="1"/>
    <col min="8458" max="8458" width="12.625" style="877" customWidth="1"/>
    <col min="8459" max="8459" width="13" style="877" bestFit="1" customWidth="1"/>
    <col min="8460" max="8460" width="13.375" style="877" bestFit="1" customWidth="1"/>
    <col min="8461" max="8461" width="19.375" style="877" customWidth="1"/>
    <col min="8462" max="8462" width="12.75" style="877" bestFit="1" customWidth="1"/>
    <col min="8463" max="8463" width="13" style="877" bestFit="1" customWidth="1"/>
    <col min="8464" max="8464" width="13.375" style="877" bestFit="1" customWidth="1"/>
    <col min="8465" max="8465" width="16.625" style="877" customWidth="1"/>
    <col min="8466" max="8466" width="13.125" style="877" customWidth="1"/>
    <col min="8467" max="8467" width="15.125" style="877" bestFit="1" customWidth="1"/>
    <col min="8468" max="8468" width="16.625" style="877" bestFit="1" customWidth="1"/>
    <col min="8469" max="8469" width="14.375" style="877" customWidth="1"/>
    <col min="8470" max="8470" width="13.25" style="877" bestFit="1" customWidth="1"/>
    <col min="8471" max="8471" width="13" style="877" bestFit="1" customWidth="1"/>
    <col min="8472" max="8479" width="13" style="877" customWidth="1"/>
    <col min="8480" max="8480" width="13" style="877" bestFit="1" customWidth="1"/>
    <col min="8481" max="8481" width="15.875" style="877" customWidth="1"/>
    <col min="8482" max="8482" width="12.75" style="877" bestFit="1" customWidth="1"/>
    <col min="8483" max="8484" width="13" style="877" bestFit="1" customWidth="1"/>
    <col min="8485" max="8485" width="14.375" style="877" customWidth="1"/>
    <col min="8486" max="8486" width="12.75" style="877" bestFit="1" customWidth="1"/>
    <col min="8487" max="8488" width="13" style="877" bestFit="1" customWidth="1"/>
    <col min="8489" max="8489" width="15.125" style="877" customWidth="1"/>
    <col min="8490" max="8492" width="13" style="877" bestFit="1" customWidth="1"/>
    <col min="8493" max="8493" width="13.75" style="877" customWidth="1"/>
    <col min="8494" max="8495" width="13" style="877" bestFit="1" customWidth="1"/>
    <col min="8496" max="8496" width="13.125" style="877" customWidth="1"/>
    <col min="8497" max="8497" width="15.875" style="877" customWidth="1"/>
    <col min="8498" max="8498" width="13" style="877" customWidth="1"/>
    <col min="8499" max="8499" width="13" style="877" bestFit="1" customWidth="1"/>
    <col min="8500" max="8500" width="21" style="877" customWidth="1"/>
    <col min="8501" max="8501" width="15.75" style="877" customWidth="1"/>
    <col min="8502" max="8502" width="13.375" style="877" customWidth="1"/>
    <col min="8503" max="8503" width="13" style="877" bestFit="1" customWidth="1"/>
    <col min="8504" max="8507" width="13" style="877" customWidth="1"/>
    <col min="8508" max="8508" width="13.375" style="877" bestFit="1" customWidth="1"/>
    <col min="8509" max="8509" width="14.375" style="877" customWidth="1"/>
    <col min="8510" max="8510" width="13.375" style="877" customWidth="1"/>
    <col min="8511" max="8515" width="12.625" style="877" customWidth="1"/>
    <col min="8516" max="8516" width="13.375" style="877" bestFit="1" customWidth="1"/>
    <col min="8517" max="8517" width="14" style="877" customWidth="1"/>
    <col min="8518" max="8518" width="13.375" style="877" bestFit="1" customWidth="1"/>
    <col min="8519" max="8519" width="13" style="877" bestFit="1" customWidth="1"/>
    <col min="8520" max="8521" width="13.75" style="877" customWidth="1"/>
    <col min="8522" max="8522" width="13.125" style="877" customWidth="1"/>
    <col min="8523" max="8523" width="12.25" style="877" customWidth="1"/>
    <col min="8524" max="8524" width="13.375" style="877" bestFit="1" customWidth="1"/>
    <col min="8525" max="8525" width="17" style="877" customWidth="1"/>
    <col min="8526" max="8526" width="13.25" style="877" bestFit="1" customWidth="1"/>
    <col min="8527" max="8527" width="13" style="877" bestFit="1" customWidth="1"/>
    <col min="8528" max="8528" width="12.75" style="877" bestFit="1" customWidth="1"/>
    <col min="8529" max="8529" width="14.75" style="877" customWidth="1"/>
    <col min="8530" max="8530" width="11.875" style="877" bestFit="1" customWidth="1"/>
    <col min="8531" max="8531" width="13" style="877" bestFit="1" customWidth="1"/>
    <col min="8532" max="8532" width="15.125" style="877" bestFit="1" customWidth="1"/>
    <col min="8533" max="8533" width="14" style="877" customWidth="1"/>
    <col min="8534" max="8534" width="12" style="877" bestFit="1" customWidth="1"/>
    <col min="8535" max="8535" width="11.375" style="877" customWidth="1"/>
    <col min="8536" max="8536" width="12.75" style="877" bestFit="1" customWidth="1"/>
    <col min="8537" max="8537" width="11.375" style="877" customWidth="1"/>
    <col min="8538" max="8539" width="13" style="877" bestFit="1" customWidth="1"/>
    <col min="8540" max="8540" width="12.75" style="877" bestFit="1" customWidth="1"/>
    <col min="8541" max="8541" width="18.25" style="877" customWidth="1"/>
    <col min="8542" max="8542" width="12.625" style="877" bestFit="1" customWidth="1"/>
    <col min="8543" max="8543" width="13" style="877" bestFit="1" customWidth="1"/>
    <col min="8544" max="8544" width="13" style="877" customWidth="1"/>
    <col min="8545" max="8545" width="14.375" style="877" customWidth="1"/>
    <col min="8546" max="8547" width="13" style="877" customWidth="1"/>
    <col min="8548" max="8548" width="13.25" style="877" customWidth="1"/>
    <col min="8549" max="8549" width="15.75" style="877" customWidth="1"/>
    <col min="8550" max="8550" width="12" style="877" bestFit="1" customWidth="1"/>
    <col min="8551" max="8552" width="12.25" style="877" customWidth="1"/>
    <col min="8553" max="8553" width="15.875" style="877" customWidth="1"/>
    <col min="8554" max="8556" width="12.25" style="877" customWidth="1"/>
    <col min="8557" max="8557" width="14.875" style="877" customWidth="1"/>
    <col min="8558" max="8560" width="12.25" style="877" customWidth="1"/>
    <col min="8561" max="8561" width="13.75" style="877" customWidth="1"/>
    <col min="8562" max="8563" width="12.25" style="877" customWidth="1"/>
    <col min="8564" max="8564" width="18.125" style="877" customWidth="1"/>
    <col min="8565" max="8565" width="16.25" style="877" customWidth="1"/>
    <col min="8566" max="8566" width="15" style="877" customWidth="1"/>
    <col min="8567" max="8567" width="9.125" style="877"/>
    <col min="8568" max="8568" width="13.375" style="877" bestFit="1" customWidth="1"/>
    <col min="8569" max="8640" width="9.125" style="877"/>
    <col min="8641" max="8641" width="3.75" style="877" customWidth="1"/>
    <col min="8642" max="8642" width="17" style="877" customWidth="1"/>
    <col min="8643" max="8643" width="13" style="877" customWidth="1"/>
    <col min="8644" max="8644" width="18.75" style="877" customWidth="1"/>
    <col min="8645" max="8645" width="14.125" style="877" customWidth="1"/>
    <col min="8646" max="8646" width="12.875" style="877" customWidth="1"/>
    <col min="8647" max="8647" width="11.75" style="877" customWidth="1"/>
    <col min="8648" max="8648" width="12.875" style="877" customWidth="1"/>
    <col min="8649" max="8649" width="14.875" style="877" customWidth="1"/>
    <col min="8650" max="8650" width="13" style="877" customWidth="1"/>
    <col min="8651" max="8651" width="11.25" style="877" customWidth="1"/>
    <col min="8652" max="8652" width="14.875" style="877" customWidth="1"/>
    <col min="8653" max="8653" width="14.375" style="877" customWidth="1"/>
    <col min="8654" max="8654" width="13.375" style="877" customWidth="1"/>
    <col min="8655" max="8655" width="11.375" style="877" customWidth="1"/>
    <col min="8656" max="8656" width="12.875" style="877" customWidth="1"/>
    <col min="8657" max="8657" width="11.375" style="877" customWidth="1"/>
    <col min="8658" max="8658" width="13.125" style="877" customWidth="1"/>
    <col min="8659" max="8659" width="12.125" style="877" customWidth="1"/>
    <col min="8660" max="8660" width="13.875" style="877" customWidth="1"/>
    <col min="8661" max="8661" width="14" style="877" customWidth="1"/>
    <col min="8662" max="8662" width="13.25" style="877" customWidth="1"/>
    <col min="8663" max="8663" width="11.375" style="877" customWidth="1"/>
    <col min="8664" max="8664" width="14.75" style="877" bestFit="1" customWidth="1"/>
    <col min="8665" max="8665" width="13.25" style="877" customWidth="1"/>
    <col min="8666" max="8667" width="14.625" style="877" customWidth="1"/>
    <col min="8668" max="8670" width="13.125" style="877" customWidth="1"/>
    <col min="8671" max="8707" width="17.25" style="877" customWidth="1"/>
    <col min="8708" max="8708" width="14.75" style="877" bestFit="1" customWidth="1"/>
    <col min="8709" max="8709" width="13.75" style="877" customWidth="1"/>
    <col min="8710" max="8710" width="15.25" style="877" customWidth="1"/>
    <col min="8711" max="8711" width="13.125" style="877" customWidth="1"/>
    <col min="8712" max="8712" width="11.875" style="877" customWidth="1"/>
    <col min="8713" max="8713" width="13.25" style="877" customWidth="1"/>
    <col min="8714" max="8714" width="12.625" style="877" customWidth="1"/>
    <col min="8715" max="8715" width="13" style="877" bestFit="1" customWidth="1"/>
    <col min="8716" max="8716" width="13.375" style="877" bestFit="1" customWidth="1"/>
    <col min="8717" max="8717" width="19.375" style="877" customWidth="1"/>
    <col min="8718" max="8718" width="12.75" style="877" bestFit="1" customWidth="1"/>
    <col min="8719" max="8719" width="13" style="877" bestFit="1" customWidth="1"/>
    <col min="8720" max="8720" width="13.375" style="877" bestFit="1" customWidth="1"/>
    <col min="8721" max="8721" width="16.625" style="877" customWidth="1"/>
    <col min="8722" max="8722" width="13.125" style="877" customWidth="1"/>
    <col min="8723" max="8723" width="15.125" style="877" bestFit="1" customWidth="1"/>
    <col min="8724" max="8724" width="16.625" style="877" bestFit="1" customWidth="1"/>
    <col min="8725" max="8725" width="14.375" style="877" customWidth="1"/>
    <col min="8726" max="8726" width="13.25" style="877" bestFit="1" customWidth="1"/>
    <col min="8727" max="8727" width="13" style="877" bestFit="1" customWidth="1"/>
    <col min="8728" max="8735" width="13" style="877" customWidth="1"/>
    <col min="8736" max="8736" width="13" style="877" bestFit="1" customWidth="1"/>
    <col min="8737" max="8737" width="15.875" style="877" customWidth="1"/>
    <col min="8738" max="8738" width="12.75" style="877" bestFit="1" customWidth="1"/>
    <col min="8739" max="8740" width="13" style="877" bestFit="1" customWidth="1"/>
    <col min="8741" max="8741" width="14.375" style="877" customWidth="1"/>
    <col min="8742" max="8742" width="12.75" style="877" bestFit="1" customWidth="1"/>
    <col min="8743" max="8744" width="13" style="877" bestFit="1" customWidth="1"/>
    <col min="8745" max="8745" width="15.125" style="877" customWidth="1"/>
    <col min="8746" max="8748" width="13" style="877" bestFit="1" customWidth="1"/>
    <col min="8749" max="8749" width="13.75" style="877" customWidth="1"/>
    <col min="8750" max="8751" width="13" style="877" bestFit="1" customWidth="1"/>
    <col min="8752" max="8752" width="13.125" style="877" customWidth="1"/>
    <col min="8753" max="8753" width="15.875" style="877" customWidth="1"/>
    <col min="8754" max="8754" width="13" style="877" customWidth="1"/>
    <col min="8755" max="8755" width="13" style="877" bestFit="1" customWidth="1"/>
    <col min="8756" max="8756" width="21" style="877" customWidth="1"/>
    <col min="8757" max="8757" width="15.75" style="877" customWidth="1"/>
    <col min="8758" max="8758" width="13.375" style="877" customWidth="1"/>
    <col min="8759" max="8759" width="13" style="877" bestFit="1" customWidth="1"/>
    <col min="8760" max="8763" width="13" style="877" customWidth="1"/>
    <col min="8764" max="8764" width="13.375" style="877" bestFit="1" customWidth="1"/>
    <col min="8765" max="8765" width="14.375" style="877" customWidth="1"/>
    <col min="8766" max="8766" width="13.375" style="877" customWidth="1"/>
    <col min="8767" max="8771" width="12.625" style="877" customWidth="1"/>
    <col min="8772" max="8772" width="13.375" style="877" bestFit="1" customWidth="1"/>
    <col min="8773" max="8773" width="14" style="877" customWidth="1"/>
    <col min="8774" max="8774" width="13.375" style="877" bestFit="1" customWidth="1"/>
    <col min="8775" max="8775" width="13" style="877" bestFit="1" customWidth="1"/>
    <col min="8776" max="8777" width="13.75" style="877" customWidth="1"/>
    <col min="8778" max="8778" width="13.125" style="877" customWidth="1"/>
    <col min="8779" max="8779" width="12.25" style="877" customWidth="1"/>
    <col min="8780" max="8780" width="13.375" style="877" bestFit="1" customWidth="1"/>
    <col min="8781" max="8781" width="17" style="877" customWidth="1"/>
    <col min="8782" max="8782" width="13.25" style="877" bestFit="1" customWidth="1"/>
    <col min="8783" max="8783" width="13" style="877" bestFit="1" customWidth="1"/>
    <col min="8784" max="8784" width="12.75" style="877" bestFit="1" customWidth="1"/>
    <col min="8785" max="8785" width="14.75" style="877" customWidth="1"/>
    <col min="8786" max="8786" width="11.875" style="877" bestFit="1" customWidth="1"/>
    <col min="8787" max="8787" width="13" style="877" bestFit="1" customWidth="1"/>
    <col min="8788" max="8788" width="15.125" style="877" bestFit="1" customWidth="1"/>
    <col min="8789" max="8789" width="14" style="877" customWidth="1"/>
    <col min="8790" max="8790" width="12" style="877" bestFit="1" customWidth="1"/>
    <col min="8791" max="8791" width="11.375" style="877" customWidth="1"/>
    <col min="8792" max="8792" width="12.75" style="877" bestFit="1" customWidth="1"/>
    <col min="8793" max="8793" width="11.375" style="877" customWidth="1"/>
    <col min="8794" max="8795" width="13" style="877" bestFit="1" customWidth="1"/>
    <col min="8796" max="8796" width="12.75" style="877" bestFit="1" customWidth="1"/>
    <col min="8797" max="8797" width="18.25" style="877" customWidth="1"/>
    <col min="8798" max="8798" width="12.625" style="877" bestFit="1" customWidth="1"/>
    <col min="8799" max="8799" width="13" style="877" bestFit="1" customWidth="1"/>
    <col min="8800" max="8800" width="13" style="877" customWidth="1"/>
    <col min="8801" max="8801" width="14.375" style="877" customWidth="1"/>
    <col min="8802" max="8803" width="13" style="877" customWidth="1"/>
    <col min="8804" max="8804" width="13.25" style="877" customWidth="1"/>
    <col min="8805" max="8805" width="15.75" style="877" customWidth="1"/>
    <col min="8806" max="8806" width="12" style="877" bestFit="1" customWidth="1"/>
    <col min="8807" max="8808" width="12.25" style="877" customWidth="1"/>
    <col min="8809" max="8809" width="15.875" style="877" customWidth="1"/>
    <col min="8810" max="8812" width="12.25" style="877" customWidth="1"/>
    <col min="8813" max="8813" width="14.875" style="877" customWidth="1"/>
    <col min="8814" max="8816" width="12.25" style="877" customWidth="1"/>
    <col min="8817" max="8817" width="13.75" style="877" customWidth="1"/>
    <col min="8818" max="8819" width="12.25" style="877" customWidth="1"/>
    <col min="8820" max="8820" width="18.125" style="877" customWidth="1"/>
    <col min="8821" max="8821" width="16.25" style="877" customWidth="1"/>
    <col min="8822" max="8822" width="15" style="877" customWidth="1"/>
    <col min="8823" max="8823" width="9.125" style="877"/>
    <col min="8824" max="8824" width="13.375" style="877" bestFit="1" customWidth="1"/>
    <col min="8825" max="8896" width="9.125" style="877"/>
    <col min="8897" max="8897" width="3.75" style="877" customWidth="1"/>
    <col min="8898" max="8898" width="17" style="877" customWidth="1"/>
    <col min="8899" max="8899" width="13" style="877" customWidth="1"/>
    <col min="8900" max="8900" width="18.75" style="877" customWidth="1"/>
    <col min="8901" max="8901" width="14.125" style="877" customWidth="1"/>
    <col min="8902" max="8902" width="12.875" style="877" customWidth="1"/>
    <col min="8903" max="8903" width="11.75" style="877" customWidth="1"/>
    <col min="8904" max="8904" width="12.875" style="877" customWidth="1"/>
    <col min="8905" max="8905" width="14.875" style="877" customWidth="1"/>
    <col min="8906" max="8906" width="13" style="877" customWidth="1"/>
    <col min="8907" max="8907" width="11.25" style="877" customWidth="1"/>
    <col min="8908" max="8908" width="14.875" style="877" customWidth="1"/>
    <col min="8909" max="8909" width="14.375" style="877" customWidth="1"/>
    <col min="8910" max="8910" width="13.375" style="877" customWidth="1"/>
    <col min="8911" max="8911" width="11.375" style="877" customWidth="1"/>
    <col min="8912" max="8912" width="12.875" style="877" customWidth="1"/>
    <col min="8913" max="8913" width="11.375" style="877" customWidth="1"/>
    <col min="8914" max="8914" width="13.125" style="877" customWidth="1"/>
    <col min="8915" max="8915" width="12.125" style="877" customWidth="1"/>
    <col min="8916" max="8916" width="13.875" style="877" customWidth="1"/>
    <col min="8917" max="8917" width="14" style="877" customWidth="1"/>
    <col min="8918" max="8918" width="13.25" style="877" customWidth="1"/>
    <col min="8919" max="8919" width="11.375" style="877" customWidth="1"/>
    <col min="8920" max="8920" width="14.75" style="877" bestFit="1" customWidth="1"/>
    <col min="8921" max="8921" width="13.25" style="877" customWidth="1"/>
    <col min="8922" max="8923" width="14.625" style="877" customWidth="1"/>
    <col min="8924" max="8926" width="13.125" style="877" customWidth="1"/>
    <col min="8927" max="8963" width="17.25" style="877" customWidth="1"/>
    <col min="8964" max="8964" width="14.75" style="877" bestFit="1" customWidth="1"/>
    <col min="8965" max="8965" width="13.75" style="877" customWidth="1"/>
    <col min="8966" max="8966" width="15.25" style="877" customWidth="1"/>
    <col min="8967" max="8967" width="13.125" style="877" customWidth="1"/>
    <col min="8968" max="8968" width="11.875" style="877" customWidth="1"/>
    <col min="8969" max="8969" width="13.25" style="877" customWidth="1"/>
    <col min="8970" max="8970" width="12.625" style="877" customWidth="1"/>
    <col min="8971" max="8971" width="13" style="877" bestFit="1" customWidth="1"/>
    <col min="8972" max="8972" width="13.375" style="877" bestFit="1" customWidth="1"/>
    <col min="8973" max="8973" width="19.375" style="877" customWidth="1"/>
    <col min="8974" max="8974" width="12.75" style="877" bestFit="1" customWidth="1"/>
    <col min="8975" max="8975" width="13" style="877" bestFit="1" customWidth="1"/>
    <col min="8976" max="8976" width="13.375" style="877" bestFit="1" customWidth="1"/>
    <col min="8977" max="8977" width="16.625" style="877" customWidth="1"/>
    <col min="8978" max="8978" width="13.125" style="877" customWidth="1"/>
    <col min="8979" max="8979" width="15.125" style="877" bestFit="1" customWidth="1"/>
    <col min="8980" max="8980" width="16.625" style="877" bestFit="1" customWidth="1"/>
    <col min="8981" max="8981" width="14.375" style="877" customWidth="1"/>
    <col min="8982" max="8982" width="13.25" style="877" bestFit="1" customWidth="1"/>
    <col min="8983" max="8983" width="13" style="877" bestFit="1" customWidth="1"/>
    <col min="8984" max="8991" width="13" style="877" customWidth="1"/>
    <col min="8992" max="8992" width="13" style="877" bestFit="1" customWidth="1"/>
    <col min="8993" max="8993" width="15.875" style="877" customWidth="1"/>
    <col min="8994" max="8994" width="12.75" style="877" bestFit="1" customWidth="1"/>
    <col min="8995" max="8996" width="13" style="877" bestFit="1" customWidth="1"/>
    <col min="8997" max="8997" width="14.375" style="877" customWidth="1"/>
    <col min="8998" max="8998" width="12.75" style="877" bestFit="1" customWidth="1"/>
    <col min="8999" max="9000" width="13" style="877" bestFit="1" customWidth="1"/>
    <col min="9001" max="9001" width="15.125" style="877" customWidth="1"/>
    <col min="9002" max="9004" width="13" style="877" bestFit="1" customWidth="1"/>
    <col min="9005" max="9005" width="13.75" style="877" customWidth="1"/>
    <col min="9006" max="9007" width="13" style="877" bestFit="1" customWidth="1"/>
    <col min="9008" max="9008" width="13.125" style="877" customWidth="1"/>
    <col min="9009" max="9009" width="15.875" style="877" customWidth="1"/>
    <col min="9010" max="9010" width="13" style="877" customWidth="1"/>
    <col min="9011" max="9011" width="13" style="877" bestFit="1" customWidth="1"/>
    <col min="9012" max="9012" width="21" style="877" customWidth="1"/>
    <col min="9013" max="9013" width="15.75" style="877" customWidth="1"/>
    <col min="9014" max="9014" width="13.375" style="877" customWidth="1"/>
    <col min="9015" max="9015" width="13" style="877" bestFit="1" customWidth="1"/>
    <col min="9016" max="9019" width="13" style="877" customWidth="1"/>
    <col min="9020" max="9020" width="13.375" style="877" bestFit="1" customWidth="1"/>
    <col min="9021" max="9021" width="14.375" style="877" customWidth="1"/>
    <col min="9022" max="9022" width="13.375" style="877" customWidth="1"/>
    <col min="9023" max="9027" width="12.625" style="877" customWidth="1"/>
    <col min="9028" max="9028" width="13.375" style="877" bestFit="1" customWidth="1"/>
    <col min="9029" max="9029" width="14" style="877" customWidth="1"/>
    <col min="9030" max="9030" width="13.375" style="877" bestFit="1" customWidth="1"/>
    <col min="9031" max="9031" width="13" style="877" bestFit="1" customWidth="1"/>
    <col min="9032" max="9033" width="13.75" style="877" customWidth="1"/>
    <col min="9034" max="9034" width="13.125" style="877" customWidth="1"/>
    <col min="9035" max="9035" width="12.25" style="877" customWidth="1"/>
    <col min="9036" max="9036" width="13.375" style="877" bestFit="1" customWidth="1"/>
    <col min="9037" max="9037" width="17" style="877" customWidth="1"/>
    <col min="9038" max="9038" width="13.25" style="877" bestFit="1" customWidth="1"/>
    <col min="9039" max="9039" width="13" style="877" bestFit="1" customWidth="1"/>
    <col min="9040" max="9040" width="12.75" style="877" bestFit="1" customWidth="1"/>
    <col min="9041" max="9041" width="14.75" style="877" customWidth="1"/>
    <col min="9042" max="9042" width="11.875" style="877" bestFit="1" customWidth="1"/>
    <col min="9043" max="9043" width="13" style="877" bestFit="1" customWidth="1"/>
    <col min="9044" max="9044" width="15.125" style="877" bestFit="1" customWidth="1"/>
    <col min="9045" max="9045" width="14" style="877" customWidth="1"/>
    <col min="9046" max="9046" width="12" style="877" bestFit="1" customWidth="1"/>
    <col min="9047" max="9047" width="11.375" style="877" customWidth="1"/>
    <col min="9048" max="9048" width="12.75" style="877" bestFit="1" customWidth="1"/>
    <col min="9049" max="9049" width="11.375" style="877" customWidth="1"/>
    <col min="9050" max="9051" width="13" style="877" bestFit="1" customWidth="1"/>
    <col min="9052" max="9052" width="12.75" style="877" bestFit="1" customWidth="1"/>
    <col min="9053" max="9053" width="18.25" style="877" customWidth="1"/>
    <col min="9054" max="9054" width="12.625" style="877" bestFit="1" customWidth="1"/>
    <col min="9055" max="9055" width="13" style="877" bestFit="1" customWidth="1"/>
    <col min="9056" max="9056" width="13" style="877" customWidth="1"/>
    <col min="9057" max="9057" width="14.375" style="877" customWidth="1"/>
    <col min="9058" max="9059" width="13" style="877" customWidth="1"/>
    <col min="9060" max="9060" width="13.25" style="877" customWidth="1"/>
    <col min="9061" max="9061" width="15.75" style="877" customWidth="1"/>
    <col min="9062" max="9062" width="12" style="877" bestFit="1" customWidth="1"/>
    <col min="9063" max="9064" width="12.25" style="877" customWidth="1"/>
    <col min="9065" max="9065" width="15.875" style="877" customWidth="1"/>
    <col min="9066" max="9068" width="12.25" style="877" customWidth="1"/>
    <col min="9069" max="9069" width="14.875" style="877" customWidth="1"/>
    <col min="9070" max="9072" width="12.25" style="877" customWidth="1"/>
    <col min="9073" max="9073" width="13.75" style="877" customWidth="1"/>
    <col min="9074" max="9075" width="12.25" style="877" customWidth="1"/>
    <col min="9076" max="9076" width="18.125" style="877" customWidth="1"/>
    <col min="9077" max="9077" width="16.25" style="877" customWidth="1"/>
    <col min="9078" max="9078" width="15" style="877" customWidth="1"/>
    <col min="9079" max="9079" width="9.125" style="877"/>
    <col min="9080" max="9080" width="13.375" style="877" bestFit="1" customWidth="1"/>
    <col min="9081" max="9152" width="9.125" style="877"/>
    <col min="9153" max="9153" width="3.75" style="877" customWidth="1"/>
    <col min="9154" max="9154" width="17" style="877" customWidth="1"/>
    <col min="9155" max="9155" width="13" style="877" customWidth="1"/>
    <col min="9156" max="9156" width="18.75" style="877" customWidth="1"/>
    <col min="9157" max="9157" width="14.125" style="877" customWidth="1"/>
    <col min="9158" max="9158" width="12.875" style="877" customWidth="1"/>
    <col min="9159" max="9159" width="11.75" style="877" customWidth="1"/>
    <col min="9160" max="9160" width="12.875" style="877" customWidth="1"/>
    <col min="9161" max="9161" width="14.875" style="877" customWidth="1"/>
    <col min="9162" max="9162" width="13" style="877" customWidth="1"/>
    <col min="9163" max="9163" width="11.25" style="877" customWidth="1"/>
    <col min="9164" max="9164" width="14.875" style="877" customWidth="1"/>
    <col min="9165" max="9165" width="14.375" style="877" customWidth="1"/>
    <col min="9166" max="9166" width="13.375" style="877" customWidth="1"/>
    <col min="9167" max="9167" width="11.375" style="877" customWidth="1"/>
    <col min="9168" max="9168" width="12.875" style="877" customWidth="1"/>
    <col min="9169" max="9169" width="11.375" style="877" customWidth="1"/>
    <col min="9170" max="9170" width="13.125" style="877" customWidth="1"/>
    <col min="9171" max="9171" width="12.125" style="877" customWidth="1"/>
    <col min="9172" max="9172" width="13.875" style="877" customWidth="1"/>
    <col min="9173" max="9173" width="14" style="877" customWidth="1"/>
    <col min="9174" max="9174" width="13.25" style="877" customWidth="1"/>
    <col min="9175" max="9175" width="11.375" style="877" customWidth="1"/>
    <col min="9176" max="9176" width="14.75" style="877" bestFit="1" customWidth="1"/>
    <col min="9177" max="9177" width="13.25" style="877" customWidth="1"/>
    <col min="9178" max="9179" width="14.625" style="877" customWidth="1"/>
    <col min="9180" max="9182" width="13.125" style="877" customWidth="1"/>
    <col min="9183" max="9219" width="17.25" style="877" customWidth="1"/>
    <col min="9220" max="9220" width="14.75" style="877" bestFit="1" customWidth="1"/>
    <col min="9221" max="9221" width="13.75" style="877" customWidth="1"/>
    <col min="9222" max="9222" width="15.25" style="877" customWidth="1"/>
    <col min="9223" max="9223" width="13.125" style="877" customWidth="1"/>
    <col min="9224" max="9224" width="11.875" style="877" customWidth="1"/>
    <col min="9225" max="9225" width="13.25" style="877" customWidth="1"/>
    <col min="9226" max="9226" width="12.625" style="877" customWidth="1"/>
    <col min="9227" max="9227" width="13" style="877" bestFit="1" customWidth="1"/>
    <col min="9228" max="9228" width="13.375" style="877" bestFit="1" customWidth="1"/>
    <col min="9229" max="9229" width="19.375" style="877" customWidth="1"/>
    <col min="9230" max="9230" width="12.75" style="877" bestFit="1" customWidth="1"/>
    <col min="9231" max="9231" width="13" style="877" bestFit="1" customWidth="1"/>
    <col min="9232" max="9232" width="13.375" style="877" bestFit="1" customWidth="1"/>
    <col min="9233" max="9233" width="16.625" style="877" customWidth="1"/>
    <col min="9234" max="9234" width="13.125" style="877" customWidth="1"/>
    <col min="9235" max="9235" width="15.125" style="877" bestFit="1" customWidth="1"/>
    <col min="9236" max="9236" width="16.625" style="877" bestFit="1" customWidth="1"/>
    <col min="9237" max="9237" width="14.375" style="877" customWidth="1"/>
    <col min="9238" max="9238" width="13.25" style="877" bestFit="1" customWidth="1"/>
    <col min="9239" max="9239" width="13" style="877" bestFit="1" customWidth="1"/>
    <col min="9240" max="9247" width="13" style="877" customWidth="1"/>
    <col min="9248" max="9248" width="13" style="877" bestFit="1" customWidth="1"/>
    <col min="9249" max="9249" width="15.875" style="877" customWidth="1"/>
    <col min="9250" max="9250" width="12.75" style="877" bestFit="1" customWidth="1"/>
    <col min="9251" max="9252" width="13" style="877" bestFit="1" customWidth="1"/>
    <col min="9253" max="9253" width="14.375" style="877" customWidth="1"/>
    <col min="9254" max="9254" width="12.75" style="877" bestFit="1" customWidth="1"/>
    <col min="9255" max="9256" width="13" style="877" bestFit="1" customWidth="1"/>
    <col min="9257" max="9257" width="15.125" style="877" customWidth="1"/>
    <col min="9258" max="9260" width="13" style="877" bestFit="1" customWidth="1"/>
    <col min="9261" max="9261" width="13.75" style="877" customWidth="1"/>
    <col min="9262" max="9263" width="13" style="877" bestFit="1" customWidth="1"/>
    <col min="9264" max="9264" width="13.125" style="877" customWidth="1"/>
    <col min="9265" max="9265" width="15.875" style="877" customWidth="1"/>
    <col min="9266" max="9266" width="13" style="877" customWidth="1"/>
    <col min="9267" max="9267" width="13" style="877" bestFit="1" customWidth="1"/>
    <col min="9268" max="9268" width="21" style="877" customWidth="1"/>
    <col min="9269" max="9269" width="15.75" style="877" customWidth="1"/>
    <col min="9270" max="9270" width="13.375" style="877" customWidth="1"/>
    <col min="9271" max="9271" width="13" style="877" bestFit="1" customWidth="1"/>
    <col min="9272" max="9275" width="13" style="877" customWidth="1"/>
    <col min="9276" max="9276" width="13.375" style="877" bestFit="1" customWidth="1"/>
    <col min="9277" max="9277" width="14.375" style="877" customWidth="1"/>
    <col min="9278" max="9278" width="13.375" style="877" customWidth="1"/>
    <col min="9279" max="9283" width="12.625" style="877" customWidth="1"/>
    <col min="9284" max="9284" width="13.375" style="877" bestFit="1" customWidth="1"/>
    <col min="9285" max="9285" width="14" style="877" customWidth="1"/>
    <col min="9286" max="9286" width="13.375" style="877" bestFit="1" customWidth="1"/>
    <col min="9287" max="9287" width="13" style="877" bestFit="1" customWidth="1"/>
    <col min="9288" max="9289" width="13.75" style="877" customWidth="1"/>
    <col min="9290" max="9290" width="13.125" style="877" customWidth="1"/>
    <col min="9291" max="9291" width="12.25" style="877" customWidth="1"/>
    <col min="9292" max="9292" width="13.375" style="877" bestFit="1" customWidth="1"/>
    <col min="9293" max="9293" width="17" style="877" customWidth="1"/>
    <col min="9294" max="9294" width="13.25" style="877" bestFit="1" customWidth="1"/>
    <col min="9295" max="9295" width="13" style="877" bestFit="1" customWidth="1"/>
    <col min="9296" max="9296" width="12.75" style="877" bestFit="1" customWidth="1"/>
    <col min="9297" max="9297" width="14.75" style="877" customWidth="1"/>
    <col min="9298" max="9298" width="11.875" style="877" bestFit="1" customWidth="1"/>
    <col min="9299" max="9299" width="13" style="877" bestFit="1" customWidth="1"/>
    <col min="9300" max="9300" width="15.125" style="877" bestFit="1" customWidth="1"/>
    <col min="9301" max="9301" width="14" style="877" customWidth="1"/>
    <col min="9302" max="9302" width="12" style="877" bestFit="1" customWidth="1"/>
    <col min="9303" max="9303" width="11.375" style="877" customWidth="1"/>
    <col min="9304" max="9304" width="12.75" style="877" bestFit="1" customWidth="1"/>
    <col min="9305" max="9305" width="11.375" style="877" customWidth="1"/>
    <col min="9306" max="9307" width="13" style="877" bestFit="1" customWidth="1"/>
    <col min="9308" max="9308" width="12.75" style="877" bestFit="1" customWidth="1"/>
    <col min="9309" max="9309" width="18.25" style="877" customWidth="1"/>
    <col min="9310" max="9310" width="12.625" style="877" bestFit="1" customWidth="1"/>
    <col min="9311" max="9311" width="13" style="877" bestFit="1" customWidth="1"/>
    <col min="9312" max="9312" width="13" style="877" customWidth="1"/>
    <col min="9313" max="9313" width="14.375" style="877" customWidth="1"/>
    <col min="9314" max="9315" width="13" style="877" customWidth="1"/>
    <col min="9316" max="9316" width="13.25" style="877" customWidth="1"/>
    <col min="9317" max="9317" width="15.75" style="877" customWidth="1"/>
    <col min="9318" max="9318" width="12" style="877" bestFit="1" customWidth="1"/>
    <col min="9319" max="9320" width="12.25" style="877" customWidth="1"/>
    <col min="9321" max="9321" width="15.875" style="877" customWidth="1"/>
    <col min="9322" max="9324" width="12.25" style="877" customWidth="1"/>
    <col min="9325" max="9325" width="14.875" style="877" customWidth="1"/>
    <col min="9326" max="9328" width="12.25" style="877" customWidth="1"/>
    <col min="9329" max="9329" width="13.75" style="877" customWidth="1"/>
    <col min="9330" max="9331" width="12.25" style="877" customWidth="1"/>
    <col min="9332" max="9332" width="18.125" style="877" customWidth="1"/>
    <col min="9333" max="9333" width="16.25" style="877" customWidth="1"/>
    <col min="9334" max="9334" width="15" style="877" customWidth="1"/>
    <col min="9335" max="9335" width="9.125" style="877"/>
    <col min="9336" max="9336" width="13.375" style="877" bestFit="1" customWidth="1"/>
    <col min="9337" max="9408" width="9.125" style="877"/>
    <col min="9409" max="9409" width="3.75" style="877" customWidth="1"/>
    <col min="9410" max="9410" width="17" style="877" customWidth="1"/>
    <col min="9411" max="9411" width="13" style="877" customWidth="1"/>
    <col min="9412" max="9412" width="18.75" style="877" customWidth="1"/>
    <col min="9413" max="9413" width="14.125" style="877" customWidth="1"/>
    <col min="9414" max="9414" width="12.875" style="877" customWidth="1"/>
    <col min="9415" max="9415" width="11.75" style="877" customWidth="1"/>
    <col min="9416" max="9416" width="12.875" style="877" customWidth="1"/>
    <col min="9417" max="9417" width="14.875" style="877" customWidth="1"/>
    <col min="9418" max="9418" width="13" style="877" customWidth="1"/>
    <col min="9419" max="9419" width="11.25" style="877" customWidth="1"/>
    <col min="9420" max="9420" width="14.875" style="877" customWidth="1"/>
    <col min="9421" max="9421" width="14.375" style="877" customWidth="1"/>
    <col min="9422" max="9422" width="13.375" style="877" customWidth="1"/>
    <col min="9423" max="9423" width="11.375" style="877" customWidth="1"/>
    <col min="9424" max="9424" width="12.875" style="877" customWidth="1"/>
    <col min="9425" max="9425" width="11.375" style="877" customWidth="1"/>
    <col min="9426" max="9426" width="13.125" style="877" customWidth="1"/>
    <col min="9427" max="9427" width="12.125" style="877" customWidth="1"/>
    <col min="9428" max="9428" width="13.875" style="877" customWidth="1"/>
    <col min="9429" max="9429" width="14" style="877" customWidth="1"/>
    <col min="9430" max="9430" width="13.25" style="877" customWidth="1"/>
    <col min="9431" max="9431" width="11.375" style="877" customWidth="1"/>
    <col min="9432" max="9432" width="14.75" style="877" bestFit="1" customWidth="1"/>
    <col min="9433" max="9433" width="13.25" style="877" customWidth="1"/>
    <col min="9434" max="9435" width="14.625" style="877" customWidth="1"/>
    <col min="9436" max="9438" width="13.125" style="877" customWidth="1"/>
    <col min="9439" max="9475" width="17.25" style="877" customWidth="1"/>
    <col min="9476" max="9476" width="14.75" style="877" bestFit="1" customWidth="1"/>
    <col min="9477" max="9477" width="13.75" style="877" customWidth="1"/>
    <col min="9478" max="9478" width="15.25" style="877" customWidth="1"/>
    <col min="9479" max="9479" width="13.125" style="877" customWidth="1"/>
    <col min="9480" max="9480" width="11.875" style="877" customWidth="1"/>
    <col min="9481" max="9481" width="13.25" style="877" customWidth="1"/>
    <col min="9482" max="9482" width="12.625" style="877" customWidth="1"/>
    <col min="9483" max="9483" width="13" style="877" bestFit="1" customWidth="1"/>
    <col min="9484" max="9484" width="13.375" style="877" bestFit="1" customWidth="1"/>
    <col min="9485" max="9485" width="19.375" style="877" customWidth="1"/>
    <col min="9486" max="9486" width="12.75" style="877" bestFit="1" customWidth="1"/>
    <col min="9487" max="9487" width="13" style="877" bestFit="1" customWidth="1"/>
    <col min="9488" max="9488" width="13.375" style="877" bestFit="1" customWidth="1"/>
    <col min="9489" max="9489" width="16.625" style="877" customWidth="1"/>
    <col min="9490" max="9490" width="13.125" style="877" customWidth="1"/>
    <col min="9491" max="9491" width="15.125" style="877" bestFit="1" customWidth="1"/>
    <col min="9492" max="9492" width="16.625" style="877" bestFit="1" customWidth="1"/>
    <col min="9493" max="9493" width="14.375" style="877" customWidth="1"/>
    <col min="9494" max="9494" width="13.25" style="877" bestFit="1" customWidth="1"/>
    <col min="9495" max="9495" width="13" style="877" bestFit="1" customWidth="1"/>
    <col min="9496" max="9503" width="13" style="877" customWidth="1"/>
    <col min="9504" max="9504" width="13" style="877" bestFit="1" customWidth="1"/>
    <col min="9505" max="9505" width="15.875" style="877" customWidth="1"/>
    <col min="9506" max="9506" width="12.75" style="877" bestFit="1" customWidth="1"/>
    <col min="9507" max="9508" width="13" style="877" bestFit="1" customWidth="1"/>
    <col min="9509" max="9509" width="14.375" style="877" customWidth="1"/>
    <col min="9510" max="9510" width="12.75" style="877" bestFit="1" customWidth="1"/>
    <col min="9511" max="9512" width="13" style="877" bestFit="1" customWidth="1"/>
    <col min="9513" max="9513" width="15.125" style="877" customWidth="1"/>
    <col min="9514" max="9516" width="13" style="877" bestFit="1" customWidth="1"/>
    <col min="9517" max="9517" width="13.75" style="877" customWidth="1"/>
    <col min="9518" max="9519" width="13" style="877" bestFit="1" customWidth="1"/>
    <col min="9520" max="9520" width="13.125" style="877" customWidth="1"/>
    <col min="9521" max="9521" width="15.875" style="877" customWidth="1"/>
    <col min="9522" max="9522" width="13" style="877" customWidth="1"/>
    <col min="9523" max="9523" width="13" style="877" bestFit="1" customWidth="1"/>
    <col min="9524" max="9524" width="21" style="877" customWidth="1"/>
    <col min="9525" max="9525" width="15.75" style="877" customWidth="1"/>
    <col min="9526" max="9526" width="13.375" style="877" customWidth="1"/>
    <col min="9527" max="9527" width="13" style="877" bestFit="1" customWidth="1"/>
    <col min="9528" max="9531" width="13" style="877" customWidth="1"/>
    <col min="9532" max="9532" width="13.375" style="877" bestFit="1" customWidth="1"/>
    <col min="9533" max="9533" width="14.375" style="877" customWidth="1"/>
    <col min="9534" max="9534" width="13.375" style="877" customWidth="1"/>
    <col min="9535" max="9539" width="12.625" style="877" customWidth="1"/>
    <col min="9540" max="9540" width="13.375" style="877" bestFit="1" customWidth="1"/>
    <col min="9541" max="9541" width="14" style="877" customWidth="1"/>
    <col min="9542" max="9542" width="13.375" style="877" bestFit="1" customWidth="1"/>
    <col min="9543" max="9543" width="13" style="877" bestFit="1" customWidth="1"/>
    <col min="9544" max="9545" width="13.75" style="877" customWidth="1"/>
    <col min="9546" max="9546" width="13.125" style="877" customWidth="1"/>
    <col min="9547" max="9547" width="12.25" style="877" customWidth="1"/>
    <col min="9548" max="9548" width="13.375" style="877" bestFit="1" customWidth="1"/>
    <col min="9549" max="9549" width="17" style="877" customWidth="1"/>
    <col min="9550" max="9550" width="13.25" style="877" bestFit="1" customWidth="1"/>
    <col min="9551" max="9551" width="13" style="877" bestFit="1" customWidth="1"/>
    <col min="9552" max="9552" width="12.75" style="877" bestFit="1" customWidth="1"/>
    <col min="9553" max="9553" width="14.75" style="877" customWidth="1"/>
    <col min="9554" max="9554" width="11.875" style="877" bestFit="1" customWidth="1"/>
    <col min="9555" max="9555" width="13" style="877" bestFit="1" customWidth="1"/>
    <col min="9556" max="9556" width="15.125" style="877" bestFit="1" customWidth="1"/>
    <col min="9557" max="9557" width="14" style="877" customWidth="1"/>
    <col min="9558" max="9558" width="12" style="877" bestFit="1" customWidth="1"/>
    <col min="9559" max="9559" width="11.375" style="877" customWidth="1"/>
    <col min="9560" max="9560" width="12.75" style="877" bestFit="1" customWidth="1"/>
    <col min="9561" max="9561" width="11.375" style="877" customWidth="1"/>
    <col min="9562" max="9563" width="13" style="877" bestFit="1" customWidth="1"/>
    <col min="9564" max="9564" width="12.75" style="877" bestFit="1" customWidth="1"/>
    <col min="9565" max="9565" width="18.25" style="877" customWidth="1"/>
    <col min="9566" max="9566" width="12.625" style="877" bestFit="1" customWidth="1"/>
    <col min="9567" max="9567" width="13" style="877" bestFit="1" customWidth="1"/>
    <col min="9568" max="9568" width="13" style="877" customWidth="1"/>
    <col min="9569" max="9569" width="14.375" style="877" customWidth="1"/>
    <col min="9570" max="9571" width="13" style="877" customWidth="1"/>
    <col min="9572" max="9572" width="13.25" style="877" customWidth="1"/>
    <col min="9573" max="9573" width="15.75" style="877" customWidth="1"/>
    <col min="9574" max="9574" width="12" style="877" bestFit="1" customWidth="1"/>
    <col min="9575" max="9576" width="12.25" style="877" customWidth="1"/>
    <col min="9577" max="9577" width="15.875" style="877" customWidth="1"/>
    <col min="9578" max="9580" width="12.25" style="877" customWidth="1"/>
    <col min="9581" max="9581" width="14.875" style="877" customWidth="1"/>
    <col min="9582" max="9584" width="12.25" style="877" customWidth="1"/>
    <col min="9585" max="9585" width="13.75" style="877" customWidth="1"/>
    <col min="9586" max="9587" width="12.25" style="877" customWidth="1"/>
    <col min="9588" max="9588" width="18.125" style="877" customWidth="1"/>
    <col min="9589" max="9589" width="16.25" style="877" customWidth="1"/>
    <col min="9590" max="9590" width="15" style="877" customWidth="1"/>
    <col min="9591" max="9591" width="9.125" style="877"/>
    <col min="9592" max="9592" width="13.375" style="877" bestFit="1" customWidth="1"/>
    <col min="9593" max="9664" width="9.125" style="877"/>
    <col min="9665" max="9665" width="3.75" style="877" customWidth="1"/>
    <col min="9666" max="9666" width="17" style="877" customWidth="1"/>
    <col min="9667" max="9667" width="13" style="877" customWidth="1"/>
    <col min="9668" max="9668" width="18.75" style="877" customWidth="1"/>
    <col min="9669" max="9669" width="14.125" style="877" customWidth="1"/>
    <col min="9670" max="9670" width="12.875" style="877" customWidth="1"/>
    <col min="9671" max="9671" width="11.75" style="877" customWidth="1"/>
    <col min="9672" max="9672" width="12.875" style="877" customWidth="1"/>
    <col min="9673" max="9673" width="14.875" style="877" customWidth="1"/>
    <col min="9674" max="9674" width="13" style="877" customWidth="1"/>
    <col min="9675" max="9675" width="11.25" style="877" customWidth="1"/>
    <col min="9676" max="9676" width="14.875" style="877" customWidth="1"/>
    <col min="9677" max="9677" width="14.375" style="877" customWidth="1"/>
    <col min="9678" max="9678" width="13.375" style="877" customWidth="1"/>
    <col min="9679" max="9679" width="11.375" style="877" customWidth="1"/>
    <col min="9680" max="9680" width="12.875" style="877" customWidth="1"/>
    <col min="9681" max="9681" width="11.375" style="877" customWidth="1"/>
    <col min="9682" max="9682" width="13.125" style="877" customWidth="1"/>
    <col min="9683" max="9683" width="12.125" style="877" customWidth="1"/>
    <col min="9684" max="9684" width="13.875" style="877" customWidth="1"/>
    <col min="9685" max="9685" width="14" style="877" customWidth="1"/>
    <col min="9686" max="9686" width="13.25" style="877" customWidth="1"/>
    <col min="9687" max="9687" width="11.375" style="877" customWidth="1"/>
    <col min="9688" max="9688" width="14.75" style="877" bestFit="1" customWidth="1"/>
    <col min="9689" max="9689" width="13.25" style="877" customWidth="1"/>
    <col min="9690" max="9691" width="14.625" style="877" customWidth="1"/>
    <col min="9692" max="9694" width="13.125" style="877" customWidth="1"/>
    <col min="9695" max="9731" width="17.25" style="877" customWidth="1"/>
    <col min="9732" max="9732" width="14.75" style="877" bestFit="1" customWidth="1"/>
    <col min="9733" max="9733" width="13.75" style="877" customWidth="1"/>
    <col min="9734" max="9734" width="15.25" style="877" customWidth="1"/>
    <col min="9735" max="9735" width="13.125" style="877" customWidth="1"/>
    <col min="9736" max="9736" width="11.875" style="877" customWidth="1"/>
    <col min="9737" max="9737" width="13.25" style="877" customWidth="1"/>
    <col min="9738" max="9738" width="12.625" style="877" customWidth="1"/>
    <col min="9739" max="9739" width="13" style="877" bestFit="1" customWidth="1"/>
    <col min="9740" max="9740" width="13.375" style="877" bestFit="1" customWidth="1"/>
    <col min="9741" max="9741" width="19.375" style="877" customWidth="1"/>
    <col min="9742" max="9742" width="12.75" style="877" bestFit="1" customWidth="1"/>
    <col min="9743" max="9743" width="13" style="877" bestFit="1" customWidth="1"/>
    <col min="9744" max="9744" width="13.375" style="877" bestFit="1" customWidth="1"/>
    <col min="9745" max="9745" width="16.625" style="877" customWidth="1"/>
    <col min="9746" max="9746" width="13.125" style="877" customWidth="1"/>
    <col min="9747" max="9747" width="15.125" style="877" bestFit="1" customWidth="1"/>
    <col min="9748" max="9748" width="16.625" style="877" bestFit="1" customWidth="1"/>
    <col min="9749" max="9749" width="14.375" style="877" customWidth="1"/>
    <col min="9750" max="9750" width="13.25" style="877" bestFit="1" customWidth="1"/>
    <col min="9751" max="9751" width="13" style="877" bestFit="1" customWidth="1"/>
    <col min="9752" max="9759" width="13" style="877" customWidth="1"/>
    <col min="9760" max="9760" width="13" style="877" bestFit="1" customWidth="1"/>
    <col min="9761" max="9761" width="15.875" style="877" customWidth="1"/>
    <col min="9762" max="9762" width="12.75" style="877" bestFit="1" customWidth="1"/>
    <col min="9763" max="9764" width="13" style="877" bestFit="1" customWidth="1"/>
    <col min="9765" max="9765" width="14.375" style="877" customWidth="1"/>
    <col min="9766" max="9766" width="12.75" style="877" bestFit="1" customWidth="1"/>
    <col min="9767" max="9768" width="13" style="877" bestFit="1" customWidth="1"/>
    <col min="9769" max="9769" width="15.125" style="877" customWidth="1"/>
    <col min="9770" max="9772" width="13" style="877" bestFit="1" customWidth="1"/>
    <col min="9773" max="9773" width="13.75" style="877" customWidth="1"/>
    <col min="9774" max="9775" width="13" style="877" bestFit="1" customWidth="1"/>
    <col min="9776" max="9776" width="13.125" style="877" customWidth="1"/>
    <col min="9777" max="9777" width="15.875" style="877" customWidth="1"/>
    <col min="9778" max="9778" width="13" style="877" customWidth="1"/>
    <col min="9779" max="9779" width="13" style="877" bestFit="1" customWidth="1"/>
    <col min="9780" max="9780" width="21" style="877" customWidth="1"/>
    <col min="9781" max="9781" width="15.75" style="877" customWidth="1"/>
    <col min="9782" max="9782" width="13.375" style="877" customWidth="1"/>
    <col min="9783" max="9783" width="13" style="877" bestFit="1" customWidth="1"/>
    <col min="9784" max="9787" width="13" style="877" customWidth="1"/>
    <col min="9788" max="9788" width="13.375" style="877" bestFit="1" customWidth="1"/>
    <col min="9789" max="9789" width="14.375" style="877" customWidth="1"/>
    <col min="9790" max="9790" width="13.375" style="877" customWidth="1"/>
    <col min="9791" max="9795" width="12.625" style="877" customWidth="1"/>
    <col min="9796" max="9796" width="13.375" style="877" bestFit="1" customWidth="1"/>
    <col min="9797" max="9797" width="14" style="877" customWidth="1"/>
    <col min="9798" max="9798" width="13.375" style="877" bestFit="1" customWidth="1"/>
    <col min="9799" max="9799" width="13" style="877" bestFit="1" customWidth="1"/>
    <col min="9800" max="9801" width="13.75" style="877" customWidth="1"/>
    <col min="9802" max="9802" width="13.125" style="877" customWidth="1"/>
    <col min="9803" max="9803" width="12.25" style="877" customWidth="1"/>
    <col min="9804" max="9804" width="13.375" style="877" bestFit="1" customWidth="1"/>
    <col min="9805" max="9805" width="17" style="877" customWidth="1"/>
    <col min="9806" max="9806" width="13.25" style="877" bestFit="1" customWidth="1"/>
    <col min="9807" max="9807" width="13" style="877" bestFit="1" customWidth="1"/>
    <col min="9808" max="9808" width="12.75" style="877" bestFit="1" customWidth="1"/>
    <col min="9809" max="9809" width="14.75" style="877" customWidth="1"/>
    <col min="9810" max="9810" width="11.875" style="877" bestFit="1" customWidth="1"/>
    <col min="9811" max="9811" width="13" style="877" bestFit="1" customWidth="1"/>
    <col min="9812" max="9812" width="15.125" style="877" bestFit="1" customWidth="1"/>
    <col min="9813" max="9813" width="14" style="877" customWidth="1"/>
    <col min="9814" max="9814" width="12" style="877" bestFit="1" customWidth="1"/>
    <col min="9815" max="9815" width="11.375" style="877" customWidth="1"/>
    <col min="9816" max="9816" width="12.75" style="877" bestFit="1" customWidth="1"/>
    <col min="9817" max="9817" width="11.375" style="877" customWidth="1"/>
    <col min="9818" max="9819" width="13" style="877" bestFit="1" customWidth="1"/>
    <col min="9820" max="9820" width="12.75" style="877" bestFit="1" customWidth="1"/>
    <col min="9821" max="9821" width="18.25" style="877" customWidth="1"/>
    <col min="9822" max="9822" width="12.625" style="877" bestFit="1" customWidth="1"/>
    <col min="9823" max="9823" width="13" style="877" bestFit="1" customWidth="1"/>
    <col min="9824" max="9824" width="13" style="877" customWidth="1"/>
    <col min="9825" max="9825" width="14.375" style="877" customWidth="1"/>
    <col min="9826" max="9827" width="13" style="877" customWidth="1"/>
    <col min="9828" max="9828" width="13.25" style="877" customWidth="1"/>
    <col min="9829" max="9829" width="15.75" style="877" customWidth="1"/>
    <col min="9830" max="9830" width="12" style="877" bestFit="1" customWidth="1"/>
    <col min="9831" max="9832" width="12.25" style="877" customWidth="1"/>
    <col min="9833" max="9833" width="15.875" style="877" customWidth="1"/>
    <col min="9834" max="9836" width="12.25" style="877" customWidth="1"/>
    <col min="9837" max="9837" width="14.875" style="877" customWidth="1"/>
    <col min="9838" max="9840" width="12.25" style="877" customWidth="1"/>
    <col min="9841" max="9841" width="13.75" style="877" customWidth="1"/>
    <col min="9842" max="9843" width="12.25" style="877" customWidth="1"/>
    <col min="9844" max="9844" width="18.125" style="877" customWidth="1"/>
    <col min="9845" max="9845" width="16.25" style="877" customWidth="1"/>
    <col min="9846" max="9846" width="15" style="877" customWidth="1"/>
    <col min="9847" max="9847" width="9.125" style="877"/>
    <col min="9848" max="9848" width="13.375" style="877" bestFit="1" customWidth="1"/>
    <col min="9849" max="9920" width="9.125" style="877"/>
    <col min="9921" max="9921" width="3.75" style="877" customWidth="1"/>
    <col min="9922" max="9922" width="17" style="877" customWidth="1"/>
    <col min="9923" max="9923" width="13" style="877" customWidth="1"/>
    <col min="9924" max="9924" width="18.75" style="877" customWidth="1"/>
    <col min="9925" max="9925" width="14.125" style="877" customWidth="1"/>
    <col min="9926" max="9926" width="12.875" style="877" customWidth="1"/>
    <col min="9927" max="9927" width="11.75" style="877" customWidth="1"/>
    <col min="9928" max="9928" width="12.875" style="877" customWidth="1"/>
    <col min="9929" max="9929" width="14.875" style="877" customWidth="1"/>
    <col min="9930" max="9930" width="13" style="877" customWidth="1"/>
    <col min="9931" max="9931" width="11.25" style="877" customWidth="1"/>
    <col min="9932" max="9932" width="14.875" style="877" customWidth="1"/>
    <col min="9933" max="9933" width="14.375" style="877" customWidth="1"/>
    <col min="9934" max="9934" width="13.375" style="877" customWidth="1"/>
    <col min="9935" max="9935" width="11.375" style="877" customWidth="1"/>
    <col min="9936" max="9936" width="12.875" style="877" customWidth="1"/>
    <col min="9937" max="9937" width="11.375" style="877" customWidth="1"/>
    <col min="9938" max="9938" width="13.125" style="877" customWidth="1"/>
    <col min="9939" max="9939" width="12.125" style="877" customWidth="1"/>
    <col min="9940" max="9940" width="13.875" style="877" customWidth="1"/>
    <col min="9941" max="9941" width="14" style="877" customWidth="1"/>
    <col min="9942" max="9942" width="13.25" style="877" customWidth="1"/>
    <col min="9943" max="9943" width="11.375" style="877" customWidth="1"/>
    <col min="9944" max="9944" width="14.75" style="877" bestFit="1" customWidth="1"/>
    <col min="9945" max="9945" width="13.25" style="877" customWidth="1"/>
    <col min="9946" max="9947" width="14.625" style="877" customWidth="1"/>
    <col min="9948" max="9950" width="13.125" style="877" customWidth="1"/>
    <col min="9951" max="9987" width="17.25" style="877" customWidth="1"/>
    <col min="9988" max="9988" width="14.75" style="877" bestFit="1" customWidth="1"/>
    <col min="9989" max="9989" width="13.75" style="877" customWidth="1"/>
    <col min="9990" max="9990" width="15.25" style="877" customWidth="1"/>
    <col min="9991" max="9991" width="13.125" style="877" customWidth="1"/>
    <col min="9992" max="9992" width="11.875" style="877" customWidth="1"/>
    <col min="9993" max="9993" width="13.25" style="877" customWidth="1"/>
    <col min="9994" max="9994" width="12.625" style="877" customWidth="1"/>
    <col min="9995" max="9995" width="13" style="877" bestFit="1" customWidth="1"/>
    <col min="9996" max="9996" width="13.375" style="877" bestFit="1" customWidth="1"/>
    <col min="9997" max="9997" width="19.375" style="877" customWidth="1"/>
    <col min="9998" max="9998" width="12.75" style="877" bestFit="1" customWidth="1"/>
    <col min="9999" max="9999" width="13" style="877" bestFit="1" customWidth="1"/>
    <col min="10000" max="10000" width="13.375" style="877" bestFit="1" customWidth="1"/>
    <col min="10001" max="10001" width="16.625" style="877" customWidth="1"/>
    <col min="10002" max="10002" width="13.125" style="877" customWidth="1"/>
    <col min="10003" max="10003" width="15.125" style="877" bestFit="1" customWidth="1"/>
    <col min="10004" max="10004" width="16.625" style="877" bestFit="1" customWidth="1"/>
    <col min="10005" max="10005" width="14.375" style="877" customWidth="1"/>
    <col min="10006" max="10006" width="13.25" style="877" bestFit="1" customWidth="1"/>
    <col min="10007" max="10007" width="13" style="877" bestFit="1" customWidth="1"/>
    <col min="10008" max="10015" width="13" style="877" customWidth="1"/>
    <col min="10016" max="10016" width="13" style="877" bestFit="1" customWidth="1"/>
    <col min="10017" max="10017" width="15.875" style="877" customWidth="1"/>
    <col min="10018" max="10018" width="12.75" style="877" bestFit="1" customWidth="1"/>
    <col min="10019" max="10020" width="13" style="877" bestFit="1" customWidth="1"/>
    <col min="10021" max="10021" width="14.375" style="877" customWidth="1"/>
    <col min="10022" max="10022" width="12.75" style="877" bestFit="1" customWidth="1"/>
    <col min="10023" max="10024" width="13" style="877" bestFit="1" customWidth="1"/>
    <col min="10025" max="10025" width="15.125" style="877" customWidth="1"/>
    <col min="10026" max="10028" width="13" style="877" bestFit="1" customWidth="1"/>
    <col min="10029" max="10029" width="13.75" style="877" customWidth="1"/>
    <col min="10030" max="10031" width="13" style="877" bestFit="1" customWidth="1"/>
    <col min="10032" max="10032" width="13.125" style="877" customWidth="1"/>
    <col min="10033" max="10033" width="15.875" style="877" customWidth="1"/>
    <col min="10034" max="10034" width="13" style="877" customWidth="1"/>
    <col min="10035" max="10035" width="13" style="877" bestFit="1" customWidth="1"/>
    <col min="10036" max="10036" width="21" style="877" customWidth="1"/>
    <col min="10037" max="10037" width="15.75" style="877" customWidth="1"/>
    <col min="10038" max="10038" width="13.375" style="877" customWidth="1"/>
    <col min="10039" max="10039" width="13" style="877" bestFit="1" customWidth="1"/>
    <col min="10040" max="10043" width="13" style="877" customWidth="1"/>
    <col min="10044" max="10044" width="13.375" style="877" bestFit="1" customWidth="1"/>
    <col min="10045" max="10045" width="14.375" style="877" customWidth="1"/>
    <col min="10046" max="10046" width="13.375" style="877" customWidth="1"/>
    <col min="10047" max="10051" width="12.625" style="877" customWidth="1"/>
    <col min="10052" max="10052" width="13.375" style="877" bestFit="1" customWidth="1"/>
    <col min="10053" max="10053" width="14" style="877" customWidth="1"/>
    <col min="10054" max="10054" width="13.375" style="877" bestFit="1" customWidth="1"/>
    <col min="10055" max="10055" width="13" style="877" bestFit="1" customWidth="1"/>
    <col min="10056" max="10057" width="13.75" style="877" customWidth="1"/>
    <col min="10058" max="10058" width="13.125" style="877" customWidth="1"/>
    <col min="10059" max="10059" width="12.25" style="877" customWidth="1"/>
    <col min="10060" max="10060" width="13.375" style="877" bestFit="1" customWidth="1"/>
    <col min="10061" max="10061" width="17" style="877" customWidth="1"/>
    <col min="10062" max="10062" width="13.25" style="877" bestFit="1" customWidth="1"/>
    <col min="10063" max="10063" width="13" style="877" bestFit="1" customWidth="1"/>
    <col min="10064" max="10064" width="12.75" style="877" bestFit="1" customWidth="1"/>
    <col min="10065" max="10065" width="14.75" style="877" customWidth="1"/>
    <col min="10066" max="10066" width="11.875" style="877" bestFit="1" customWidth="1"/>
    <col min="10067" max="10067" width="13" style="877" bestFit="1" customWidth="1"/>
    <col min="10068" max="10068" width="15.125" style="877" bestFit="1" customWidth="1"/>
    <col min="10069" max="10069" width="14" style="877" customWidth="1"/>
    <col min="10070" max="10070" width="12" style="877" bestFit="1" customWidth="1"/>
    <col min="10071" max="10071" width="11.375" style="877" customWidth="1"/>
    <col min="10072" max="10072" width="12.75" style="877" bestFit="1" customWidth="1"/>
    <col min="10073" max="10073" width="11.375" style="877" customWidth="1"/>
    <col min="10074" max="10075" width="13" style="877" bestFit="1" customWidth="1"/>
    <col min="10076" max="10076" width="12.75" style="877" bestFit="1" customWidth="1"/>
    <col min="10077" max="10077" width="18.25" style="877" customWidth="1"/>
    <col min="10078" max="10078" width="12.625" style="877" bestFit="1" customWidth="1"/>
    <col min="10079" max="10079" width="13" style="877" bestFit="1" customWidth="1"/>
    <col min="10080" max="10080" width="13" style="877" customWidth="1"/>
    <col min="10081" max="10081" width="14.375" style="877" customWidth="1"/>
    <col min="10082" max="10083" width="13" style="877" customWidth="1"/>
    <col min="10084" max="10084" width="13.25" style="877" customWidth="1"/>
    <col min="10085" max="10085" width="15.75" style="877" customWidth="1"/>
    <col min="10086" max="10086" width="12" style="877" bestFit="1" customWidth="1"/>
    <col min="10087" max="10088" width="12.25" style="877" customWidth="1"/>
    <col min="10089" max="10089" width="15.875" style="877" customWidth="1"/>
    <col min="10090" max="10092" width="12.25" style="877" customWidth="1"/>
    <col min="10093" max="10093" width="14.875" style="877" customWidth="1"/>
    <col min="10094" max="10096" width="12.25" style="877" customWidth="1"/>
    <col min="10097" max="10097" width="13.75" style="877" customWidth="1"/>
    <col min="10098" max="10099" width="12.25" style="877" customWidth="1"/>
    <col min="10100" max="10100" width="18.125" style="877" customWidth="1"/>
    <col min="10101" max="10101" width="16.25" style="877" customWidth="1"/>
    <col min="10102" max="10102" width="15" style="877" customWidth="1"/>
    <col min="10103" max="10103" width="9.125" style="877"/>
    <col min="10104" max="10104" width="13.375" style="877" bestFit="1" customWidth="1"/>
    <col min="10105" max="10176" width="9.125" style="877"/>
    <col min="10177" max="10177" width="3.75" style="877" customWidth="1"/>
    <col min="10178" max="10178" width="17" style="877" customWidth="1"/>
    <col min="10179" max="10179" width="13" style="877" customWidth="1"/>
    <col min="10180" max="10180" width="18.75" style="877" customWidth="1"/>
    <col min="10181" max="10181" width="14.125" style="877" customWidth="1"/>
    <col min="10182" max="10182" width="12.875" style="877" customWidth="1"/>
    <col min="10183" max="10183" width="11.75" style="877" customWidth="1"/>
    <col min="10184" max="10184" width="12.875" style="877" customWidth="1"/>
    <col min="10185" max="10185" width="14.875" style="877" customWidth="1"/>
    <col min="10186" max="10186" width="13" style="877" customWidth="1"/>
    <col min="10187" max="10187" width="11.25" style="877" customWidth="1"/>
    <col min="10188" max="10188" width="14.875" style="877" customWidth="1"/>
    <col min="10189" max="10189" width="14.375" style="877" customWidth="1"/>
    <col min="10190" max="10190" width="13.375" style="877" customWidth="1"/>
    <col min="10191" max="10191" width="11.375" style="877" customWidth="1"/>
    <col min="10192" max="10192" width="12.875" style="877" customWidth="1"/>
    <col min="10193" max="10193" width="11.375" style="877" customWidth="1"/>
    <col min="10194" max="10194" width="13.125" style="877" customWidth="1"/>
    <col min="10195" max="10195" width="12.125" style="877" customWidth="1"/>
    <col min="10196" max="10196" width="13.875" style="877" customWidth="1"/>
    <col min="10197" max="10197" width="14" style="877" customWidth="1"/>
    <col min="10198" max="10198" width="13.25" style="877" customWidth="1"/>
    <col min="10199" max="10199" width="11.375" style="877" customWidth="1"/>
    <col min="10200" max="10200" width="14.75" style="877" bestFit="1" customWidth="1"/>
    <col min="10201" max="10201" width="13.25" style="877" customWidth="1"/>
    <col min="10202" max="10203" width="14.625" style="877" customWidth="1"/>
    <col min="10204" max="10206" width="13.125" style="877" customWidth="1"/>
    <col min="10207" max="10243" width="17.25" style="877" customWidth="1"/>
    <col min="10244" max="10244" width="14.75" style="877" bestFit="1" customWidth="1"/>
    <col min="10245" max="10245" width="13.75" style="877" customWidth="1"/>
    <col min="10246" max="10246" width="15.25" style="877" customWidth="1"/>
    <col min="10247" max="10247" width="13.125" style="877" customWidth="1"/>
    <col min="10248" max="10248" width="11.875" style="877" customWidth="1"/>
    <col min="10249" max="10249" width="13.25" style="877" customWidth="1"/>
    <col min="10250" max="10250" width="12.625" style="877" customWidth="1"/>
    <col min="10251" max="10251" width="13" style="877" bestFit="1" customWidth="1"/>
    <col min="10252" max="10252" width="13.375" style="877" bestFit="1" customWidth="1"/>
    <col min="10253" max="10253" width="19.375" style="877" customWidth="1"/>
    <col min="10254" max="10254" width="12.75" style="877" bestFit="1" customWidth="1"/>
    <col min="10255" max="10255" width="13" style="877" bestFit="1" customWidth="1"/>
    <col min="10256" max="10256" width="13.375" style="877" bestFit="1" customWidth="1"/>
    <col min="10257" max="10257" width="16.625" style="877" customWidth="1"/>
    <col min="10258" max="10258" width="13.125" style="877" customWidth="1"/>
    <col min="10259" max="10259" width="15.125" style="877" bestFit="1" customWidth="1"/>
    <col min="10260" max="10260" width="16.625" style="877" bestFit="1" customWidth="1"/>
    <col min="10261" max="10261" width="14.375" style="877" customWidth="1"/>
    <col min="10262" max="10262" width="13.25" style="877" bestFit="1" customWidth="1"/>
    <col min="10263" max="10263" width="13" style="877" bestFit="1" customWidth="1"/>
    <col min="10264" max="10271" width="13" style="877" customWidth="1"/>
    <col min="10272" max="10272" width="13" style="877" bestFit="1" customWidth="1"/>
    <col min="10273" max="10273" width="15.875" style="877" customWidth="1"/>
    <col min="10274" max="10274" width="12.75" style="877" bestFit="1" customWidth="1"/>
    <col min="10275" max="10276" width="13" style="877" bestFit="1" customWidth="1"/>
    <col min="10277" max="10277" width="14.375" style="877" customWidth="1"/>
    <col min="10278" max="10278" width="12.75" style="877" bestFit="1" customWidth="1"/>
    <col min="10279" max="10280" width="13" style="877" bestFit="1" customWidth="1"/>
    <col min="10281" max="10281" width="15.125" style="877" customWidth="1"/>
    <col min="10282" max="10284" width="13" style="877" bestFit="1" customWidth="1"/>
    <col min="10285" max="10285" width="13.75" style="877" customWidth="1"/>
    <col min="10286" max="10287" width="13" style="877" bestFit="1" customWidth="1"/>
    <col min="10288" max="10288" width="13.125" style="877" customWidth="1"/>
    <col min="10289" max="10289" width="15.875" style="877" customWidth="1"/>
    <col min="10290" max="10290" width="13" style="877" customWidth="1"/>
    <col min="10291" max="10291" width="13" style="877" bestFit="1" customWidth="1"/>
    <col min="10292" max="10292" width="21" style="877" customWidth="1"/>
    <col min="10293" max="10293" width="15.75" style="877" customWidth="1"/>
    <col min="10294" max="10294" width="13.375" style="877" customWidth="1"/>
    <col min="10295" max="10295" width="13" style="877" bestFit="1" customWidth="1"/>
    <col min="10296" max="10299" width="13" style="877" customWidth="1"/>
    <col min="10300" max="10300" width="13.375" style="877" bestFit="1" customWidth="1"/>
    <col min="10301" max="10301" width="14.375" style="877" customWidth="1"/>
    <col min="10302" max="10302" width="13.375" style="877" customWidth="1"/>
    <col min="10303" max="10307" width="12.625" style="877" customWidth="1"/>
    <col min="10308" max="10308" width="13.375" style="877" bestFit="1" customWidth="1"/>
    <col min="10309" max="10309" width="14" style="877" customWidth="1"/>
    <col min="10310" max="10310" width="13.375" style="877" bestFit="1" customWidth="1"/>
    <col min="10311" max="10311" width="13" style="877" bestFit="1" customWidth="1"/>
    <col min="10312" max="10313" width="13.75" style="877" customWidth="1"/>
    <col min="10314" max="10314" width="13.125" style="877" customWidth="1"/>
    <col min="10315" max="10315" width="12.25" style="877" customWidth="1"/>
    <col min="10316" max="10316" width="13.375" style="877" bestFit="1" customWidth="1"/>
    <col min="10317" max="10317" width="17" style="877" customWidth="1"/>
    <col min="10318" max="10318" width="13.25" style="877" bestFit="1" customWidth="1"/>
    <col min="10319" max="10319" width="13" style="877" bestFit="1" customWidth="1"/>
    <col min="10320" max="10320" width="12.75" style="877" bestFit="1" customWidth="1"/>
    <col min="10321" max="10321" width="14.75" style="877" customWidth="1"/>
    <col min="10322" max="10322" width="11.875" style="877" bestFit="1" customWidth="1"/>
    <col min="10323" max="10323" width="13" style="877" bestFit="1" customWidth="1"/>
    <col min="10324" max="10324" width="15.125" style="877" bestFit="1" customWidth="1"/>
    <col min="10325" max="10325" width="14" style="877" customWidth="1"/>
    <col min="10326" max="10326" width="12" style="877" bestFit="1" customWidth="1"/>
    <col min="10327" max="10327" width="11.375" style="877" customWidth="1"/>
    <col min="10328" max="10328" width="12.75" style="877" bestFit="1" customWidth="1"/>
    <col min="10329" max="10329" width="11.375" style="877" customWidth="1"/>
    <col min="10330" max="10331" width="13" style="877" bestFit="1" customWidth="1"/>
    <col min="10332" max="10332" width="12.75" style="877" bestFit="1" customWidth="1"/>
    <col min="10333" max="10333" width="18.25" style="877" customWidth="1"/>
    <col min="10334" max="10334" width="12.625" style="877" bestFit="1" customWidth="1"/>
    <col min="10335" max="10335" width="13" style="877" bestFit="1" customWidth="1"/>
    <col min="10336" max="10336" width="13" style="877" customWidth="1"/>
    <col min="10337" max="10337" width="14.375" style="877" customWidth="1"/>
    <col min="10338" max="10339" width="13" style="877" customWidth="1"/>
    <col min="10340" max="10340" width="13.25" style="877" customWidth="1"/>
    <col min="10341" max="10341" width="15.75" style="877" customWidth="1"/>
    <col min="10342" max="10342" width="12" style="877" bestFit="1" customWidth="1"/>
    <col min="10343" max="10344" width="12.25" style="877" customWidth="1"/>
    <col min="10345" max="10345" width="15.875" style="877" customWidth="1"/>
    <col min="10346" max="10348" width="12.25" style="877" customWidth="1"/>
    <col min="10349" max="10349" width="14.875" style="877" customWidth="1"/>
    <col min="10350" max="10352" width="12.25" style="877" customWidth="1"/>
    <col min="10353" max="10353" width="13.75" style="877" customWidth="1"/>
    <col min="10354" max="10355" width="12.25" style="877" customWidth="1"/>
    <col min="10356" max="10356" width="18.125" style="877" customWidth="1"/>
    <col min="10357" max="10357" width="16.25" style="877" customWidth="1"/>
    <col min="10358" max="10358" width="15" style="877" customWidth="1"/>
    <col min="10359" max="10359" width="9.125" style="877"/>
    <col min="10360" max="10360" width="13.375" style="877" bestFit="1" customWidth="1"/>
    <col min="10361" max="10432" width="9.125" style="877"/>
    <col min="10433" max="10433" width="3.75" style="877" customWidth="1"/>
    <col min="10434" max="10434" width="17" style="877" customWidth="1"/>
    <col min="10435" max="10435" width="13" style="877" customWidth="1"/>
    <col min="10436" max="10436" width="18.75" style="877" customWidth="1"/>
    <col min="10437" max="10437" width="14.125" style="877" customWidth="1"/>
    <col min="10438" max="10438" width="12.875" style="877" customWidth="1"/>
    <col min="10439" max="10439" width="11.75" style="877" customWidth="1"/>
    <col min="10440" max="10440" width="12.875" style="877" customWidth="1"/>
    <col min="10441" max="10441" width="14.875" style="877" customWidth="1"/>
    <col min="10442" max="10442" width="13" style="877" customWidth="1"/>
    <col min="10443" max="10443" width="11.25" style="877" customWidth="1"/>
    <col min="10444" max="10444" width="14.875" style="877" customWidth="1"/>
    <col min="10445" max="10445" width="14.375" style="877" customWidth="1"/>
    <col min="10446" max="10446" width="13.375" style="877" customWidth="1"/>
    <col min="10447" max="10447" width="11.375" style="877" customWidth="1"/>
    <col min="10448" max="10448" width="12.875" style="877" customWidth="1"/>
    <col min="10449" max="10449" width="11.375" style="877" customWidth="1"/>
    <col min="10450" max="10450" width="13.125" style="877" customWidth="1"/>
    <col min="10451" max="10451" width="12.125" style="877" customWidth="1"/>
    <col min="10452" max="10452" width="13.875" style="877" customWidth="1"/>
    <col min="10453" max="10453" width="14" style="877" customWidth="1"/>
    <col min="10454" max="10454" width="13.25" style="877" customWidth="1"/>
    <col min="10455" max="10455" width="11.375" style="877" customWidth="1"/>
    <col min="10456" max="10456" width="14.75" style="877" bestFit="1" customWidth="1"/>
    <col min="10457" max="10457" width="13.25" style="877" customWidth="1"/>
    <col min="10458" max="10459" width="14.625" style="877" customWidth="1"/>
    <col min="10460" max="10462" width="13.125" style="877" customWidth="1"/>
    <col min="10463" max="10499" width="17.25" style="877" customWidth="1"/>
    <col min="10500" max="10500" width="14.75" style="877" bestFit="1" customWidth="1"/>
    <col min="10501" max="10501" width="13.75" style="877" customWidth="1"/>
    <col min="10502" max="10502" width="15.25" style="877" customWidth="1"/>
    <col min="10503" max="10503" width="13.125" style="877" customWidth="1"/>
    <col min="10504" max="10504" width="11.875" style="877" customWidth="1"/>
    <col min="10505" max="10505" width="13.25" style="877" customWidth="1"/>
    <col min="10506" max="10506" width="12.625" style="877" customWidth="1"/>
    <col min="10507" max="10507" width="13" style="877" bestFit="1" customWidth="1"/>
    <col min="10508" max="10508" width="13.375" style="877" bestFit="1" customWidth="1"/>
    <col min="10509" max="10509" width="19.375" style="877" customWidth="1"/>
    <col min="10510" max="10510" width="12.75" style="877" bestFit="1" customWidth="1"/>
    <col min="10511" max="10511" width="13" style="877" bestFit="1" customWidth="1"/>
    <col min="10512" max="10512" width="13.375" style="877" bestFit="1" customWidth="1"/>
    <col min="10513" max="10513" width="16.625" style="877" customWidth="1"/>
    <col min="10514" max="10514" width="13.125" style="877" customWidth="1"/>
    <col min="10515" max="10515" width="15.125" style="877" bestFit="1" customWidth="1"/>
    <col min="10516" max="10516" width="16.625" style="877" bestFit="1" customWidth="1"/>
    <col min="10517" max="10517" width="14.375" style="877" customWidth="1"/>
    <col min="10518" max="10518" width="13.25" style="877" bestFit="1" customWidth="1"/>
    <col min="10519" max="10519" width="13" style="877" bestFit="1" customWidth="1"/>
    <col min="10520" max="10527" width="13" style="877" customWidth="1"/>
    <col min="10528" max="10528" width="13" style="877" bestFit="1" customWidth="1"/>
    <col min="10529" max="10529" width="15.875" style="877" customWidth="1"/>
    <col min="10530" max="10530" width="12.75" style="877" bestFit="1" customWidth="1"/>
    <col min="10531" max="10532" width="13" style="877" bestFit="1" customWidth="1"/>
    <col min="10533" max="10533" width="14.375" style="877" customWidth="1"/>
    <col min="10534" max="10534" width="12.75" style="877" bestFit="1" customWidth="1"/>
    <col min="10535" max="10536" width="13" style="877" bestFit="1" customWidth="1"/>
    <col min="10537" max="10537" width="15.125" style="877" customWidth="1"/>
    <col min="10538" max="10540" width="13" style="877" bestFit="1" customWidth="1"/>
    <col min="10541" max="10541" width="13.75" style="877" customWidth="1"/>
    <col min="10542" max="10543" width="13" style="877" bestFit="1" customWidth="1"/>
    <col min="10544" max="10544" width="13.125" style="877" customWidth="1"/>
    <col min="10545" max="10545" width="15.875" style="877" customWidth="1"/>
    <col min="10546" max="10546" width="13" style="877" customWidth="1"/>
    <col min="10547" max="10547" width="13" style="877" bestFit="1" customWidth="1"/>
    <col min="10548" max="10548" width="21" style="877" customWidth="1"/>
    <col min="10549" max="10549" width="15.75" style="877" customWidth="1"/>
    <col min="10550" max="10550" width="13.375" style="877" customWidth="1"/>
    <col min="10551" max="10551" width="13" style="877" bestFit="1" customWidth="1"/>
    <col min="10552" max="10555" width="13" style="877" customWidth="1"/>
    <col min="10556" max="10556" width="13.375" style="877" bestFit="1" customWidth="1"/>
    <col min="10557" max="10557" width="14.375" style="877" customWidth="1"/>
    <col min="10558" max="10558" width="13.375" style="877" customWidth="1"/>
    <col min="10559" max="10563" width="12.625" style="877" customWidth="1"/>
    <col min="10564" max="10564" width="13.375" style="877" bestFit="1" customWidth="1"/>
    <col min="10565" max="10565" width="14" style="877" customWidth="1"/>
    <col min="10566" max="10566" width="13.375" style="877" bestFit="1" customWidth="1"/>
    <col min="10567" max="10567" width="13" style="877" bestFit="1" customWidth="1"/>
    <col min="10568" max="10569" width="13.75" style="877" customWidth="1"/>
    <col min="10570" max="10570" width="13.125" style="877" customWidth="1"/>
    <col min="10571" max="10571" width="12.25" style="877" customWidth="1"/>
    <col min="10572" max="10572" width="13.375" style="877" bestFit="1" customWidth="1"/>
    <col min="10573" max="10573" width="17" style="877" customWidth="1"/>
    <col min="10574" max="10574" width="13.25" style="877" bestFit="1" customWidth="1"/>
    <col min="10575" max="10575" width="13" style="877" bestFit="1" customWidth="1"/>
    <col min="10576" max="10576" width="12.75" style="877" bestFit="1" customWidth="1"/>
    <col min="10577" max="10577" width="14.75" style="877" customWidth="1"/>
    <col min="10578" max="10578" width="11.875" style="877" bestFit="1" customWidth="1"/>
    <col min="10579" max="10579" width="13" style="877" bestFit="1" customWidth="1"/>
    <col min="10580" max="10580" width="15.125" style="877" bestFit="1" customWidth="1"/>
    <col min="10581" max="10581" width="14" style="877" customWidth="1"/>
    <col min="10582" max="10582" width="12" style="877" bestFit="1" customWidth="1"/>
    <col min="10583" max="10583" width="11.375" style="877" customWidth="1"/>
    <col min="10584" max="10584" width="12.75" style="877" bestFit="1" customWidth="1"/>
    <col min="10585" max="10585" width="11.375" style="877" customWidth="1"/>
    <col min="10586" max="10587" width="13" style="877" bestFit="1" customWidth="1"/>
    <col min="10588" max="10588" width="12.75" style="877" bestFit="1" customWidth="1"/>
    <col min="10589" max="10589" width="18.25" style="877" customWidth="1"/>
    <col min="10590" max="10590" width="12.625" style="877" bestFit="1" customWidth="1"/>
    <col min="10591" max="10591" width="13" style="877" bestFit="1" customWidth="1"/>
    <col min="10592" max="10592" width="13" style="877" customWidth="1"/>
    <col min="10593" max="10593" width="14.375" style="877" customWidth="1"/>
    <col min="10594" max="10595" width="13" style="877" customWidth="1"/>
    <col min="10596" max="10596" width="13.25" style="877" customWidth="1"/>
    <col min="10597" max="10597" width="15.75" style="877" customWidth="1"/>
    <col min="10598" max="10598" width="12" style="877" bestFit="1" customWidth="1"/>
    <col min="10599" max="10600" width="12.25" style="877" customWidth="1"/>
    <col min="10601" max="10601" width="15.875" style="877" customWidth="1"/>
    <col min="10602" max="10604" width="12.25" style="877" customWidth="1"/>
    <col min="10605" max="10605" width="14.875" style="877" customWidth="1"/>
    <col min="10606" max="10608" width="12.25" style="877" customWidth="1"/>
    <col min="10609" max="10609" width="13.75" style="877" customWidth="1"/>
    <col min="10610" max="10611" width="12.25" style="877" customWidth="1"/>
    <col min="10612" max="10612" width="18.125" style="877" customWidth="1"/>
    <col min="10613" max="10613" width="16.25" style="877" customWidth="1"/>
    <col min="10614" max="10614" width="15" style="877" customWidth="1"/>
    <col min="10615" max="10615" width="9.125" style="877"/>
    <col min="10616" max="10616" width="13.375" style="877" bestFit="1" customWidth="1"/>
    <col min="10617" max="10688" width="9.125" style="877"/>
    <col min="10689" max="10689" width="3.75" style="877" customWidth="1"/>
    <col min="10690" max="10690" width="17" style="877" customWidth="1"/>
    <col min="10691" max="10691" width="13" style="877" customWidth="1"/>
    <col min="10692" max="10692" width="18.75" style="877" customWidth="1"/>
    <col min="10693" max="10693" width="14.125" style="877" customWidth="1"/>
    <col min="10694" max="10694" width="12.875" style="877" customWidth="1"/>
    <col min="10695" max="10695" width="11.75" style="877" customWidth="1"/>
    <col min="10696" max="10696" width="12.875" style="877" customWidth="1"/>
    <col min="10697" max="10697" width="14.875" style="877" customWidth="1"/>
    <col min="10698" max="10698" width="13" style="877" customWidth="1"/>
    <col min="10699" max="10699" width="11.25" style="877" customWidth="1"/>
    <col min="10700" max="10700" width="14.875" style="877" customWidth="1"/>
    <col min="10701" max="10701" width="14.375" style="877" customWidth="1"/>
    <col min="10702" max="10702" width="13.375" style="877" customWidth="1"/>
    <col min="10703" max="10703" width="11.375" style="877" customWidth="1"/>
    <col min="10704" max="10704" width="12.875" style="877" customWidth="1"/>
    <col min="10705" max="10705" width="11.375" style="877" customWidth="1"/>
    <col min="10706" max="10706" width="13.125" style="877" customWidth="1"/>
    <col min="10707" max="10707" width="12.125" style="877" customWidth="1"/>
    <col min="10708" max="10708" width="13.875" style="877" customWidth="1"/>
    <col min="10709" max="10709" width="14" style="877" customWidth="1"/>
    <col min="10710" max="10710" width="13.25" style="877" customWidth="1"/>
    <col min="10711" max="10711" width="11.375" style="877" customWidth="1"/>
    <col min="10712" max="10712" width="14.75" style="877" bestFit="1" customWidth="1"/>
    <col min="10713" max="10713" width="13.25" style="877" customWidth="1"/>
    <col min="10714" max="10715" width="14.625" style="877" customWidth="1"/>
    <col min="10716" max="10718" width="13.125" style="877" customWidth="1"/>
    <col min="10719" max="10755" width="17.25" style="877" customWidth="1"/>
    <col min="10756" max="10756" width="14.75" style="877" bestFit="1" customWidth="1"/>
    <col min="10757" max="10757" width="13.75" style="877" customWidth="1"/>
    <col min="10758" max="10758" width="15.25" style="877" customWidth="1"/>
    <col min="10759" max="10759" width="13.125" style="877" customWidth="1"/>
    <col min="10760" max="10760" width="11.875" style="877" customWidth="1"/>
    <col min="10761" max="10761" width="13.25" style="877" customWidth="1"/>
    <col min="10762" max="10762" width="12.625" style="877" customWidth="1"/>
    <col min="10763" max="10763" width="13" style="877" bestFit="1" customWidth="1"/>
    <col min="10764" max="10764" width="13.375" style="877" bestFit="1" customWidth="1"/>
    <col min="10765" max="10765" width="19.375" style="877" customWidth="1"/>
    <col min="10766" max="10766" width="12.75" style="877" bestFit="1" customWidth="1"/>
    <col min="10767" max="10767" width="13" style="877" bestFit="1" customWidth="1"/>
    <col min="10768" max="10768" width="13.375" style="877" bestFit="1" customWidth="1"/>
    <col min="10769" max="10769" width="16.625" style="877" customWidth="1"/>
    <col min="10770" max="10770" width="13.125" style="877" customWidth="1"/>
    <col min="10771" max="10771" width="15.125" style="877" bestFit="1" customWidth="1"/>
    <col min="10772" max="10772" width="16.625" style="877" bestFit="1" customWidth="1"/>
    <col min="10773" max="10773" width="14.375" style="877" customWidth="1"/>
    <col min="10774" max="10774" width="13.25" style="877" bestFit="1" customWidth="1"/>
    <col min="10775" max="10775" width="13" style="877" bestFit="1" customWidth="1"/>
    <col min="10776" max="10783" width="13" style="877" customWidth="1"/>
    <col min="10784" max="10784" width="13" style="877" bestFit="1" customWidth="1"/>
    <col min="10785" max="10785" width="15.875" style="877" customWidth="1"/>
    <col min="10786" max="10786" width="12.75" style="877" bestFit="1" customWidth="1"/>
    <col min="10787" max="10788" width="13" style="877" bestFit="1" customWidth="1"/>
    <col min="10789" max="10789" width="14.375" style="877" customWidth="1"/>
    <col min="10790" max="10790" width="12.75" style="877" bestFit="1" customWidth="1"/>
    <col min="10791" max="10792" width="13" style="877" bestFit="1" customWidth="1"/>
    <col min="10793" max="10793" width="15.125" style="877" customWidth="1"/>
    <col min="10794" max="10796" width="13" style="877" bestFit="1" customWidth="1"/>
    <col min="10797" max="10797" width="13.75" style="877" customWidth="1"/>
    <col min="10798" max="10799" width="13" style="877" bestFit="1" customWidth="1"/>
    <col min="10800" max="10800" width="13.125" style="877" customWidth="1"/>
    <col min="10801" max="10801" width="15.875" style="877" customWidth="1"/>
    <col min="10802" max="10802" width="13" style="877" customWidth="1"/>
    <col min="10803" max="10803" width="13" style="877" bestFit="1" customWidth="1"/>
    <col min="10804" max="10804" width="21" style="877" customWidth="1"/>
    <col min="10805" max="10805" width="15.75" style="877" customWidth="1"/>
    <col min="10806" max="10806" width="13.375" style="877" customWidth="1"/>
    <col min="10807" max="10807" width="13" style="877" bestFit="1" customWidth="1"/>
    <col min="10808" max="10811" width="13" style="877" customWidth="1"/>
    <col min="10812" max="10812" width="13.375" style="877" bestFit="1" customWidth="1"/>
    <col min="10813" max="10813" width="14.375" style="877" customWidth="1"/>
    <col min="10814" max="10814" width="13.375" style="877" customWidth="1"/>
    <col min="10815" max="10819" width="12.625" style="877" customWidth="1"/>
    <col min="10820" max="10820" width="13.375" style="877" bestFit="1" customWidth="1"/>
    <col min="10821" max="10821" width="14" style="877" customWidth="1"/>
    <col min="10822" max="10822" width="13.375" style="877" bestFit="1" customWidth="1"/>
    <col min="10823" max="10823" width="13" style="877" bestFit="1" customWidth="1"/>
    <col min="10824" max="10825" width="13.75" style="877" customWidth="1"/>
    <col min="10826" max="10826" width="13.125" style="877" customWidth="1"/>
    <col min="10827" max="10827" width="12.25" style="877" customWidth="1"/>
    <col min="10828" max="10828" width="13.375" style="877" bestFit="1" customWidth="1"/>
    <col min="10829" max="10829" width="17" style="877" customWidth="1"/>
    <col min="10830" max="10830" width="13.25" style="877" bestFit="1" customWidth="1"/>
    <col min="10831" max="10831" width="13" style="877" bestFit="1" customWidth="1"/>
    <col min="10832" max="10832" width="12.75" style="877" bestFit="1" customWidth="1"/>
    <col min="10833" max="10833" width="14.75" style="877" customWidth="1"/>
    <col min="10834" max="10834" width="11.875" style="877" bestFit="1" customWidth="1"/>
    <col min="10835" max="10835" width="13" style="877" bestFit="1" customWidth="1"/>
    <col min="10836" max="10836" width="15.125" style="877" bestFit="1" customWidth="1"/>
    <col min="10837" max="10837" width="14" style="877" customWidth="1"/>
    <col min="10838" max="10838" width="12" style="877" bestFit="1" customWidth="1"/>
    <col min="10839" max="10839" width="11.375" style="877" customWidth="1"/>
    <col min="10840" max="10840" width="12.75" style="877" bestFit="1" customWidth="1"/>
    <col min="10841" max="10841" width="11.375" style="877" customWidth="1"/>
    <col min="10842" max="10843" width="13" style="877" bestFit="1" customWidth="1"/>
    <col min="10844" max="10844" width="12.75" style="877" bestFit="1" customWidth="1"/>
    <col min="10845" max="10845" width="18.25" style="877" customWidth="1"/>
    <col min="10846" max="10846" width="12.625" style="877" bestFit="1" customWidth="1"/>
    <col min="10847" max="10847" width="13" style="877" bestFit="1" customWidth="1"/>
    <col min="10848" max="10848" width="13" style="877" customWidth="1"/>
    <col min="10849" max="10849" width="14.375" style="877" customWidth="1"/>
    <col min="10850" max="10851" width="13" style="877" customWidth="1"/>
    <col min="10852" max="10852" width="13.25" style="877" customWidth="1"/>
    <col min="10853" max="10853" width="15.75" style="877" customWidth="1"/>
    <col min="10854" max="10854" width="12" style="877" bestFit="1" customWidth="1"/>
    <col min="10855" max="10856" width="12.25" style="877" customWidth="1"/>
    <col min="10857" max="10857" width="15.875" style="877" customWidth="1"/>
    <col min="10858" max="10860" width="12.25" style="877" customWidth="1"/>
    <col min="10861" max="10861" width="14.875" style="877" customWidth="1"/>
    <col min="10862" max="10864" width="12.25" style="877" customWidth="1"/>
    <col min="10865" max="10865" width="13.75" style="877" customWidth="1"/>
    <col min="10866" max="10867" width="12.25" style="877" customWidth="1"/>
    <col min="10868" max="10868" width="18.125" style="877" customWidth="1"/>
    <col min="10869" max="10869" width="16.25" style="877" customWidth="1"/>
    <col min="10870" max="10870" width="15" style="877" customWidth="1"/>
    <col min="10871" max="10871" width="9.125" style="877"/>
    <col min="10872" max="10872" width="13.375" style="877" bestFit="1" customWidth="1"/>
    <col min="10873" max="10944" width="9.125" style="877"/>
    <col min="10945" max="10945" width="3.75" style="877" customWidth="1"/>
    <col min="10946" max="10946" width="17" style="877" customWidth="1"/>
    <col min="10947" max="10947" width="13" style="877" customWidth="1"/>
    <col min="10948" max="10948" width="18.75" style="877" customWidth="1"/>
    <col min="10949" max="10949" width="14.125" style="877" customWidth="1"/>
    <col min="10950" max="10950" width="12.875" style="877" customWidth="1"/>
    <col min="10951" max="10951" width="11.75" style="877" customWidth="1"/>
    <col min="10952" max="10952" width="12.875" style="877" customWidth="1"/>
    <col min="10953" max="10953" width="14.875" style="877" customWidth="1"/>
    <col min="10954" max="10954" width="13" style="877" customWidth="1"/>
    <col min="10955" max="10955" width="11.25" style="877" customWidth="1"/>
    <col min="10956" max="10956" width="14.875" style="877" customWidth="1"/>
    <col min="10957" max="10957" width="14.375" style="877" customWidth="1"/>
    <col min="10958" max="10958" width="13.375" style="877" customWidth="1"/>
    <col min="10959" max="10959" width="11.375" style="877" customWidth="1"/>
    <col min="10960" max="10960" width="12.875" style="877" customWidth="1"/>
    <col min="10961" max="10961" width="11.375" style="877" customWidth="1"/>
    <col min="10962" max="10962" width="13.125" style="877" customWidth="1"/>
    <col min="10963" max="10963" width="12.125" style="877" customWidth="1"/>
    <col min="10964" max="10964" width="13.875" style="877" customWidth="1"/>
    <col min="10965" max="10965" width="14" style="877" customWidth="1"/>
    <col min="10966" max="10966" width="13.25" style="877" customWidth="1"/>
    <col min="10967" max="10967" width="11.375" style="877" customWidth="1"/>
    <col min="10968" max="10968" width="14.75" style="877" bestFit="1" customWidth="1"/>
    <col min="10969" max="10969" width="13.25" style="877" customWidth="1"/>
    <col min="10970" max="10971" width="14.625" style="877" customWidth="1"/>
    <col min="10972" max="10974" width="13.125" style="877" customWidth="1"/>
    <col min="10975" max="11011" width="17.25" style="877" customWidth="1"/>
    <col min="11012" max="11012" width="14.75" style="877" bestFit="1" customWidth="1"/>
    <col min="11013" max="11013" width="13.75" style="877" customWidth="1"/>
    <col min="11014" max="11014" width="15.25" style="877" customWidth="1"/>
    <col min="11015" max="11015" width="13.125" style="877" customWidth="1"/>
    <col min="11016" max="11016" width="11.875" style="877" customWidth="1"/>
    <col min="11017" max="11017" width="13.25" style="877" customWidth="1"/>
    <col min="11018" max="11018" width="12.625" style="877" customWidth="1"/>
    <col min="11019" max="11019" width="13" style="877" bestFit="1" customWidth="1"/>
    <col min="11020" max="11020" width="13.375" style="877" bestFit="1" customWidth="1"/>
    <col min="11021" max="11021" width="19.375" style="877" customWidth="1"/>
    <col min="11022" max="11022" width="12.75" style="877" bestFit="1" customWidth="1"/>
    <col min="11023" max="11023" width="13" style="877" bestFit="1" customWidth="1"/>
    <col min="11024" max="11024" width="13.375" style="877" bestFit="1" customWidth="1"/>
    <col min="11025" max="11025" width="16.625" style="877" customWidth="1"/>
    <col min="11026" max="11026" width="13.125" style="877" customWidth="1"/>
    <col min="11027" max="11027" width="15.125" style="877" bestFit="1" customWidth="1"/>
    <col min="11028" max="11028" width="16.625" style="877" bestFit="1" customWidth="1"/>
    <col min="11029" max="11029" width="14.375" style="877" customWidth="1"/>
    <col min="11030" max="11030" width="13.25" style="877" bestFit="1" customWidth="1"/>
    <col min="11031" max="11031" width="13" style="877" bestFit="1" customWidth="1"/>
    <col min="11032" max="11039" width="13" style="877" customWidth="1"/>
    <col min="11040" max="11040" width="13" style="877" bestFit="1" customWidth="1"/>
    <col min="11041" max="11041" width="15.875" style="877" customWidth="1"/>
    <col min="11042" max="11042" width="12.75" style="877" bestFit="1" customWidth="1"/>
    <col min="11043" max="11044" width="13" style="877" bestFit="1" customWidth="1"/>
    <col min="11045" max="11045" width="14.375" style="877" customWidth="1"/>
    <col min="11046" max="11046" width="12.75" style="877" bestFit="1" customWidth="1"/>
    <col min="11047" max="11048" width="13" style="877" bestFit="1" customWidth="1"/>
    <col min="11049" max="11049" width="15.125" style="877" customWidth="1"/>
    <col min="11050" max="11052" width="13" style="877" bestFit="1" customWidth="1"/>
    <col min="11053" max="11053" width="13.75" style="877" customWidth="1"/>
    <col min="11054" max="11055" width="13" style="877" bestFit="1" customWidth="1"/>
    <col min="11056" max="11056" width="13.125" style="877" customWidth="1"/>
    <col min="11057" max="11057" width="15.875" style="877" customWidth="1"/>
    <col min="11058" max="11058" width="13" style="877" customWidth="1"/>
    <col min="11059" max="11059" width="13" style="877" bestFit="1" customWidth="1"/>
    <col min="11060" max="11060" width="21" style="877" customWidth="1"/>
    <col min="11061" max="11061" width="15.75" style="877" customWidth="1"/>
    <col min="11062" max="11062" width="13.375" style="877" customWidth="1"/>
    <col min="11063" max="11063" width="13" style="877" bestFit="1" customWidth="1"/>
    <col min="11064" max="11067" width="13" style="877" customWidth="1"/>
    <col min="11068" max="11068" width="13.375" style="877" bestFit="1" customWidth="1"/>
    <col min="11069" max="11069" width="14.375" style="877" customWidth="1"/>
    <col min="11070" max="11070" width="13.375" style="877" customWidth="1"/>
    <col min="11071" max="11075" width="12.625" style="877" customWidth="1"/>
    <col min="11076" max="11076" width="13.375" style="877" bestFit="1" customWidth="1"/>
    <col min="11077" max="11077" width="14" style="877" customWidth="1"/>
    <col min="11078" max="11078" width="13.375" style="877" bestFit="1" customWidth="1"/>
    <col min="11079" max="11079" width="13" style="877" bestFit="1" customWidth="1"/>
    <col min="11080" max="11081" width="13.75" style="877" customWidth="1"/>
    <col min="11082" max="11082" width="13.125" style="877" customWidth="1"/>
    <col min="11083" max="11083" width="12.25" style="877" customWidth="1"/>
    <col min="11084" max="11084" width="13.375" style="877" bestFit="1" customWidth="1"/>
    <col min="11085" max="11085" width="17" style="877" customWidth="1"/>
    <col min="11086" max="11086" width="13.25" style="877" bestFit="1" customWidth="1"/>
    <col min="11087" max="11087" width="13" style="877" bestFit="1" customWidth="1"/>
    <col min="11088" max="11088" width="12.75" style="877" bestFit="1" customWidth="1"/>
    <col min="11089" max="11089" width="14.75" style="877" customWidth="1"/>
    <col min="11090" max="11090" width="11.875" style="877" bestFit="1" customWidth="1"/>
    <col min="11091" max="11091" width="13" style="877" bestFit="1" customWidth="1"/>
    <col min="11092" max="11092" width="15.125" style="877" bestFit="1" customWidth="1"/>
    <col min="11093" max="11093" width="14" style="877" customWidth="1"/>
    <col min="11094" max="11094" width="12" style="877" bestFit="1" customWidth="1"/>
    <col min="11095" max="11095" width="11.375" style="877" customWidth="1"/>
    <col min="11096" max="11096" width="12.75" style="877" bestFit="1" customWidth="1"/>
    <col min="11097" max="11097" width="11.375" style="877" customWidth="1"/>
    <col min="11098" max="11099" width="13" style="877" bestFit="1" customWidth="1"/>
    <col min="11100" max="11100" width="12.75" style="877" bestFit="1" customWidth="1"/>
    <col min="11101" max="11101" width="18.25" style="877" customWidth="1"/>
    <col min="11102" max="11102" width="12.625" style="877" bestFit="1" customWidth="1"/>
    <col min="11103" max="11103" width="13" style="877" bestFit="1" customWidth="1"/>
    <col min="11104" max="11104" width="13" style="877" customWidth="1"/>
    <col min="11105" max="11105" width="14.375" style="877" customWidth="1"/>
    <col min="11106" max="11107" width="13" style="877" customWidth="1"/>
    <col min="11108" max="11108" width="13.25" style="877" customWidth="1"/>
    <col min="11109" max="11109" width="15.75" style="877" customWidth="1"/>
    <col min="11110" max="11110" width="12" style="877" bestFit="1" customWidth="1"/>
    <col min="11111" max="11112" width="12.25" style="877" customWidth="1"/>
    <col min="11113" max="11113" width="15.875" style="877" customWidth="1"/>
    <col min="11114" max="11116" width="12.25" style="877" customWidth="1"/>
    <col min="11117" max="11117" width="14.875" style="877" customWidth="1"/>
    <col min="11118" max="11120" width="12.25" style="877" customWidth="1"/>
    <col min="11121" max="11121" width="13.75" style="877" customWidth="1"/>
    <col min="11122" max="11123" width="12.25" style="877" customWidth="1"/>
    <col min="11124" max="11124" width="18.125" style="877" customWidth="1"/>
    <col min="11125" max="11125" width="16.25" style="877" customWidth="1"/>
    <col min="11126" max="11126" width="15" style="877" customWidth="1"/>
    <col min="11127" max="11127" width="9.125" style="877"/>
    <col min="11128" max="11128" width="13.375" style="877" bestFit="1" customWidth="1"/>
    <col min="11129" max="11200" width="9.125" style="877"/>
    <col min="11201" max="11201" width="3.75" style="877" customWidth="1"/>
    <col min="11202" max="11202" width="17" style="877" customWidth="1"/>
    <col min="11203" max="11203" width="13" style="877" customWidth="1"/>
    <col min="11204" max="11204" width="18.75" style="877" customWidth="1"/>
    <col min="11205" max="11205" width="14.125" style="877" customWidth="1"/>
    <col min="11206" max="11206" width="12.875" style="877" customWidth="1"/>
    <col min="11207" max="11207" width="11.75" style="877" customWidth="1"/>
    <col min="11208" max="11208" width="12.875" style="877" customWidth="1"/>
    <col min="11209" max="11209" width="14.875" style="877" customWidth="1"/>
    <col min="11210" max="11210" width="13" style="877" customWidth="1"/>
    <col min="11211" max="11211" width="11.25" style="877" customWidth="1"/>
    <col min="11212" max="11212" width="14.875" style="877" customWidth="1"/>
    <col min="11213" max="11213" width="14.375" style="877" customWidth="1"/>
    <col min="11214" max="11214" width="13.375" style="877" customWidth="1"/>
    <col min="11215" max="11215" width="11.375" style="877" customWidth="1"/>
    <col min="11216" max="11216" width="12.875" style="877" customWidth="1"/>
    <col min="11217" max="11217" width="11.375" style="877" customWidth="1"/>
    <col min="11218" max="11218" width="13.125" style="877" customWidth="1"/>
    <col min="11219" max="11219" width="12.125" style="877" customWidth="1"/>
    <col min="11220" max="11220" width="13.875" style="877" customWidth="1"/>
    <col min="11221" max="11221" width="14" style="877" customWidth="1"/>
    <col min="11222" max="11222" width="13.25" style="877" customWidth="1"/>
    <col min="11223" max="11223" width="11.375" style="877" customWidth="1"/>
    <col min="11224" max="11224" width="14.75" style="877" bestFit="1" customWidth="1"/>
    <col min="11225" max="11225" width="13.25" style="877" customWidth="1"/>
    <col min="11226" max="11227" width="14.625" style="877" customWidth="1"/>
    <col min="11228" max="11230" width="13.125" style="877" customWidth="1"/>
    <col min="11231" max="11267" width="17.25" style="877" customWidth="1"/>
    <col min="11268" max="11268" width="14.75" style="877" bestFit="1" customWidth="1"/>
    <col min="11269" max="11269" width="13.75" style="877" customWidth="1"/>
    <col min="11270" max="11270" width="15.25" style="877" customWidth="1"/>
    <col min="11271" max="11271" width="13.125" style="877" customWidth="1"/>
    <col min="11272" max="11272" width="11.875" style="877" customWidth="1"/>
    <col min="11273" max="11273" width="13.25" style="877" customWidth="1"/>
    <col min="11274" max="11274" width="12.625" style="877" customWidth="1"/>
    <col min="11275" max="11275" width="13" style="877" bestFit="1" customWidth="1"/>
    <col min="11276" max="11276" width="13.375" style="877" bestFit="1" customWidth="1"/>
    <col min="11277" max="11277" width="19.375" style="877" customWidth="1"/>
    <col min="11278" max="11278" width="12.75" style="877" bestFit="1" customWidth="1"/>
    <col min="11279" max="11279" width="13" style="877" bestFit="1" customWidth="1"/>
    <col min="11280" max="11280" width="13.375" style="877" bestFit="1" customWidth="1"/>
    <col min="11281" max="11281" width="16.625" style="877" customWidth="1"/>
    <col min="11282" max="11282" width="13.125" style="877" customWidth="1"/>
    <col min="11283" max="11283" width="15.125" style="877" bestFit="1" customWidth="1"/>
    <col min="11284" max="11284" width="16.625" style="877" bestFit="1" customWidth="1"/>
    <col min="11285" max="11285" width="14.375" style="877" customWidth="1"/>
    <col min="11286" max="11286" width="13.25" style="877" bestFit="1" customWidth="1"/>
    <col min="11287" max="11287" width="13" style="877" bestFit="1" customWidth="1"/>
    <col min="11288" max="11295" width="13" style="877" customWidth="1"/>
    <col min="11296" max="11296" width="13" style="877" bestFit="1" customWidth="1"/>
    <col min="11297" max="11297" width="15.875" style="877" customWidth="1"/>
    <col min="11298" max="11298" width="12.75" style="877" bestFit="1" customWidth="1"/>
    <col min="11299" max="11300" width="13" style="877" bestFit="1" customWidth="1"/>
    <col min="11301" max="11301" width="14.375" style="877" customWidth="1"/>
    <col min="11302" max="11302" width="12.75" style="877" bestFit="1" customWidth="1"/>
    <col min="11303" max="11304" width="13" style="877" bestFit="1" customWidth="1"/>
    <col min="11305" max="11305" width="15.125" style="877" customWidth="1"/>
    <col min="11306" max="11308" width="13" style="877" bestFit="1" customWidth="1"/>
    <col min="11309" max="11309" width="13.75" style="877" customWidth="1"/>
    <col min="11310" max="11311" width="13" style="877" bestFit="1" customWidth="1"/>
    <col min="11312" max="11312" width="13.125" style="877" customWidth="1"/>
    <col min="11313" max="11313" width="15.875" style="877" customWidth="1"/>
    <col min="11314" max="11314" width="13" style="877" customWidth="1"/>
    <col min="11315" max="11315" width="13" style="877" bestFit="1" customWidth="1"/>
    <col min="11316" max="11316" width="21" style="877" customWidth="1"/>
    <col min="11317" max="11317" width="15.75" style="877" customWidth="1"/>
    <col min="11318" max="11318" width="13.375" style="877" customWidth="1"/>
    <col min="11319" max="11319" width="13" style="877" bestFit="1" customWidth="1"/>
    <col min="11320" max="11323" width="13" style="877" customWidth="1"/>
    <col min="11324" max="11324" width="13.375" style="877" bestFit="1" customWidth="1"/>
    <col min="11325" max="11325" width="14.375" style="877" customWidth="1"/>
    <col min="11326" max="11326" width="13.375" style="877" customWidth="1"/>
    <col min="11327" max="11331" width="12.625" style="877" customWidth="1"/>
    <col min="11332" max="11332" width="13.375" style="877" bestFit="1" customWidth="1"/>
    <col min="11333" max="11333" width="14" style="877" customWidth="1"/>
    <col min="11334" max="11334" width="13.375" style="877" bestFit="1" customWidth="1"/>
    <col min="11335" max="11335" width="13" style="877" bestFit="1" customWidth="1"/>
    <col min="11336" max="11337" width="13.75" style="877" customWidth="1"/>
    <col min="11338" max="11338" width="13.125" style="877" customWidth="1"/>
    <col min="11339" max="11339" width="12.25" style="877" customWidth="1"/>
    <col min="11340" max="11340" width="13.375" style="877" bestFit="1" customWidth="1"/>
    <col min="11341" max="11341" width="17" style="877" customWidth="1"/>
    <col min="11342" max="11342" width="13.25" style="877" bestFit="1" customWidth="1"/>
    <col min="11343" max="11343" width="13" style="877" bestFit="1" customWidth="1"/>
    <col min="11344" max="11344" width="12.75" style="877" bestFit="1" customWidth="1"/>
    <col min="11345" max="11345" width="14.75" style="877" customWidth="1"/>
    <col min="11346" max="11346" width="11.875" style="877" bestFit="1" customWidth="1"/>
    <col min="11347" max="11347" width="13" style="877" bestFit="1" customWidth="1"/>
    <col min="11348" max="11348" width="15.125" style="877" bestFit="1" customWidth="1"/>
    <col min="11349" max="11349" width="14" style="877" customWidth="1"/>
    <col min="11350" max="11350" width="12" style="877" bestFit="1" customWidth="1"/>
    <col min="11351" max="11351" width="11.375" style="877" customWidth="1"/>
    <col min="11352" max="11352" width="12.75" style="877" bestFit="1" customWidth="1"/>
    <col min="11353" max="11353" width="11.375" style="877" customWidth="1"/>
    <col min="11354" max="11355" width="13" style="877" bestFit="1" customWidth="1"/>
    <col min="11356" max="11356" width="12.75" style="877" bestFit="1" customWidth="1"/>
    <col min="11357" max="11357" width="18.25" style="877" customWidth="1"/>
    <col min="11358" max="11358" width="12.625" style="877" bestFit="1" customWidth="1"/>
    <col min="11359" max="11359" width="13" style="877" bestFit="1" customWidth="1"/>
    <col min="11360" max="11360" width="13" style="877" customWidth="1"/>
    <col min="11361" max="11361" width="14.375" style="877" customWidth="1"/>
    <col min="11362" max="11363" width="13" style="877" customWidth="1"/>
    <col min="11364" max="11364" width="13.25" style="877" customWidth="1"/>
    <col min="11365" max="11365" width="15.75" style="877" customWidth="1"/>
    <col min="11366" max="11366" width="12" style="877" bestFit="1" customWidth="1"/>
    <col min="11367" max="11368" width="12.25" style="877" customWidth="1"/>
    <col min="11369" max="11369" width="15.875" style="877" customWidth="1"/>
    <col min="11370" max="11372" width="12.25" style="877" customWidth="1"/>
    <col min="11373" max="11373" width="14.875" style="877" customWidth="1"/>
    <col min="11374" max="11376" width="12.25" style="877" customWidth="1"/>
    <col min="11377" max="11377" width="13.75" style="877" customWidth="1"/>
    <col min="11378" max="11379" width="12.25" style="877" customWidth="1"/>
    <col min="11380" max="11380" width="18.125" style="877" customWidth="1"/>
    <col min="11381" max="11381" width="16.25" style="877" customWidth="1"/>
    <col min="11382" max="11382" width="15" style="877" customWidth="1"/>
    <col min="11383" max="11383" width="9.125" style="877"/>
    <col min="11384" max="11384" width="13.375" style="877" bestFit="1" customWidth="1"/>
    <col min="11385" max="11456" width="9.125" style="877"/>
    <col min="11457" max="11457" width="3.75" style="877" customWidth="1"/>
    <col min="11458" max="11458" width="17" style="877" customWidth="1"/>
    <col min="11459" max="11459" width="13" style="877" customWidth="1"/>
    <col min="11460" max="11460" width="18.75" style="877" customWidth="1"/>
    <col min="11461" max="11461" width="14.125" style="877" customWidth="1"/>
    <col min="11462" max="11462" width="12.875" style="877" customWidth="1"/>
    <col min="11463" max="11463" width="11.75" style="877" customWidth="1"/>
    <col min="11464" max="11464" width="12.875" style="877" customWidth="1"/>
    <col min="11465" max="11465" width="14.875" style="877" customWidth="1"/>
    <col min="11466" max="11466" width="13" style="877" customWidth="1"/>
    <col min="11467" max="11467" width="11.25" style="877" customWidth="1"/>
    <col min="11468" max="11468" width="14.875" style="877" customWidth="1"/>
    <col min="11469" max="11469" width="14.375" style="877" customWidth="1"/>
    <col min="11470" max="11470" width="13.375" style="877" customWidth="1"/>
    <col min="11471" max="11471" width="11.375" style="877" customWidth="1"/>
    <col min="11472" max="11472" width="12.875" style="877" customWidth="1"/>
    <col min="11473" max="11473" width="11.375" style="877" customWidth="1"/>
    <col min="11474" max="11474" width="13.125" style="877" customWidth="1"/>
    <col min="11475" max="11475" width="12.125" style="877" customWidth="1"/>
    <col min="11476" max="11476" width="13.875" style="877" customWidth="1"/>
    <col min="11477" max="11477" width="14" style="877" customWidth="1"/>
    <col min="11478" max="11478" width="13.25" style="877" customWidth="1"/>
    <col min="11479" max="11479" width="11.375" style="877" customWidth="1"/>
    <col min="11480" max="11480" width="14.75" style="877" bestFit="1" customWidth="1"/>
    <col min="11481" max="11481" width="13.25" style="877" customWidth="1"/>
    <col min="11482" max="11483" width="14.625" style="877" customWidth="1"/>
    <col min="11484" max="11486" width="13.125" style="877" customWidth="1"/>
    <col min="11487" max="11523" width="17.25" style="877" customWidth="1"/>
    <col min="11524" max="11524" width="14.75" style="877" bestFit="1" customWidth="1"/>
    <col min="11525" max="11525" width="13.75" style="877" customWidth="1"/>
    <col min="11526" max="11526" width="15.25" style="877" customWidth="1"/>
    <col min="11527" max="11527" width="13.125" style="877" customWidth="1"/>
    <col min="11528" max="11528" width="11.875" style="877" customWidth="1"/>
    <col min="11529" max="11529" width="13.25" style="877" customWidth="1"/>
    <col min="11530" max="11530" width="12.625" style="877" customWidth="1"/>
    <col min="11531" max="11531" width="13" style="877" bestFit="1" customWidth="1"/>
    <col min="11532" max="11532" width="13.375" style="877" bestFit="1" customWidth="1"/>
    <col min="11533" max="11533" width="19.375" style="877" customWidth="1"/>
    <col min="11534" max="11534" width="12.75" style="877" bestFit="1" customWidth="1"/>
    <col min="11535" max="11535" width="13" style="877" bestFit="1" customWidth="1"/>
    <col min="11536" max="11536" width="13.375" style="877" bestFit="1" customWidth="1"/>
    <col min="11537" max="11537" width="16.625" style="877" customWidth="1"/>
    <col min="11538" max="11538" width="13.125" style="877" customWidth="1"/>
    <col min="11539" max="11539" width="15.125" style="877" bestFit="1" customWidth="1"/>
    <col min="11540" max="11540" width="16.625" style="877" bestFit="1" customWidth="1"/>
    <col min="11541" max="11541" width="14.375" style="877" customWidth="1"/>
    <col min="11542" max="11542" width="13.25" style="877" bestFit="1" customWidth="1"/>
    <col min="11543" max="11543" width="13" style="877" bestFit="1" customWidth="1"/>
    <col min="11544" max="11551" width="13" style="877" customWidth="1"/>
    <col min="11552" max="11552" width="13" style="877" bestFit="1" customWidth="1"/>
    <col min="11553" max="11553" width="15.875" style="877" customWidth="1"/>
    <col min="11554" max="11554" width="12.75" style="877" bestFit="1" customWidth="1"/>
    <col min="11555" max="11556" width="13" style="877" bestFit="1" customWidth="1"/>
    <col min="11557" max="11557" width="14.375" style="877" customWidth="1"/>
    <col min="11558" max="11558" width="12.75" style="877" bestFit="1" customWidth="1"/>
    <col min="11559" max="11560" width="13" style="877" bestFit="1" customWidth="1"/>
    <col min="11561" max="11561" width="15.125" style="877" customWidth="1"/>
    <col min="11562" max="11564" width="13" style="877" bestFit="1" customWidth="1"/>
    <col min="11565" max="11565" width="13.75" style="877" customWidth="1"/>
    <col min="11566" max="11567" width="13" style="877" bestFit="1" customWidth="1"/>
    <col min="11568" max="11568" width="13.125" style="877" customWidth="1"/>
    <col min="11569" max="11569" width="15.875" style="877" customWidth="1"/>
    <col min="11570" max="11570" width="13" style="877" customWidth="1"/>
    <col min="11571" max="11571" width="13" style="877" bestFit="1" customWidth="1"/>
    <col min="11572" max="11572" width="21" style="877" customWidth="1"/>
    <col min="11573" max="11573" width="15.75" style="877" customWidth="1"/>
    <col min="11574" max="11574" width="13.375" style="877" customWidth="1"/>
    <col min="11575" max="11575" width="13" style="877" bestFit="1" customWidth="1"/>
    <col min="11576" max="11579" width="13" style="877" customWidth="1"/>
    <col min="11580" max="11580" width="13.375" style="877" bestFit="1" customWidth="1"/>
    <col min="11581" max="11581" width="14.375" style="877" customWidth="1"/>
    <col min="11582" max="11582" width="13.375" style="877" customWidth="1"/>
    <col min="11583" max="11587" width="12.625" style="877" customWidth="1"/>
    <col min="11588" max="11588" width="13.375" style="877" bestFit="1" customWidth="1"/>
    <col min="11589" max="11589" width="14" style="877" customWidth="1"/>
    <col min="11590" max="11590" width="13.375" style="877" bestFit="1" customWidth="1"/>
    <col min="11591" max="11591" width="13" style="877" bestFit="1" customWidth="1"/>
    <col min="11592" max="11593" width="13.75" style="877" customWidth="1"/>
    <col min="11594" max="11594" width="13.125" style="877" customWidth="1"/>
    <col min="11595" max="11595" width="12.25" style="877" customWidth="1"/>
    <col min="11596" max="11596" width="13.375" style="877" bestFit="1" customWidth="1"/>
    <col min="11597" max="11597" width="17" style="877" customWidth="1"/>
    <col min="11598" max="11598" width="13.25" style="877" bestFit="1" customWidth="1"/>
    <col min="11599" max="11599" width="13" style="877" bestFit="1" customWidth="1"/>
    <col min="11600" max="11600" width="12.75" style="877" bestFit="1" customWidth="1"/>
    <col min="11601" max="11601" width="14.75" style="877" customWidth="1"/>
    <col min="11602" max="11602" width="11.875" style="877" bestFit="1" customWidth="1"/>
    <col min="11603" max="11603" width="13" style="877" bestFit="1" customWidth="1"/>
    <col min="11604" max="11604" width="15.125" style="877" bestFit="1" customWidth="1"/>
    <col min="11605" max="11605" width="14" style="877" customWidth="1"/>
    <col min="11606" max="11606" width="12" style="877" bestFit="1" customWidth="1"/>
    <col min="11607" max="11607" width="11.375" style="877" customWidth="1"/>
    <col min="11608" max="11608" width="12.75" style="877" bestFit="1" customWidth="1"/>
    <col min="11609" max="11609" width="11.375" style="877" customWidth="1"/>
    <col min="11610" max="11611" width="13" style="877" bestFit="1" customWidth="1"/>
    <col min="11612" max="11612" width="12.75" style="877" bestFit="1" customWidth="1"/>
    <col min="11613" max="11613" width="18.25" style="877" customWidth="1"/>
    <col min="11614" max="11614" width="12.625" style="877" bestFit="1" customWidth="1"/>
    <col min="11615" max="11615" width="13" style="877" bestFit="1" customWidth="1"/>
    <col min="11616" max="11616" width="13" style="877" customWidth="1"/>
    <col min="11617" max="11617" width="14.375" style="877" customWidth="1"/>
    <col min="11618" max="11619" width="13" style="877" customWidth="1"/>
    <col min="11620" max="11620" width="13.25" style="877" customWidth="1"/>
    <col min="11621" max="11621" width="15.75" style="877" customWidth="1"/>
    <col min="11622" max="11622" width="12" style="877" bestFit="1" customWidth="1"/>
    <col min="11623" max="11624" width="12.25" style="877" customWidth="1"/>
    <col min="11625" max="11625" width="15.875" style="877" customWidth="1"/>
    <col min="11626" max="11628" width="12.25" style="877" customWidth="1"/>
    <col min="11629" max="11629" width="14.875" style="877" customWidth="1"/>
    <col min="11630" max="11632" width="12.25" style="877" customWidth="1"/>
    <col min="11633" max="11633" width="13.75" style="877" customWidth="1"/>
    <col min="11634" max="11635" width="12.25" style="877" customWidth="1"/>
    <col min="11636" max="11636" width="18.125" style="877" customWidth="1"/>
    <col min="11637" max="11637" width="16.25" style="877" customWidth="1"/>
    <col min="11638" max="11638" width="15" style="877" customWidth="1"/>
    <col min="11639" max="11639" width="9.125" style="877"/>
    <col min="11640" max="11640" width="13.375" style="877" bestFit="1" customWidth="1"/>
    <col min="11641" max="11712" width="9.125" style="877"/>
    <col min="11713" max="11713" width="3.75" style="877" customWidth="1"/>
    <col min="11714" max="11714" width="17" style="877" customWidth="1"/>
    <col min="11715" max="11715" width="13" style="877" customWidth="1"/>
    <col min="11716" max="11716" width="18.75" style="877" customWidth="1"/>
    <col min="11717" max="11717" width="14.125" style="877" customWidth="1"/>
    <col min="11718" max="11718" width="12.875" style="877" customWidth="1"/>
    <col min="11719" max="11719" width="11.75" style="877" customWidth="1"/>
    <col min="11720" max="11720" width="12.875" style="877" customWidth="1"/>
    <col min="11721" max="11721" width="14.875" style="877" customWidth="1"/>
    <col min="11722" max="11722" width="13" style="877" customWidth="1"/>
    <col min="11723" max="11723" width="11.25" style="877" customWidth="1"/>
    <col min="11724" max="11724" width="14.875" style="877" customWidth="1"/>
    <col min="11725" max="11725" width="14.375" style="877" customWidth="1"/>
    <col min="11726" max="11726" width="13.375" style="877" customWidth="1"/>
    <col min="11727" max="11727" width="11.375" style="877" customWidth="1"/>
    <col min="11728" max="11728" width="12.875" style="877" customWidth="1"/>
    <col min="11729" max="11729" width="11.375" style="877" customWidth="1"/>
    <col min="11730" max="11730" width="13.125" style="877" customWidth="1"/>
    <col min="11731" max="11731" width="12.125" style="877" customWidth="1"/>
    <col min="11732" max="11732" width="13.875" style="877" customWidth="1"/>
    <col min="11733" max="11733" width="14" style="877" customWidth="1"/>
    <col min="11734" max="11734" width="13.25" style="877" customWidth="1"/>
    <col min="11735" max="11735" width="11.375" style="877" customWidth="1"/>
    <col min="11736" max="11736" width="14.75" style="877" bestFit="1" customWidth="1"/>
    <col min="11737" max="11737" width="13.25" style="877" customWidth="1"/>
    <col min="11738" max="11739" width="14.625" style="877" customWidth="1"/>
    <col min="11740" max="11742" width="13.125" style="877" customWidth="1"/>
    <col min="11743" max="11779" width="17.25" style="877" customWidth="1"/>
    <col min="11780" max="11780" width="14.75" style="877" bestFit="1" customWidth="1"/>
    <col min="11781" max="11781" width="13.75" style="877" customWidth="1"/>
    <col min="11782" max="11782" width="15.25" style="877" customWidth="1"/>
    <col min="11783" max="11783" width="13.125" style="877" customWidth="1"/>
    <col min="11784" max="11784" width="11.875" style="877" customWidth="1"/>
    <col min="11785" max="11785" width="13.25" style="877" customWidth="1"/>
    <col min="11786" max="11786" width="12.625" style="877" customWidth="1"/>
    <col min="11787" max="11787" width="13" style="877" bestFit="1" customWidth="1"/>
    <col min="11788" max="11788" width="13.375" style="877" bestFit="1" customWidth="1"/>
    <col min="11789" max="11789" width="19.375" style="877" customWidth="1"/>
    <col min="11790" max="11790" width="12.75" style="877" bestFit="1" customWidth="1"/>
    <col min="11791" max="11791" width="13" style="877" bestFit="1" customWidth="1"/>
    <col min="11792" max="11792" width="13.375" style="877" bestFit="1" customWidth="1"/>
    <col min="11793" max="11793" width="16.625" style="877" customWidth="1"/>
    <col min="11794" max="11794" width="13.125" style="877" customWidth="1"/>
    <col min="11795" max="11795" width="15.125" style="877" bestFit="1" customWidth="1"/>
    <col min="11796" max="11796" width="16.625" style="877" bestFit="1" customWidth="1"/>
    <col min="11797" max="11797" width="14.375" style="877" customWidth="1"/>
    <col min="11798" max="11798" width="13.25" style="877" bestFit="1" customWidth="1"/>
    <col min="11799" max="11799" width="13" style="877" bestFit="1" customWidth="1"/>
    <col min="11800" max="11807" width="13" style="877" customWidth="1"/>
    <col min="11808" max="11808" width="13" style="877" bestFit="1" customWidth="1"/>
    <col min="11809" max="11809" width="15.875" style="877" customWidth="1"/>
    <col min="11810" max="11810" width="12.75" style="877" bestFit="1" customWidth="1"/>
    <col min="11811" max="11812" width="13" style="877" bestFit="1" customWidth="1"/>
    <col min="11813" max="11813" width="14.375" style="877" customWidth="1"/>
    <col min="11814" max="11814" width="12.75" style="877" bestFit="1" customWidth="1"/>
    <col min="11815" max="11816" width="13" style="877" bestFit="1" customWidth="1"/>
    <col min="11817" max="11817" width="15.125" style="877" customWidth="1"/>
    <col min="11818" max="11820" width="13" style="877" bestFit="1" customWidth="1"/>
    <col min="11821" max="11821" width="13.75" style="877" customWidth="1"/>
    <col min="11822" max="11823" width="13" style="877" bestFit="1" customWidth="1"/>
    <col min="11824" max="11824" width="13.125" style="877" customWidth="1"/>
    <col min="11825" max="11825" width="15.875" style="877" customWidth="1"/>
    <col min="11826" max="11826" width="13" style="877" customWidth="1"/>
    <col min="11827" max="11827" width="13" style="877" bestFit="1" customWidth="1"/>
    <col min="11828" max="11828" width="21" style="877" customWidth="1"/>
    <col min="11829" max="11829" width="15.75" style="877" customWidth="1"/>
    <col min="11830" max="11830" width="13.375" style="877" customWidth="1"/>
    <col min="11831" max="11831" width="13" style="877" bestFit="1" customWidth="1"/>
    <col min="11832" max="11835" width="13" style="877" customWidth="1"/>
    <col min="11836" max="11836" width="13.375" style="877" bestFit="1" customWidth="1"/>
    <col min="11837" max="11837" width="14.375" style="877" customWidth="1"/>
    <col min="11838" max="11838" width="13.375" style="877" customWidth="1"/>
    <col min="11839" max="11843" width="12.625" style="877" customWidth="1"/>
    <col min="11844" max="11844" width="13.375" style="877" bestFit="1" customWidth="1"/>
    <col min="11845" max="11845" width="14" style="877" customWidth="1"/>
    <col min="11846" max="11846" width="13.375" style="877" bestFit="1" customWidth="1"/>
    <col min="11847" max="11847" width="13" style="877" bestFit="1" customWidth="1"/>
    <col min="11848" max="11849" width="13.75" style="877" customWidth="1"/>
    <col min="11850" max="11850" width="13.125" style="877" customWidth="1"/>
    <col min="11851" max="11851" width="12.25" style="877" customWidth="1"/>
    <col min="11852" max="11852" width="13.375" style="877" bestFit="1" customWidth="1"/>
    <col min="11853" max="11853" width="17" style="877" customWidth="1"/>
    <col min="11854" max="11854" width="13.25" style="877" bestFit="1" customWidth="1"/>
    <col min="11855" max="11855" width="13" style="877" bestFit="1" customWidth="1"/>
    <col min="11856" max="11856" width="12.75" style="877" bestFit="1" customWidth="1"/>
    <col min="11857" max="11857" width="14.75" style="877" customWidth="1"/>
    <col min="11858" max="11858" width="11.875" style="877" bestFit="1" customWidth="1"/>
    <col min="11859" max="11859" width="13" style="877" bestFit="1" customWidth="1"/>
    <col min="11860" max="11860" width="15.125" style="877" bestFit="1" customWidth="1"/>
    <col min="11861" max="11861" width="14" style="877" customWidth="1"/>
    <col min="11862" max="11862" width="12" style="877" bestFit="1" customWidth="1"/>
    <col min="11863" max="11863" width="11.375" style="877" customWidth="1"/>
    <col min="11864" max="11864" width="12.75" style="877" bestFit="1" customWidth="1"/>
    <col min="11865" max="11865" width="11.375" style="877" customWidth="1"/>
    <col min="11866" max="11867" width="13" style="877" bestFit="1" customWidth="1"/>
    <col min="11868" max="11868" width="12.75" style="877" bestFit="1" customWidth="1"/>
    <col min="11869" max="11869" width="18.25" style="877" customWidth="1"/>
    <col min="11870" max="11870" width="12.625" style="877" bestFit="1" customWidth="1"/>
    <col min="11871" max="11871" width="13" style="877" bestFit="1" customWidth="1"/>
    <col min="11872" max="11872" width="13" style="877" customWidth="1"/>
    <col min="11873" max="11873" width="14.375" style="877" customWidth="1"/>
    <col min="11874" max="11875" width="13" style="877" customWidth="1"/>
    <col min="11876" max="11876" width="13.25" style="877" customWidth="1"/>
    <col min="11877" max="11877" width="15.75" style="877" customWidth="1"/>
    <col min="11878" max="11878" width="12" style="877" bestFit="1" customWidth="1"/>
    <col min="11879" max="11880" width="12.25" style="877" customWidth="1"/>
    <col min="11881" max="11881" width="15.875" style="877" customWidth="1"/>
    <col min="11882" max="11884" width="12.25" style="877" customWidth="1"/>
    <col min="11885" max="11885" width="14.875" style="877" customWidth="1"/>
    <col min="11886" max="11888" width="12.25" style="877" customWidth="1"/>
    <col min="11889" max="11889" width="13.75" style="877" customWidth="1"/>
    <col min="11890" max="11891" width="12.25" style="877" customWidth="1"/>
    <col min="11892" max="11892" width="18.125" style="877" customWidth="1"/>
    <col min="11893" max="11893" width="16.25" style="877" customWidth="1"/>
    <col min="11894" max="11894" width="15" style="877" customWidth="1"/>
    <col min="11895" max="11895" width="9.125" style="877"/>
    <col min="11896" max="11896" width="13.375" style="877" bestFit="1" customWidth="1"/>
    <col min="11897" max="11968" width="9.125" style="877"/>
    <col min="11969" max="11969" width="3.75" style="877" customWidth="1"/>
    <col min="11970" max="11970" width="17" style="877" customWidth="1"/>
    <col min="11971" max="11971" width="13" style="877" customWidth="1"/>
    <col min="11972" max="11972" width="18.75" style="877" customWidth="1"/>
    <col min="11973" max="11973" width="14.125" style="877" customWidth="1"/>
    <col min="11974" max="11974" width="12.875" style="877" customWidth="1"/>
    <col min="11975" max="11975" width="11.75" style="877" customWidth="1"/>
    <col min="11976" max="11976" width="12.875" style="877" customWidth="1"/>
    <col min="11977" max="11977" width="14.875" style="877" customWidth="1"/>
    <col min="11978" max="11978" width="13" style="877" customWidth="1"/>
    <col min="11979" max="11979" width="11.25" style="877" customWidth="1"/>
    <col min="11980" max="11980" width="14.875" style="877" customWidth="1"/>
    <col min="11981" max="11981" width="14.375" style="877" customWidth="1"/>
    <col min="11982" max="11982" width="13.375" style="877" customWidth="1"/>
    <col min="11983" max="11983" width="11.375" style="877" customWidth="1"/>
    <col min="11984" max="11984" width="12.875" style="877" customWidth="1"/>
    <col min="11985" max="11985" width="11.375" style="877" customWidth="1"/>
    <col min="11986" max="11986" width="13.125" style="877" customWidth="1"/>
    <col min="11987" max="11987" width="12.125" style="877" customWidth="1"/>
    <col min="11988" max="11988" width="13.875" style="877" customWidth="1"/>
    <col min="11989" max="11989" width="14" style="877" customWidth="1"/>
    <col min="11990" max="11990" width="13.25" style="877" customWidth="1"/>
    <col min="11991" max="11991" width="11.375" style="877" customWidth="1"/>
    <col min="11992" max="11992" width="14.75" style="877" bestFit="1" customWidth="1"/>
    <col min="11993" max="11993" width="13.25" style="877" customWidth="1"/>
    <col min="11994" max="11995" width="14.625" style="877" customWidth="1"/>
    <col min="11996" max="11998" width="13.125" style="877" customWidth="1"/>
    <col min="11999" max="12035" width="17.25" style="877" customWidth="1"/>
    <col min="12036" max="12036" width="14.75" style="877" bestFit="1" customWidth="1"/>
    <col min="12037" max="12037" width="13.75" style="877" customWidth="1"/>
    <col min="12038" max="12038" width="15.25" style="877" customWidth="1"/>
    <col min="12039" max="12039" width="13.125" style="877" customWidth="1"/>
    <col min="12040" max="12040" width="11.875" style="877" customWidth="1"/>
    <col min="12041" max="12041" width="13.25" style="877" customWidth="1"/>
    <col min="12042" max="12042" width="12.625" style="877" customWidth="1"/>
    <col min="12043" max="12043" width="13" style="877" bestFit="1" customWidth="1"/>
    <col min="12044" max="12044" width="13.375" style="877" bestFit="1" customWidth="1"/>
    <col min="12045" max="12045" width="19.375" style="877" customWidth="1"/>
    <col min="12046" max="12046" width="12.75" style="877" bestFit="1" customWidth="1"/>
    <col min="12047" max="12047" width="13" style="877" bestFit="1" customWidth="1"/>
    <col min="12048" max="12048" width="13.375" style="877" bestFit="1" customWidth="1"/>
    <col min="12049" max="12049" width="16.625" style="877" customWidth="1"/>
    <col min="12050" max="12050" width="13.125" style="877" customWidth="1"/>
    <col min="12051" max="12051" width="15.125" style="877" bestFit="1" customWidth="1"/>
    <col min="12052" max="12052" width="16.625" style="877" bestFit="1" customWidth="1"/>
    <col min="12053" max="12053" width="14.375" style="877" customWidth="1"/>
    <col min="12054" max="12054" width="13.25" style="877" bestFit="1" customWidth="1"/>
    <col min="12055" max="12055" width="13" style="877" bestFit="1" customWidth="1"/>
    <col min="12056" max="12063" width="13" style="877" customWidth="1"/>
    <col min="12064" max="12064" width="13" style="877" bestFit="1" customWidth="1"/>
    <col min="12065" max="12065" width="15.875" style="877" customWidth="1"/>
    <col min="12066" max="12066" width="12.75" style="877" bestFit="1" customWidth="1"/>
    <col min="12067" max="12068" width="13" style="877" bestFit="1" customWidth="1"/>
    <col min="12069" max="12069" width="14.375" style="877" customWidth="1"/>
    <col min="12070" max="12070" width="12.75" style="877" bestFit="1" customWidth="1"/>
    <col min="12071" max="12072" width="13" style="877" bestFit="1" customWidth="1"/>
    <col min="12073" max="12073" width="15.125" style="877" customWidth="1"/>
    <col min="12074" max="12076" width="13" style="877" bestFit="1" customWidth="1"/>
    <col min="12077" max="12077" width="13.75" style="877" customWidth="1"/>
    <col min="12078" max="12079" width="13" style="877" bestFit="1" customWidth="1"/>
    <col min="12080" max="12080" width="13.125" style="877" customWidth="1"/>
    <col min="12081" max="12081" width="15.875" style="877" customWidth="1"/>
    <col min="12082" max="12082" width="13" style="877" customWidth="1"/>
    <col min="12083" max="12083" width="13" style="877" bestFit="1" customWidth="1"/>
    <col min="12084" max="12084" width="21" style="877" customWidth="1"/>
    <col min="12085" max="12085" width="15.75" style="877" customWidth="1"/>
    <col min="12086" max="12086" width="13.375" style="877" customWidth="1"/>
    <col min="12087" max="12087" width="13" style="877" bestFit="1" customWidth="1"/>
    <col min="12088" max="12091" width="13" style="877" customWidth="1"/>
    <col min="12092" max="12092" width="13.375" style="877" bestFit="1" customWidth="1"/>
    <col min="12093" max="12093" width="14.375" style="877" customWidth="1"/>
    <col min="12094" max="12094" width="13.375" style="877" customWidth="1"/>
    <col min="12095" max="12099" width="12.625" style="877" customWidth="1"/>
    <col min="12100" max="12100" width="13.375" style="877" bestFit="1" customWidth="1"/>
    <col min="12101" max="12101" width="14" style="877" customWidth="1"/>
    <col min="12102" max="12102" width="13.375" style="877" bestFit="1" customWidth="1"/>
    <col min="12103" max="12103" width="13" style="877" bestFit="1" customWidth="1"/>
    <col min="12104" max="12105" width="13.75" style="877" customWidth="1"/>
    <col min="12106" max="12106" width="13.125" style="877" customWidth="1"/>
    <col min="12107" max="12107" width="12.25" style="877" customWidth="1"/>
    <col min="12108" max="12108" width="13.375" style="877" bestFit="1" customWidth="1"/>
    <col min="12109" max="12109" width="17" style="877" customWidth="1"/>
    <col min="12110" max="12110" width="13.25" style="877" bestFit="1" customWidth="1"/>
    <col min="12111" max="12111" width="13" style="877" bestFit="1" customWidth="1"/>
    <col min="12112" max="12112" width="12.75" style="877" bestFit="1" customWidth="1"/>
    <col min="12113" max="12113" width="14.75" style="877" customWidth="1"/>
    <col min="12114" max="12114" width="11.875" style="877" bestFit="1" customWidth="1"/>
    <col min="12115" max="12115" width="13" style="877" bestFit="1" customWidth="1"/>
    <col min="12116" max="12116" width="15.125" style="877" bestFit="1" customWidth="1"/>
    <col min="12117" max="12117" width="14" style="877" customWidth="1"/>
    <col min="12118" max="12118" width="12" style="877" bestFit="1" customWidth="1"/>
    <col min="12119" max="12119" width="11.375" style="877" customWidth="1"/>
    <col min="12120" max="12120" width="12.75" style="877" bestFit="1" customWidth="1"/>
    <col min="12121" max="12121" width="11.375" style="877" customWidth="1"/>
    <col min="12122" max="12123" width="13" style="877" bestFit="1" customWidth="1"/>
    <col min="12124" max="12124" width="12.75" style="877" bestFit="1" customWidth="1"/>
    <col min="12125" max="12125" width="18.25" style="877" customWidth="1"/>
    <col min="12126" max="12126" width="12.625" style="877" bestFit="1" customWidth="1"/>
    <col min="12127" max="12127" width="13" style="877" bestFit="1" customWidth="1"/>
    <col min="12128" max="12128" width="13" style="877" customWidth="1"/>
    <col min="12129" max="12129" width="14.375" style="877" customWidth="1"/>
    <col min="12130" max="12131" width="13" style="877" customWidth="1"/>
    <col min="12132" max="12132" width="13.25" style="877" customWidth="1"/>
    <col min="12133" max="12133" width="15.75" style="877" customWidth="1"/>
    <col min="12134" max="12134" width="12" style="877" bestFit="1" customWidth="1"/>
    <col min="12135" max="12136" width="12.25" style="877" customWidth="1"/>
    <col min="12137" max="12137" width="15.875" style="877" customWidth="1"/>
    <col min="12138" max="12140" width="12.25" style="877" customWidth="1"/>
    <col min="12141" max="12141" width="14.875" style="877" customWidth="1"/>
    <col min="12142" max="12144" width="12.25" style="877" customWidth="1"/>
    <col min="12145" max="12145" width="13.75" style="877" customWidth="1"/>
    <col min="12146" max="12147" width="12.25" style="877" customWidth="1"/>
    <col min="12148" max="12148" width="18.125" style="877" customWidth="1"/>
    <col min="12149" max="12149" width="16.25" style="877" customWidth="1"/>
    <col min="12150" max="12150" width="15" style="877" customWidth="1"/>
    <col min="12151" max="12151" width="9.125" style="877"/>
    <col min="12152" max="12152" width="13.375" style="877" bestFit="1" customWidth="1"/>
    <col min="12153" max="12224" width="9.125" style="877"/>
    <col min="12225" max="12225" width="3.75" style="877" customWidth="1"/>
    <col min="12226" max="12226" width="17" style="877" customWidth="1"/>
    <col min="12227" max="12227" width="13" style="877" customWidth="1"/>
    <col min="12228" max="12228" width="18.75" style="877" customWidth="1"/>
    <col min="12229" max="12229" width="14.125" style="877" customWidth="1"/>
    <col min="12230" max="12230" width="12.875" style="877" customWidth="1"/>
    <col min="12231" max="12231" width="11.75" style="877" customWidth="1"/>
    <col min="12232" max="12232" width="12.875" style="877" customWidth="1"/>
    <col min="12233" max="12233" width="14.875" style="877" customWidth="1"/>
    <col min="12234" max="12234" width="13" style="877" customWidth="1"/>
    <col min="12235" max="12235" width="11.25" style="877" customWidth="1"/>
    <col min="12236" max="12236" width="14.875" style="877" customWidth="1"/>
    <col min="12237" max="12237" width="14.375" style="877" customWidth="1"/>
    <col min="12238" max="12238" width="13.375" style="877" customWidth="1"/>
    <col min="12239" max="12239" width="11.375" style="877" customWidth="1"/>
    <col min="12240" max="12240" width="12.875" style="877" customWidth="1"/>
    <col min="12241" max="12241" width="11.375" style="877" customWidth="1"/>
    <col min="12242" max="12242" width="13.125" style="877" customWidth="1"/>
    <col min="12243" max="12243" width="12.125" style="877" customWidth="1"/>
    <col min="12244" max="12244" width="13.875" style="877" customWidth="1"/>
    <col min="12245" max="12245" width="14" style="877" customWidth="1"/>
    <col min="12246" max="12246" width="13.25" style="877" customWidth="1"/>
    <col min="12247" max="12247" width="11.375" style="877" customWidth="1"/>
    <col min="12248" max="12248" width="14.75" style="877" bestFit="1" customWidth="1"/>
    <col min="12249" max="12249" width="13.25" style="877" customWidth="1"/>
    <col min="12250" max="12251" width="14.625" style="877" customWidth="1"/>
    <col min="12252" max="12254" width="13.125" style="877" customWidth="1"/>
    <col min="12255" max="12291" width="17.25" style="877" customWidth="1"/>
    <col min="12292" max="12292" width="14.75" style="877" bestFit="1" customWidth="1"/>
    <col min="12293" max="12293" width="13.75" style="877" customWidth="1"/>
    <col min="12294" max="12294" width="15.25" style="877" customWidth="1"/>
    <col min="12295" max="12295" width="13.125" style="877" customWidth="1"/>
    <col min="12296" max="12296" width="11.875" style="877" customWidth="1"/>
    <col min="12297" max="12297" width="13.25" style="877" customWidth="1"/>
    <col min="12298" max="12298" width="12.625" style="877" customWidth="1"/>
    <col min="12299" max="12299" width="13" style="877" bestFit="1" customWidth="1"/>
    <col min="12300" max="12300" width="13.375" style="877" bestFit="1" customWidth="1"/>
    <col min="12301" max="12301" width="19.375" style="877" customWidth="1"/>
    <col min="12302" max="12302" width="12.75" style="877" bestFit="1" customWidth="1"/>
    <col min="12303" max="12303" width="13" style="877" bestFit="1" customWidth="1"/>
    <col min="12304" max="12304" width="13.375" style="877" bestFit="1" customWidth="1"/>
    <col min="12305" max="12305" width="16.625" style="877" customWidth="1"/>
    <col min="12306" max="12306" width="13.125" style="877" customWidth="1"/>
    <col min="12307" max="12307" width="15.125" style="877" bestFit="1" customWidth="1"/>
    <col min="12308" max="12308" width="16.625" style="877" bestFit="1" customWidth="1"/>
    <col min="12309" max="12309" width="14.375" style="877" customWidth="1"/>
    <col min="12310" max="12310" width="13.25" style="877" bestFit="1" customWidth="1"/>
    <col min="12311" max="12311" width="13" style="877" bestFit="1" customWidth="1"/>
    <col min="12312" max="12319" width="13" style="877" customWidth="1"/>
    <col min="12320" max="12320" width="13" style="877" bestFit="1" customWidth="1"/>
    <col min="12321" max="12321" width="15.875" style="877" customWidth="1"/>
    <col min="12322" max="12322" width="12.75" style="877" bestFit="1" customWidth="1"/>
    <col min="12323" max="12324" width="13" style="877" bestFit="1" customWidth="1"/>
    <col min="12325" max="12325" width="14.375" style="877" customWidth="1"/>
    <col min="12326" max="12326" width="12.75" style="877" bestFit="1" customWidth="1"/>
    <col min="12327" max="12328" width="13" style="877" bestFit="1" customWidth="1"/>
    <col min="12329" max="12329" width="15.125" style="877" customWidth="1"/>
    <col min="12330" max="12332" width="13" style="877" bestFit="1" customWidth="1"/>
    <col min="12333" max="12333" width="13.75" style="877" customWidth="1"/>
    <col min="12334" max="12335" width="13" style="877" bestFit="1" customWidth="1"/>
    <col min="12336" max="12336" width="13.125" style="877" customWidth="1"/>
    <col min="12337" max="12337" width="15.875" style="877" customWidth="1"/>
    <col min="12338" max="12338" width="13" style="877" customWidth="1"/>
    <col min="12339" max="12339" width="13" style="877" bestFit="1" customWidth="1"/>
    <col min="12340" max="12340" width="21" style="877" customWidth="1"/>
    <col min="12341" max="12341" width="15.75" style="877" customWidth="1"/>
    <col min="12342" max="12342" width="13.375" style="877" customWidth="1"/>
    <col min="12343" max="12343" width="13" style="877" bestFit="1" customWidth="1"/>
    <col min="12344" max="12347" width="13" style="877" customWidth="1"/>
    <col min="12348" max="12348" width="13.375" style="877" bestFit="1" customWidth="1"/>
    <col min="12349" max="12349" width="14.375" style="877" customWidth="1"/>
    <col min="12350" max="12350" width="13.375" style="877" customWidth="1"/>
    <col min="12351" max="12355" width="12.625" style="877" customWidth="1"/>
    <col min="12356" max="12356" width="13.375" style="877" bestFit="1" customWidth="1"/>
    <col min="12357" max="12357" width="14" style="877" customWidth="1"/>
    <col min="12358" max="12358" width="13.375" style="877" bestFit="1" customWidth="1"/>
    <col min="12359" max="12359" width="13" style="877" bestFit="1" customWidth="1"/>
    <col min="12360" max="12361" width="13.75" style="877" customWidth="1"/>
    <col min="12362" max="12362" width="13.125" style="877" customWidth="1"/>
    <col min="12363" max="12363" width="12.25" style="877" customWidth="1"/>
    <col min="12364" max="12364" width="13.375" style="877" bestFit="1" customWidth="1"/>
    <col min="12365" max="12365" width="17" style="877" customWidth="1"/>
    <col min="12366" max="12366" width="13.25" style="877" bestFit="1" customWidth="1"/>
    <col min="12367" max="12367" width="13" style="877" bestFit="1" customWidth="1"/>
    <col min="12368" max="12368" width="12.75" style="877" bestFit="1" customWidth="1"/>
    <col min="12369" max="12369" width="14.75" style="877" customWidth="1"/>
    <col min="12370" max="12370" width="11.875" style="877" bestFit="1" customWidth="1"/>
    <col min="12371" max="12371" width="13" style="877" bestFit="1" customWidth="1"/>
    <col min="12372" max="12372" width="15.125" style="877" bestFit="1" customWidth="1"/>
    <col min="12373" max="12373" width="14" style="877" customWidth="1"/>
    <col min="12374" max="12374" width="12" style="877" bestFit="1" customWidth="1"/>
    <col min="12375" max="12375" width="11.375" style="877" customWidth="1"/>
    <col min="12376" max="12376" width="12.75" style="877" bestFit="1" customWidth="1"/>
    <col min="12377" max="12377" width="11.375" style="877" customWidth="1"/>
    <col min="12378" max="12379" width="13" style="877" bestFit="1" customWidth="1"/>
    <col min="12380" max="12380" width="12.75" style="877" bestFit="1" customWidth="1"/>
    <col min="12381" max="12381" width="18.25" style="877" customWidth="1"/>
    <col min="12382" max="12382" width="12.625" style="877" bestFit="1" customWidth="1"/>
    <col min="12383" max="12383" width="13" style="877" bestFit="1" customWidth="1"/>
    <col min="12384" max="12384" width="13" style="877" customWidth="1"/>
    <col min="12385" max="12385" width="14.375" style="877" customWidth="1"/>
    <col min="12386" max="12387" width="13" style="877" customWidth="1"/>
    <col min="12388" max="12388" width="13.25" style="877" customWidth="1"/>
    <col min="12389" max="12389" width="15.75" style="877" customWidth="1"/>
    <col min="12390" max="12390" width="12" style="877" bestFit="1" customWidth="1"/>
    <col min="12391" max="12392" width="12.25" style="877" customWidth="1"/>
    <col min="12393" max="12393" width="15.875" style="877" customWidth="1"/>
    <col min="12394" max="12396" width="12.25" style="877" customWidth="1"/>
    <col min="12397" max="12397" width="14.875" style="877" customWidth="1"/>
    <col min="12398" max="12400" width="12.25" style="877" customWidth="1"/>
    <col min="12401" max="12401" width="13.75" style="877" customWidth="1"/>
    <col min="12402" max="12403" width="12.25" style="877" customWidth="1"/>
    <col min="12404" max="12404" width="18.125" style="877" customWidth="1"/>
    <col min="12405" max="12405" width="16.25" style="877" customWidth="1"/>
    <col min="12406" max="12406" width="15" style="877" customWidth="1"/>
    <col min="12407" max="12407" width="9.125" style="877"/>
    <col min="12408" max="12408" width="13.375" style="877" bestFit="1" customWidth="1"/>
    <col min="12409" max="12480" width="9.125" style="877"/>
    <col min="12481" max="12481" width="3.75" style="877" customWidth="1"/>
    <col min="12482" max="12482" width="17" style="877" customWidth="1"/>
    <col min="12483" max="12483" width="13" style="877" customWidth="1"/>
    <col min="12484" max="12484" width="18.75" style="877" customWidth="1"/>
    <col min="12485" max="12485" width="14.125" style="877" customWidth="1"/>
    <col min="12486" max="12486" width="12.875" style="877" customWidth="1"/>
    <col min="12487" max="12487" width="11.75" style="877" customWidth="1"/>
    <col min="12488" max="12488" width="12.875" style="877" customWidth="1"/>
    <col min="12489" max="12489" width="14.875" style="877" customWidth="1"/>
    <col min="12490" max="12490" width="13" style="877" customWidth="1"/>
    <col min="12491" max="12491" width="11.25" style="877" customWidth="1"/>
    <col min="12492" max="12492" width="14.875" style="877" customWidth="1"/>
    <col min="12493" max="12493" width="14.375" style="877" customWidth="1"/>
    <col min="12494" max="12494" width="13.375" style="877" customWidth="1"/>
    <col min="12495" max="12495" width="11.375" style="877" customWidth="1"/>
    <col min="12496" max="12496" width="12.875" style="877" customWidth="1"/>
    <col min="12497" max="12497" width="11.375" style="877" customWidth="1"/>
    <col min="12498" max="12498" width="13.125" style="877" customWidth="1"/>
    <col min="12499" max="12499" width="12.125" style="877" customWidth="1"/>
    <col min="12500" max="12500" width="13.875" style="877" customWidth="1"/>
    <col min="12501" max="12501" width="14" style="877" customWidth="1"/>
    <col min="12502" max="12502" width="13.25" style="877" customWidth="1"/>
    <col min="12503" max="12503" width="11.375" style="877" customWidth="1"/>
    <col min="12504" max="12504" width="14.75" style="877" bestFit="1" customWidth="1"/>
    <col min="12505" max="12505" width="13.25" style="877" customWidth="1"/>
    <col min="12506" max="12507" width="14.625" style="877" customWidth="1"/>
    <col min="12508" max="12510" width="13.125" style="877" customWidth="1"/>
    <col min="12511" max="12547" width="17.25" style="877" customWidth="1"/>
    <col min="12548" max="12548" width="14.75" style="877" bestFit="1" customWidth="1"/>
    <col min="12549" max="12549" width="13.75" style="877" customWidth="1"/>
    <col min="12550" max="12550" width="15.25" style="877" customWidth="1"/>
    <col min="12551" max="12551" width="13.125" style="877" customWidth="1"/>
    <col min="12552" max="12552" width="11.875" style="877" customWidth="1"/>
    <col min="12553" max="12553" width="13.25" style="877" customWidth="1"/>
    <col min="12554" max="12554" width="12.625" style="877" customWidth="1"/>
    <col min="12555" max="12555" width="13" style="877" bestFit="1" customWidth="1"/>
    <col min="12556" max="12556" width="13.375" style="877" bestFit="1" customWidth="1"/>
    <col min="12557" max="12557" width="19.375" style="877" customWidth="1"/>
    <col min="12558" max="12558" width="12.75" style="877" bestFit="1" customWidth="1"/>
    <col min="12559" max="12559" width="13" style="877" bestFit="1" customWidth="1"/>
    <col min="12560" max="12560" width="13.375" style="877" bestFit="1" customWidth="1"/>
    <col min="12561" max="12561" width="16.625" style="877" customWidth="1"/>
    <col min="12562" max="12562" width="13.125" style="877" customWidth="1"/>
    <col min="12563" max="12563" width="15.125" style="877" bestFit="1" customWidth="1"/>
    <col min="12564" max="12564" width="16.625" style="877" bestFit="1" customWidth="1"/>
    <col min="12565" max="12565" width="14.375" style="877" customWidth="1"/>
    <col min="12566" max="12566" width="13.25" style="877" bestFit="1" customWidth="1"/>
    <col min="12567" max="12567" width="13" style="877" bestFit="1" customWidth="1"/>
    <col min="12568" max="12575" width="13" style="877" customWidth="1"/>
    <col min="12576" max="12576" width="13" style="877" bestFit="1" customWidth="1"/>
    <col min="12577" max="12577" width="15.875" style="877" customWidth="1"/>
    <col min="12578" max="12578" width="12.75" style="877" bestFit="1" customWidth="1"/>
    <col min="12579" max="12580" width="13" style="877" bestFit="1" customWidth="1"/>
    <col min="12581" max="12581" width="14.375" style="877" customWidth="1"/>
    <col min="12582" max="12582" width="12.75" style="877" bestFit="1" customWidth="1"/>
    <col min="12583" max="12584" width="13" style="877" bestFit="1" customWidth="1"/>
    <col min="12585" max="12585" width="15.125" style="877" customWidth="1"/>
    <col min="12586" max="12588" width="13" style="877" bestFit="1" customWidth="1"/>
    <col min="12589" max="12589" width="13.75" style="877" customWidth="1"/>
    <col min="12590" max="12591" width="13" style="877" bestFit="1" customWidth="1"/>
    <col min="12592" max="12592" width="13.125" style="877" customWidth="1"/>
    <col min="12593" max="12593" width="15.875" style="877" customWidth="1"/>
    <col min="12594" max="12594" width="13" style="877" customWidth="1"/>
    <col min="12595" max="12595" width="13" style="877" bestFit="1" customWidth="1"/>
    <col min="12596" max="12596" width="21" style="877" customWidth="1"/>
    <col min="12597" max="12597" width="15.75" style="877" customWidth="1"/>
    <col min="12598" max="12598" width="13.375" style="877" customWidth="1"/>
    <col min="12599" max="12599" width="13" style="877" bestFit="1" customWidth="1"/>
    <col min="12600" max="12603" width="13" style="877" customWidth="1"/>
    <col min="12604" max="12604" width="13.375" style="877" bestFit="1" customWidth="1"/>
    <col min="12605" max="12605" width="14.375" style="877" customWidth="1"/>
    <col min="12606" max="12606" width="13.375" style="877" customWidth="1"/>
    <col min="12607" max="12611" width="12.625" style="877" customWidth="1"/>
    <col min="12612" max="12612" width="13.375" style="877" bestFit="1" customWidth="1"/>
    <col min="12613" max="12613" width="14" style="877" customWidth="1"/>
    <col min="12614" max="12614" width="13.375" style="877" bestFit="1" customWidth="1"/>
    <col min="12615" max="12615" width="13" style="877" bestFit="1" customWidth="1"/>
    <col min="12616" max="12617" width="13.75" style="877" customWidth="1"/>
    <col min="12618" max="12618" width="13.125" style="877" customWidth="1"/>
    <col min="12619" max="12619" width="12.25" style="877" customWidth="1"/>
    <col min="12620" max="12620" width="13.375" style="877" bestFit="1" customWidth="1"/>
    <col min="12621" max="12621" width="17" style="877" customWidth="1"/>
    <col min="12622" max="12622" width="13.25" style="877" bestFit="1" customWidth="1"/>
    <col min="12623" max="12623" width="13" style="877" bestFit="1" customWidth="1"/>
    <col min="12624" max="12624" width="12.75" style="877" bestFit="1" customWidth="1"/>
    <col min="12625" max="12625" width="14.75" style="877" customWidth="1"/>
    <col min="12626" max="12626" width="11.875" style="877" bestFit="1" customWidth="1"/>
    <col min="12627" max="12627" width="13" style="877" bestFit="1" customWidth="1"/>
    <col min="12628" max="12628" width="15.125" style="877" bestFit="1" customWidth="1"/>
    <col min="12629" max="12629" width="14" style="877" customWidth="1"/>
    <col min="12630" max="12630" width="12" style="877" bestFit="1" customWidth="1"/>
    <col min="12631" max="12631" width="11.375" style="877" customWidth="1"/>
    <col min="12632" max="12632" width="12.75" style="877" bestFit="1" customWidth="1"/>
    <col min="12633" max="12633" width="11.375" style="877" customWidth="1"/>
    <col min="12634" max="12635" width="13" style="877" bestFit="1" customWidth="1"/>
    <col min="12636" max="12636" width="12.75" style="877" bestFit="1" customWidth="1"/>
    <col min="12637" max="12637" width="18.25" style="877" customWidth="1"/>
    <col min="12638" max="12638" width="12.625" style="877" bestFit="1" customWidth="1"/>
    <col min="12639" max="12639" width="13" style="877" bestFit="1" customWidth="1"/>
    <col min="12640" max="12640" width="13" style="877" customWidth="1"/>
    <col min="12641" max="12641" width="14.375" style="877" customWidth="1"/>
    <col min="12642" max="12643" width="13" style="877" customWidth="1"/>
    <col min="12644" max="12644" width="13.25" style="877" customWidth="1"/>
    <col min="12645" max="12645" width="15.75" style="877" customWidth="1"/>
    <col min="12646" max="12646" width="12" style="877" bestFit="1" customWidth="1"/>
    <col min="12647" max="12648" width="12.25" style="877" customWidth="1"/>
    <col min="12649" max="12649" width="15.875" style="877" customWidth="1"/>
    <col min="12650" max="12652" width="12.25" style="877" customWidth="1"/>
    <col min="12653" max="12653" width="14.875" style="877" customWidth="1"/>
    <col min="12654" max="12656" width="12.25" style="877" customWidth="1"/>
    <col min="12657" max="12657" width="13.75" style="877" customWidth="1"/>
    <col min="12658" max="12659" width="12.25" style="877" customWidth="1"/>
    <col min="12660" max="12660" width="18.125" style="877" customWidth="1"/>
    <col min="12661" max="12661" width="16.25" style="877" customWidth="1"/>
    <col min="12662" max="12662" width="15" style="877" customWidth="1"/>
    <col min="12663" max="12663" width="9.125" style="877"/>
    <col min="12664" max="12664" width="13.375" style="877" bestFit="1" customWidth="1"/>
    <col min="12665" max="12736" width="9.125" style="877"/>
    <col min="12737" max="12737" width="3.75" style="877" customWidth="1"/>
    <col min="12738" max="12738" width="17" style="877" customWidth="1"/>
    <col min="12739" max="12739" width="13" style="877" customWidth="1"/>
    <col min="12740" max="12740" width="18.75" style="877" customWidth="1"/>
    <col min="12741" max="12741" width="14.125" style="877" customWidth="1"/>
    <col min="12742" max="12742" width="12.875" style="877" customWidth="1"/>
    <col min="12743" max="12743" width="11.75" style="877" customWidth="1"/>
    <col min="12744" max="12744" width="12.875" style="877" customWidth="1"/>
    <col min="12745" max="12745" width="14.875" style="877" customWidth="1"/>
    <col min="12746" max="12746" width="13" style="877" customWidth="1"/>
    <col min="12747" max="12747" width="11.25" style="877" customWidth="1"/>
    <col min="12748" max="12748" width="14.875" style="877" customWidth="1"/>
    <col min="12749" max="12749" width="14.375" style="877" customWidth="1"/>
    <col min="12750" max="12750" width="13.375" style="877" customWidth="1"/>
    <col min="12751" max="12751" width="11.375" style="877" customWidth="1"/>
    <col min="12752" max="12752" width="12.875" style="877" customWidth="1"/>
    <col min="12753" max="12753" width="11.375" style="877" customWidth="1"/>
    <col min="12754" max="12754" width="13.125" style="877" customWidth="1"/>
    <col min="12755" max="12755" width="12.125" style="877" customWidth="1"/>
    <col min="12756" max="12756" width="13.875" style="877" customWidth="1"/>
    <col min="12757" max="12757" width="14" style="877" customWidth="1"/>
    <col min="12758" max="12758" width="13.25" style="877" customWidth="1"/>
    <col min="12759" max="12759" width="11.375" style="877" customWidth="1"/>
    <col min="12760" max="12760" width="14.75" style="877" bestFit="1" customWidth="1"/>
    <col min="12761" max="12761" width="13.25" style="877" customWidth="1"/>
    <col min="12762" max="12763" width="14.625" style="877" customWidth="1"/>
    <col min="12764" max="12766" width="13.125" style="877" customWidth="1"/>
    <col min="12767" max="12803" width="17.25" style="877" customWidth="1"/>
    <col min="12804" max="12804" width="14.75" style="877" bestFit="1" customWidth="1"/>
    <col min="12805" max="12805" width="13.75" style="877" customWidth="1"/>
    <col min="12806" max="12806" width="15.25" style="877" customWidth="1"/>
    <col min="12807" max="12807" width="13.125" style="877" customWidth="1"/>
    <col min="12808" max="12808" width="11.875" style="877" customWidth="1"/>
    <col min="12809" max="12809" width="13.25" style="877" customWidth="1"/>
    <col min="12810" max="12810" width="12.625" style="877" customWidth="1"/>
    <col min="12811" max="12811" width="13" style="877" bestFit="1" customWidth="1"/>
    <col min="12812" max="12812" width="13.375" style="877" bestFit="1" customWidth="1"/>
    <col min="12813" max="12813" width="19.375" style="877" customWidth="1"/>
    <col min="12814" max="12814" width="12.75" style="877" bestFit="1" customWidth="1"/>
    <col min="12815" max="12815" width="13" style="877" bestFit="1" customWidth="1"/>
    <col min="12816" max="12816" width="13.375" style="877" bestFit="1" customWidth="1"/>
    <col min="12817" max="12817" width="16.625" style="877" customWidth="1"/>
    <col min="12818" max="12818" width="13.125" style="877" customWidth="1"/>
    <col min="12819" max="12819" width="15.125" style="877" bestFit="1" customWidth="1"/>
    <col min="12820" max="12820" width="16.625" style="877" bestFit="1" customWidth="1"/>
    <col min="12821" max="12821" width="14.375" style="877" customWidth="1"/>
    <col min="12822" max="12822" width="13.25" style="877" bestFit="1" customWidth="1"/>
    <col min="12823" max="12823" width="13" style="877" bestFit="1" customWidth="1"/>
    <col min="12824" max="12831" width="13" style="877" customWidth="1"/>
    <col min="12832" max="12832" width="13" style="877" bestFit="1" customWidth="1"/>
    <col min="12833" max="12833" width="15.875" style="877" customWidth="1"/>
    <col min="12834" max="12834" width="12.75" style="877" bestFit="1" customWidth="1"/>
    <col min="12835" max="12836" width="13" style="877" bestFit="1" customWidth="1"/>
    <col min="12837" max="12837" width="14.375" style="877" customWidth="1"/>
    <col min="12838" max="12838" width="12.75" style="877" bestFit="1" customWidth="1"/>
    <col min="12839" max="12840" width="13" style="877" bestFit="1" customWidth="1"/>
    <col min="12841" max="12841" width="15.125" style="877" customWidth="1"/>
    <col min="12842" max="12844" width="13" style="877" bestFit="1" customWidth="1"/>
    <col min="12845" max="12845" width="13.75" style="877" customWidth="1"/>
    <col min="12846" max="12847" width="13" style="877" bestFit="1" customWidth="1"/>
    <col min="12848" max="12848" width="13.125" style="877" customWidth="1"/>
    <col min="12849" max="12849" width="15.875" style="877" customWidth="1"/>
    <col min="12850" max="12850" width="13" style="877" customWidth="1"/>
    <col min="12851" max="12851" width="13" style="877" bestFit="1" customWidth="1"/>
    <col min="12852" max="12852" width="21" style="877" customWidth="1"/>
    <col min="12853" max="12853" width="15.75" style="877" customWidth="1"/>
    <col min="12854" max="12854" width="13.375" style="877" customWidth="1"/>
    <col min="12855" max="12855" width="13" style="877" bestFit="1" customWidth="1"/>
    <col min="12856" max="12859" width="13" style="877" customWidth="1"/>
    <col min="12860" max="12860" width="13.375" style="877" bestFit="1" customWidth="1"/>
    <col min="12861" max="12861" width="14.375" style="877" customWidth="1"/>
    <col min="12862" max="12862" width="13.375" style="877" customWidth="1"/>
    <col min="12863" max="12867" width="12.625" style="877" customWidth="1"/>
    <col min="12868" max="12868" width="13.375" style="877" bestFit="1" customWidth="1"/>
    <col min="12869" max="12869" width="14" style="877" customWidth="1"/>
    <col min="12870" max="12870" width="13.375" style="877" bestFit="1" customWidth="1"/>
    <col min="12871" max="12871" width="13" style="877" bestFit="1" customWidth="1"/>
    <col min="12872" max="12873" width="13.75" style="877" customWidth="1"/>
    <col min="12874" max="12874" width="13.125" style="877" customWidth="1"/>
    <col min="12875" max="12875" width="12.25" style="877" customWidth="1"/>
    <col min="12876" max="12876" width="13.375" style="877" bestFit="1" customWidth="1"/>
    <col min="12877" max="12877" width="17" style="877" customWidth="1"/>
    <col min="12878" max="12878" width="13.25" style="877" bestFit="1" customWidth="1"/>
    <col min="12879" max="12879" width="13" style="877" bestFit="1" customWidth="1"/>
    <col min="12880" max="12880" width="12.75" style="877" bestFit="1" customWidth="1"/>
    <col min="12881" max="12881" width="14.75" style="877" customWidth="1"/>
    <col min="12882" max="12882" width="11.875" style="877" bestFit="1" customWidth="1"/>
    <col min="12883" max="12883" width="13" style="877" bestFit="1" customWidth="1"/>
    <col min="12884" max="12884" width="15.125" style="877" bestFit="1" customWidth="1"/>
    <col min="12885" max="12885" width="14" style="877" customWidth="1"/>
    <col min="12886" max="12886" width="12" style="877" bestFit="1" customWidth="1"/>
    <col min="12887" max="12887" width="11.375" style="877" customWidth="1"/>
    <col min="12888" max="12888" width="12.75" style="877" bestFit="1" customWidth="1"/>
    <col min="12889" max="12889" width="11.375" style="877" customWidth="1"/>
    <col min="12890" max="12891" width="13" style="877" bestFit="1" customWidth="1"/>
    <col min="12892" max="12892" width="12.75" style="877" bestFit="1" customWidth="1"/>
    <col min="12893" max="12893" width="18.25" style="877" customWidth="1"/>
    <col min="12894" max="12894" width="12.625" style="877" bestFit="1" customWidth="1"/>
    <col min="12895" max="12895" width="13" style="877" bestFit="1" customWidth="1"/>
    <col min="12896" max="12896" width="13" style="877" customWidth="1"/>
    <col min="12897" max="12897" width="14.375" style="877" customWidth="1"/>
    <col min="12898" max="12899" width="13" style="877" customWidth="1"/>
    <col min="12900" max="12900" width="13.25" style="877" customWidth="1"/>
    <col min="12901" max="12901" width="15.75" style="877" customWidth="1"/>
    <col min="12902" max="12902" width="12" style="877" bestFit="1" customWidth="1"/>
    <col min="12903" max="12904" width="12.25" style="877" customWidth="1"/>
    <col min="12905" max="12905" width="15.875" style="877" customWidth="1"/>
    <col min="12906" max="12908" width="12.25" style="877" customWidth="1"/>
    <col min="12909" max="12909" width="14.875" style="877" customWidth="1"/>
    <col min="12910" max="12912" width="12.25" style="877" customWidth="1"/>
    <col min="12913" max="12913" width="13.75" style="877" customWidth="1"/>
    <col min="12914" max="12915" width="12.25" style="877" customWidth="1"/>
    <col min="12916" max="12916" width="18.125" style="877" customWidth="1"/>
    <col min="12917" max="12917" width="16.25" style="877" customWidth="1"/>
    <col min="12918" max="12918" width="15" style="877" customWidth="1"/>
    <col min="12919" max="12919" width="9.125" style="877"/>
    <col min="12920" max="12920" width="13.375" style="877" bestFit="1" customWidth="1"/>
    <col min="12921" max="12992" width="9.125" style="877"/>
    <col min="12993" max="12993" width="3.75" style="877" customWidth="1"/>
    <col min="12994" max="12994" width="17" style="877" customWidth="1"/>
    <col min="12995" max="12995" width="13" style="877" customWidth="1"/>
    <col min="12996" max="12996" width="18.75" style="877" customWidth="1"/>
    <col min="12997" max="12997" width="14.125" style="877" customWidth="1"/>
    <col min="12998" max="12998" width="12.875" style="877" customWidth="1"/>
    <col min="12999" max="12999" width="11.75" style="877" customWidth="1"/>
    <col min="13000" max="13000" width="12.875" style="877" customWidth="1"/>
    <col min="13001" max="13001" width="14.875" style="877" customWidth="1"/>
    <col min="13002" max="13002" width="13" style="877" customWidth="1"/>
    <col min="13003" max="13003" width="11.25" style="877" customWidth="1"/>
    <col min="13004" max="13004" width="14.875" style="877" customWidth="1"/>
    <col min="13005" max="13005" width="14.375" style="877" customWidth="1"/>
    <col min="13006" max="13006" width="13.375" style="877" customWidth="1"/>
    <col min="13007" max="13007" width="11.375" style="877" customWidth="1"/>
    <col min="13008" max="13008" width="12.875" style="877" customWidth="1"/>
    <col min="13009" max="13009" width="11.375" style="877" customWidth="1"/>
    <col min="13010" max="13010" width="13.125" style="877" customWidth="1"/>
    <col min="13011" max="13011" width="12.125" style="877" customWidth="1"/>
    <col min="13012" max="13012" width="13.875" style="877" customWidth="1"/>
    <col min="13013" max="13013" width="14" style="877" customWidth="1"/>
    <col min="13014" max="13014" width="13.25" style="877" customWidth="1"/>
    <col min="13015" max="13015" width="11.375" style="877" customWidth="1"/>
    <col min="13016" max="13016" width="14.75" style="877" bestFit="1" customWidth="1"/>
    <col min="13017" max="13017" width="13.25" style="877" customWidth="1"/>
    <col min="13018" max="13019" width="14.625" style="877" customWidth="1"/>
    <col min="13020" max="13022" width="13.125" style="877" customWidth="1"/>
    <col min="13023" max="13059" width="17.25" style="877" customWidth="1"/>
    <col min="13060" max="13060" width="14.75" style="877" bestFit="1" customWidth="1"/>
    <col min="13061" max="13061" width="13.75" style="877" customWidth="1"/>
    <col min="13062" max="13062" width="15.25" style="877" customWidth="1"/>
    <col min="13063" max="13063" width="13.125" style="877" customWidth="1"/>
    <col min="13064" max="13064" width="11.875" style="877" customWidth="1"/>
    <col min="13065" max="13065" width="13.25" style="877" customWidth="1"/>
    <col min="13066" max="13066" width="12.625" style="877" customWidth="1"/>
    <col min="13067" max="13067" width="13" style="877" bestFit="1" customWidth="1"/>
    <col min="13068" max="13068" width="13.375" style="877" bestFit="1" customWidth="1"/>
    <col min="13069" max="13069" width="19.375" style="877" customWidth="1"/>
    <col min="13070" max="13070" width="12.75" style="877" bestFit="1" customWidth="1"/>
    <col min="13071" max="13071" width="13" style="877" bestFit="1" customWidth="1"/>
    <col min="13072" max="13072" width="13.375" style="877" bestFit="1" customWidth="1"/>
    <col min="13073" max="13073" width="16.625" style="877" customWidth="1"/>
    <col min="13074" max="13074" width="13.125" style="877" customWidth="1"/>
    <col min="13075" max="13075" width="15.125" style="877" bestFit="1" customWidth="1"/>
    <col min="13076" max="13076" width="16.625" style="877" bestFit="1" customWidth="1"/>
    <col min="13077" max="13077" width="14.375" style="877" customWidth="1"/>
    <col min="13078" max="13078" width="13.25" style="877" bestFit="1" customWidth="1"/>
    <col min="13079" max="13079" width="13" style="877" bestFit="1" customWidth="1"/>
    <col min="13080" max="13087" width="13" style="877" customWidth="1"/>
    <col min="13088" max="13088" width="13" style="877" bestFit="1" customWidth="1"/>
    <col min="13089" max="13089" width="15.875" style="877" customWidth="1"/>
    <col min="13090" max="13090" width="12.75" style="877" bestFit="1" customWidth="1"/>
    <col min="13091" max="13092" width="13" style="877" bestFit="1" customWidth="1"/>
    <col min="13093" max="13093" width="14.375" style="877" customWidth="1"/>
    <col min="13094" max="13094" width="12.75" style="877" bestFit="1" customWidth="1"/>
    <col min="13095" max="13096" width="13" style="877" bestFit="1" customWidth="1"/>
    <col min="13097" max="13097" width="15.125" style="877" customWidth="1"/>
    <col min="13098" max="13100" width="13" style="877" bestFit="1" customWidth="1"/>
    <col min="13101" max="13101" width="13.75" style="877" customWidth="1"/>
    <col min="13102" max="13103" width="13" style="877" bestFit="1" customWidth="1"/>
    <col min="13104" max="13104" width="13.125" style="877" customWidth="1"/>
    <col min="13105" max="13105" width="15.875" style="877" customWidth="1"/>
    <col min="13106" max="13106" width="13" style="877" customWidth="1"/>
    <col min="13107" max="13107" width="13" style="877" bestFit="1" customWidth="1"/>
    <col min="13108" max="13108" width="21" style="877" customWidth="1"/>
    <col min="13109" max="13109" width="15.75" style="877" customWidth="1"/>
    <col min="13110" max="13110" width="13.375" style="877" customWidth="1"/>
    <col min="13111" max="13111" width="13" style="877" bestFit="1" customWidth="1"/>
    <col min="13112" max="13115" width="13" style="877" customWidth="1"/>
    <col min="13116" max="13116" width="13.375" style="877" bestFit="1" customWidth="1"/>
    <col min="13117" max="13117" width="14.375" style="877" customWidth="1"/>
    <col min="13118" max="13118" width="13.375" style="877" customWidth="1"/>
    <col min="13119" max="13123" width="12.625" style="877" customWidth="1"/>
    <col min="13124" max="13124" width="13.375" style="877" bestFit="1" customWidth="1"/>
    <col min="13125" max="13125" width="14" style="877" customWidth="1"/>
    <col min="13126" max="13126" width="13.375" style="877" bestFit="1" customWidth="1"/>
    <col min="13127" max="13127" width="13" style="877" bestFit="1" customWidth="1"/>
    <col min="13128" max="13129" width="13.75" style="877" customWidth="1"/>
    <col min="13130" max="13130" width="13.125" style="877" customWidth="1"/>
    <col min="13131" max="13131" width="12.25" style="877" customWidth="1"/>
    <col min="13132" max="13132" width="13.375" style="877" bestFit="1" customWidth="1"/>
    <col min="13133" max="13133" width="17" style="877" customWidth="1"/>
    <col min="13134" max="13134" width="13.25" style="877" bestFit="1" customWidth="1"/>
    <col min="13135" max="13135" width="13" style="877" bestFit="1" customWidth="1"/>
    <col min="13136" max="13136" width="12.75" style="877" bestFit="1" customWidth="1"/>
    <col min="13137" max="13137" width="14.75" style="877" customWidth="1"/>
    <col min="13138" max="13138" width="11.875" style="877" bestFit="1" customWidth="1"/>
    <col min="13139" max="13139" width="13" style="877" bestFit="1" customWidth="1"/>
    <col min="13140" max="13140" width="15.125" style="877" bestFit="1" customWidth="1"/>
    <col min="13141" max="13141" width="14" style="877" customWidth="1"/>
    <col min="13142" max="13142" width="12" style="877" bestFit="1" customWidth="1"/>
    <col min="13143" max="13143" width="11.375" style="877" customWidth="1"/>
    <col min="13144" max="13144" width="12.75" style="877" bestFit="1" customWidth="1"/>
    <col min="13145" max="13145" width="11.375" style="877" customWidth="1"/>
    <col min="13146" max="13147" width="13" style="877" bestFit="1" customWidth="1"/>
    <col min="13148" max="13148" width="12.75" style="877" bestFit="1" customWidth="1"/>
    <col min="13149" max="13149" width="18.25" style="877" customWidth="1"/>
    <col min="13150" max="13150" width="12.625" style="877" bestFit="1" customWidth="1"/>
    <col min="13151" max="13151" width="13" style="877" bestFit="1" customWidth="1"/>
    <col min="13152" max="13152" width="13" style="877" customWidth="1"/>
    <col min="13153" max="13153" width="14.375" style="877" customWidth="1"/>
    <col min="13154" max="13155" width="13" style="877" customWidth="1"/>
    <col min="13156" max="13156" width="13.25" style="877" customWidth="1"/>
    <col min="13157" max="13157" width="15.75" style="877" customWidth="1"/>
    <col min="13158" max="13158" width="12" style="877" bestFit="1" customWidth="1"/>
    <col min="13159" max="13160" width="12.25" style="877" customWidth="1"/>
    <col min="13161" max="13161" width="15.875" style="877" customWidth="1"/>
    <col min="13162" max="13164" width="12.25" style="877" customWidth="1"/>
    <col min="13165" max="13165" width="14.875" style="877" customWidth="1"/>
    <col min="13166" max="13168" width="12.25" style="877" customWidth="1"/>
    <col min="13169" max="13169" width="13.75" style="877" customWidth="1"/>
    <col min="13170" max="13171" width="12.25" style="877" customWidth="1"/>
    <col min="13172" max="13172" width="18.125" style="877" customWidth="1"/>
    <col min="13173" max="13173" width="16.25" style="877" customWidth="1"/>
    <col min="13174" max="13174" width="15" style="877" customWidth="1"/>
    <col min="13175" max="13175" width="9.125" style="877"/>
    <col min="13176" max="13176" width="13.375" style="877" bestFit="1" customWidth="1"/>
    <col min="13177" max="13248" width="9.125" style="877"/>
    <col min="13249" max="13249" width="3.75" style="877" customWidth="1"/>
    <col min="13250" max="13250" width="17" style="877" customWidth="1"/>
    <col min="13251" max="13251" width="13" style="877" customWidth="1"/>
    <col min="13252" max="13252" width="18.75" style="877" customWidth="1"/>
    <col min="13253" max="13253" width="14.125" style="877" customWidth="1"/>
    <col min="13254" max="13254" width="12.875" style="877" customWidth="1"/>
    <col min="13255" max="13255" width="11.75" style="877" customWidth="1"/>
    <col min="13256" max="13256" width="12.875" style="877" customWidth="1"/>
    <col min="13257" max="13257" width="14.875" style="877" customWidth="1"/>
    <col min="13258" max="13258" width="13" style="877" customWidth="1"/>
    <col min="13259" max="13259" width="11.25" style="877" customWidth="1"/>
    <col min="13260" max="13260" width="14.875" style="877" customWidth="1"/>
    <col min="13261" max="13261" width="14.375" style="877" customWidth="1"/>
    <col min="13262" max="13262" width="13.375" style="877" customWidth="1"/>
    <col min="13263" max="13263" width="11.375" style="877" customWidth="1"/>
    <col min="13264" max="13264" width="12.875" style="877" customWidth="1"/>
    <col min="13265" max="13265" width="11.375" style="877" customWidth="1"/>
    <col min="13266" max="13266" width="13.125" style="877" customWidth="1"/>
    <col min="13267" max="13267" width="12.125" style="877" customWidth="1"/>
    <col min="13268" max="13268" width="13.875" style="877" customWidth="1"/>
    <col min="13269" max="13269" width="14" style="877" customWidth="1"/>
    <col min="13270" max="13270" width="13.25" style="877" customWidth="1"/>
    <col min="13271" max="13271" width="11.375" style="877" customWidth="1"/>
    <col min="13272" max="13272" width="14.75" style="877" bestFit="1" customWidth="1"/>
    <col min="13273" max="13273" width="13.25" style="877" customWidth="1"/>
    <col min="13274" max="13275" width="14.625" style="877" customWidth="1"/>
    <col min="13276" max="13278" width="13.125" style="877" customWidth="1"/>
    <col min="13279" max="13315" width="17.25" style="877" customWidth="1"/>
    <col min="13316" max="13316" width="14.75" style="877" bestFit="1" customWidth="1"/>
    <col min="13317" max="13317" width="13.75" style="877" customWidth="1"/>
    <col min="13318" max="13318" width="15.25" style="877" customWidth="1"/>
    <col min="13319" max="13319" width="13.125" style="877" customWidth="1"/>
    <col min="13320" max="13320" width="11.875" style="877" customWidth="1"/>
    <col min="13321" max="13321" width="13.25" style="877" customWidth="1"/>
    <col min="13322" max="13322" width="12.625" style="877" customWidth="1"/>
    <col min="13323" max="13323" width="13" style="877" bestFit="1" customWidth="1"/>
    <col min="13324" max="13324" width="13.375" style="877" bestFit="1" customWidth="1"/>
    <col min="13325" max="13325" width="19.375" style="877" customWidth="1"/>
    <col min="13326" max="13326" width="12.75" style="877" bestFit="1" customWidth="1"/>
    <col min="13327" max="13327" width="13" style="877" bestFit="1" customWidth="1"/>
    <col min="13328" max="13328" width="13.375" style="877" bestFit="1" customWidth="1"/>
    <col min="13329" max="13329" width="16.625" style="877" customWidth="1"/>
    <col min="13330" max="13330" width="13.125" style="877" customWidth="1"/>
    <col min="13331" max="13331" width="15.125" style="877" bestFit="1" customWidth="1"/>
    <col min="13332" max="13332" width="16.625" style="877" bestFit="1" customWidth="1"/>
    <col min="13333" max="13333" width="14.375" style="877" customWidth="1"/>
    <col min="13334" max="13334" width="13.25" style="877" bestFit="1" customWidth="1"/>
    <col min="13335" max="13335" width="13" style="877" bestFit="1" customWidth="1"/>
    <col min="13336" max="13343" width="13" style="877" customWidth="1"/>
    <col min="13344" max="13344" width="13" style="877" bestFit="1" customWidth="1"/>
    <col min="13345" max="13345" width="15.875" style="877" customWidth="1"/>
    <col min="13346" max="13346" width="12.75" style="877" bestFit="1" customWidth="1"/>
    <col min="13347" max="13348" width="13" style="877" bestFit="1" customWidth="1"/>
    <col min="13349" max="13349" width="14.375" style="877" customWidth="1"/>
    <col min="13350" max="13350" width="12.75" style="877" bestFit="1" customWidth="1"/>
    <col min="13351" max="13352" width="13" style="877" bestFit="1" customWidth="1"/>
    <col min="13353" max="13353" width="15.125" style="877" customWidth="1"/>
    <col min="13354" max="13356" width="13" style="877" bestFit="1" customWidth="1"/>
    <col min="13357" max="13357" width="13.75" style="877" customWidth="1"/>
    <col min="13358" max="13359" width="13" style="877" bestFit="1" customWidth="1"/>
    <col min="13360" max="13360" width="13.125" style="877" customWidth="1"/>
    <col min="13361" max="13361" width="15.875" style="877" customWidth="1"/>
    <col min="13362" max="13362" width="13" style="877" customWidth="1"/>
    <col min="13363" max="13363" width="13" style="877" bestFit="1" customWidth="1"/>
    <col min="13364" max="13364" width="21" style="877" customWidth="1"/>
    <col min="13365" max="13365" width="15.75" style="877" customWidth="1"/>
    <col min="13366" max="13366" width="13.375" style="877" customWidth="1"/>
    <col min="13367" max="13367" width="13" style="877" bestFit="1" customWidth="1"/>
    <col min="13368" max="13371" width="13" style="877" customWidth="1"/>
    <col min="13372" max="13372" width="13.375" style="877" bestFit="1" customWidth="1"/>
    <col min="13373" max="13373" width="14.375" style="877" customWidth="1"/>
    <col min="13374" max="13374" width="13.375" style="877" customWidth="1"/>
    <col min="13375" max="13379" width="12.625" style="877" customWidth="1"/>
    <col min="13380" max="13380" width="13.375" style="877" bestFit="1" customWidth="1"/>
    <col min="13381" max="13381" width="14" style="877" customWidth="1"/>
    <col min="13382" max="13382" width="13.375" style="877" bestFit="1" customWidth="1"/>
    <col min="13383" max="13383" width="13" style="877" bestFit="1" customWidth="1"/>
    <col min="13384" max="13385" width="13.75" style="877" customWidth="1"/>
    <col min="13386" max="13386" width="13.125" style="877" customWidth="1"/>
    <col min="13387" max="13387" width="12.25" style="877" customWidth="1"/>
    <col min="13388" max="13388" width="13.375" style="877" bestFit="1" customWidth="1"/>
    <col min="13389" max="13389" width="17" style="877" customWidth="1"/>
    <col min="13390" max="13390" width="13.25" style="877" bestFit="1" customWidth="1"/>
    <col min="13391" max="13391" width="13" style="877" bestFit="1" customWidth="1"/>
    <col min="13392" max="13392" width="12.75" style="877" bestFit="1" customWidth="1"/>
    <col min="13393" max="13393" width="14.75" style="877" customWidth="1"/>
    <col min="13394" max="13394" width="11.875" style="877" bestFit="1" customWidth="1"/>
    <col min="13395" max="13395" width="13" style="877" bestFit="1" customWidth="1"/>
    <col min="13396" max="13396" width="15.125" style="877" bestFit="1" customWidth="1"/>
    <col min="13397" max="13397" width="14" style="877" customWidth="1"/>
    <col min="13398" max="13398" width="12" style="877" bestFit="1" customWidth="1"/>
    <col min="13399" max="13399" width="11.375" style="877" customWidth="1"/>
    <col min="13400" max="13400" width="12.75" style="877" bestFit="1" customWidth="1"/>
    <col min="13401" max="13401" width="11.375" style="877" customWidth="1"/>
    <col min="13402" max="13403" width="13" style="877" bestFit="1" customWidth="1"/>
    <col min="13404" max="13404" width="12.75" style="877" bestFit="1" customWidth="1"/>
    <col min="13405" max="13405" width="18.25" style="877" customWidth="1"/>
    <col min="13406" max="13406" width="12.625" style="877" bestFit="1" customWidth="1"/>
    <col min="13407" max="13407" width="13" style="877" bestFit="1" customWidth="1"/>
    <col min="13408" max="13408" width="13" style="877" customWidth="1"/>
    <col min="13409" max="13409" width="14.375" style="877" customWidth="1"/>
    <col min="13410" max="13411" width="13" style="877" customWidth="1"/>
    <col min="13412" max="13412" width="13.25" style="877" customWidth="1"/>
    <col min="13413" max="13413" width="15.75" style="877" customWidth="1"/>
    <col min="13414" max="13414" width="12" style="877" bestFit="1" customWidth="1"/>
    <col min="13415" max="13416" width="12.25" style="877" customWidth="1"/>
    <col min="13417" max="13417" width="15.875" style="877" customWidth="1"/>
    <col min="13418" max="13420" width="12.25" style="877" customWidth="1"/>
    <col min="13421" max="13421" width="14.875" style="877" customWidth="1"/>
    <col min="13422" max="13424" width="12.25" style="877" customWidth="1"/>
    <col min="13425" max="13425" width="13.75" style="877" customWidth="1"/>
    <col min="13426" max="13427" width="12.25" style="877" customWidth="1"/>
    <col min="13428" max="13428" width="18.125" style="877" customWidth="1"/>
    <col min="13429" max="13429" width="16.25" style="877" customWidth="1"/>
    <col min="13430" max="13430" width="15" style="877" customWidth="1"/>
    <col min="13431" max="13431" width="9.125" style="877"/>
    <col min="13432" max="13432" width="13.375" style="877" bestFit="1" customWidth="1"/>
    <col min="13433" max="13504" width="9.125" style="877"/>
    <col min="13505" max="13505" width="3.75" style="877" customWidth="1"/>
    <col min="13506" max="13506" width="17" style="877" customWidth="1"/>
    <col min="13507" max="13507" width="13" style="877" customWidth="1"/>
    <col min="13508" max="13508" width="18.75" style="877" customWidth="1"/>
    <col min="13509" max="13509" width="14.125" style="877" customWidth="1"/>
    <col min="13510" max="13510" width="12.875" style="877" customWidth="1"/>
    <col min="13511" max="13511" width="11.75" style="877" customWidth="1"/>
    <col min="13512" max="13512" width="12.875" style="877" customWidth="1"/>
    <col min="13513" max="13513" width="14.875" style="877" customWidth="1"/>
    <col min="13514" max="13514" width="13" style="877" customWidth="1"/>
    <col min="13515" max="13515" width="11.25" style="877" customWidth="1"/>
    <col min="13516" max="13516" width="14.875" style="877" customWidth="1"/>
    <col min="13517" max="13517" width="14.375" style="877" customWidth="1"/>
    <col min="13518" max="13518" width="13.375" style="877" customWidth="1"/>
    <col min="13519" max="13519" width="11.375" style="877" customWidth="1"/>
    <col min="13520" max="13520" width="12.875" style="877" customWidth="1"/>
    <col min="13521" max="13521" width="11.375" style="877" customWidth="1"/>
    <col min="13522" max="13522" width="13.125" style="877" customWidth="1"/>
    <col min="13523" max="13523" width="12.125" style="877" customWidth="1"/>
    <col min="13524" max="13524" width="13.875" style="877" customWidth="1"/>
    <col min="13525" max="13525" width="14" style="877" customWidth="1"/>
    <col min="13526" max="13526" width="13.25" style="877" customWidth="1"/>
    <col min="13527" max="13527" width="11.375" style="877" customWidth="1"/>
    <col min="13528" max="13528" width="14.75" style="877" bestFit="1" customWidth="1"/>
    <col min="13529" max="13529" width="13.25" style="877" customWidth="1"/>
    <col min="13530" max="13531" width="14.625" style="877" customWidth="1"/>
    <col min="13532" max="13534" width="13.125" style="877" customWidth="1"/>
    <col min="13535" max="13571" width="17.25" style="877" customWidth="1"/>
    <col min="13572" max="13572" width="14.75" style="877" bestFit="1" customWidth="1"/>
    <col min="13573" max="13573" width="13.75" style="877" customWidth="1"/>
    <col min="13574" max="13574" width="15.25" style="877" customWidth="1"/>
    <col min="13575" max="13575" width="13.125" style="877" customWidth="1"/>
    <col min="13576" max="13576" width="11.875" style="877" customWidth="1"/>
    <col min="13577" max="13577" width="13.25" style="877" customWidth="1"/>
    <col min="13578" max="13578" width="12.625" style="877" customWidth="1"/>
    <col min="13579" max="13579" width="13" style="877" bestFit="1" customWidth="1"/>
    <col min="13580" max="13580" width="13.375" style="877" bestFit="1" customWidth="1"/>
    <col min="13581" max="13581" width="19.375" style="877" customWidth="1"/>
    <col min="13582" max="13582" width="12.75" style="877" bestFit="1" customWidth="1"/>
    <col min="13583" max="13583" width="13" style="877" bestFit="1" customWidth="1"/>
    <col min="13584" max="13584" width="13.375" style="877" bestFit="1" customWidth="1"/>
    <col min="13585" max="13585" width="16.625" style="877" customWidth="1"/>
    <col min="13586" max="13586" width="13.125" style="877" customWidth="1"/>
    <col min="13587" max="13587" width="15.125" style="877" bestFit="1" customWidth="1"/>
    <col min="13588" max="13588" width="16.625" style="877" bestFit="1" customWidth="1"/>
    <col min="13589" max="13589" width="14.375" style="877" customWidth="1"/>
    <col min="13590" max="13590" width="13.25" style="877" bestFit="1" customWidth="1"/>
    <col min="13591" max="13591" width="13" style="877" bestFit="1" customWidth="1"/>
    <col min="13592" max="13599" width="13" style="877" customWidth="1"/>
    <col min="13600" max="13600" width="13" style="877" bestFit="1" customWidth="1"/>
    <col min="13601" max="13601" width="15.875" style="877" customWidth="1"/>
    <col min="13602" max="13602" width="12.75" style="877" bestFit="1" customWidth="1"/>
    <col min="13603" max="13604" width="13" style="877" bestFit="1" customWidth="1"/>
    <col min="13605" max="13605" width="14.375" style="877" customWidth="1"/>
    <col min="13606" max="13606" width="12.75" style="877" bestFit="1" customWidth="1"/>
    <col min="13607" max="13608" width="13" style="877" bestFit="1" customWidth="1"/>
    <col min="13609" max="13609" width="15.125" style="877" customWidth="1"/>
    <col min="13610" max="13612" width="13" style="877" bestFit="1" customWidth="1"/>
    <col min="13613" max="13613" width="13.75" style="877" customWidth="1"/>
    <col min="13614" max="13615" width="13" style="877" bestFit="1" customWidth="1"/>
    <col min="13616" max="13616" width="13.125" style="877" customWidth="1"/>
    <col min="13617" max="13617" width="15.875" style="877" customWidth="1"/>
    <col min="13618" max="13618" width="13" style="877" customWidth="1"/>
    <col min="13619" max="13619" width="13" style="877" bestFit="1" customWidth="1"/>
    <col min="13620" max="13620" width="21" style="877" customWidth="1"/>
    <col min="13621" max="13621" width="15.75" style="877" customWidth="1"/>
    <col min="13622" max="13622" width="13.375" style="877" customWidth="1"/>
    <col min="13623" max="13623" width="13" style="877" bestFit="1" customWidth="1"/>
    <col min="13624" max="13627" width="13" style="877" customWidth="1"/>
    <col min="13628" max="13628" width="13.375" style="877" bestFit="1" customWidth="1"/>
    <col min="13629" max="13629" width="14.375" style="877" customWidth="1"/>
    <col min="13630" max="13630" width="13.375" style="877" customWidth="1"/>
    <col min="13631" max="13635" width="12.625" style="877" customWidth="1"/>
    <col min="13636" max="13636" width="13.375" style="877" bestFit="1" customWidth="1"/>
    <col min="13637" max="13637" width="14" style="877" customWidth="1"/>
    <col min="13638" max="13638" width="13.375" style="877" bestFit="1" customWidth="1"/>
    <col min="13639" max="13639" width="13" style="877" bestFit="1" customWidth="1"/>
    <col min="13640" max="13641" width="13.75" style="877" customWidth="1"/>
    <col min="13642" max="13642" width="13.125" style="877" customWidth="1"/>
    <col min="13643" max="13643" width="12.25" style="877" customWidth="1"/>
    <col min="13644" max="13644" width="13.375" style="877" bestFit="1" customWidth="1"/>
    <col min="13645" max="13645" width="17" style="877" customWidth="1"/>
    <col min="13646" max="13646" width="13.25" style="877" bestFit="1" customWidth="1"/>
    <col min="13647" max="13647" width="13" style="877" bestFit="1" customWidth="1"/>
    <col min="13648" max="13648" width="12.75" style="877" bestFit="1" customWidth="1"/>
    <col min="13649" max="13649" width="14.75" style="877" customWidth="1"/>
    <col min="13650" max="13650" width="11.875" style="877" bestFit="1" customWidth="1"/>
    <col min="13651" max="13651" width="13" style="877" bestFit="1" customWidth="1"/>
    <col min="13652" max="13652" width="15.125" style="877" bestFit="1" customWidth="1"/>
    <col min="13653" max="13653" width="14" style="877" customWidth="1"/>
    <col min="13654" max="13654" width="12" style="877" bestFit="1" customWidth="1"/>
    <col min="13655" max="13655" width="11.375" style="877" customWidth="1"/>
    <col min="13656" max="13656" width="12.75" style="877" bestFit="1" customWidth="1"/>
    <col min="13657" max="13657" width="11.375" style="877" customWidth="1"/>
    <col min="13658" max="13659" width="13" style="877" bestFit="1" customWidth="1"/>
    <col min="13660" max="13660" width="12.75" style="877" bestFit="1" customWidth="1"/>
    <col min="13661" max="13661" width="18.25" style="877" customWidth="1"/>
    <col min="13662" max="13662" width="12.625" style="877" bestFit="1" customWidth="1"/>
    <col min="13663" max="13663" width="13" style="877" bestFit="1" customWidth="1"/>
    <col min="13664" max="13664" width="13" style="877" customWidth="1"/>
    <col min="13665" max="13665" width="14.375" style="877" customWidth="1"/>
    <col min="13666" max="13667" width="13" style="877" customWidth="1"/>
    <col min="13668" max="13668" width="13.25" style="877" customWidth="1"/>
    <col min="13669" max="13669" width="15.75" style="877" customWidth="1"/>
    <col min="13670" max="13670" width="12" style="877" bestFit="1" customWidth="1"/>
    <col min="13671" max="13672" width="12.25" style="877" customWidth="1"/>
    <col min="13673" max="13673" width="15.875" style="877" customWidth="1"/>
    <col min="13674" max="13676" width="12.25" style="877" customWidth="1"/>
    <col min="13677" max="13677" width="14.875" style="877" customWidth="1"/>
    <col min="13678" max="13680" width="12.25" style="877" customWidth="1"/>
    <col min="13681" max="13681" width="13.75" style="877" customWidth="1"/>
    <col min="13682" max="13683" width="12.25" style="877" customWidth="1"/>
    <col min="13684" max="13684" width="18.125" style="877" customWidth="1"/>
    <col min="13685" max="13685" width="16.25" style="877" customWidth="1"/>
    <col min="13686" max="13686" width="15" style="877" customWidth="1"/>
    <col min="13687" max="13687" width="9.125" style="877"/>
    <col min="13688" max="13688" width="13.375" style="877" bestFit="1" customWidth="1"/>
    <col min="13689" max="13760" width="9.125" style="877"/>
    <col min="13761" max="13761" width="3.75" style="877" customWidth="1"/>
    <col min="13762" max="13762" width="17" style="877" customWidth="1"/>
    <col min="13763" max="13763" width="13" style="877" customWidth="1"/>
    <col min="13764" max="13764" width="18.75" style="877" customWidth="1"/>
    <col min="13765" max="13765" width="14.125" style="877" customWidth="1"/>
    <col min="13766" max="13766" width="12.875" style="877" customWidth="1"/>
    <col min="13767" max="13767" width="11.75" style="877" customWidth="1"/>
    <col min="13768" max="13768" width="12.875" style="877" customWidth="1"/>
    <col min="13769" max="13769" width="14.875" style="877" customWidth="1"/>
    <col min="13770" max="13770" width="13" style="877" customWidth="1"/>
    <col min="13771" max="13771" width="11.25" style="877" customWidth="1"/>
    <col min="13772" max="13772" width="14.875" style="877" customWidth="1"/>
    <col min="13773" max="13773" width="14.375" style="877" customWidth="1"/>
    <col min="13774" max="13774" width="13.375" style="877" customWidth="1"/>
    <col min="13775" max="13775" width="11.375" style="877" customWidth="1"/>
    <col min="13776" max="13776" width="12.875" style="877" customWidth="1"/>
    <col min="13777" max="13777" width="11.375" style="877" customWidth="1"/>
    <col min="13778" max="13778" width="13.125" style="877" customWidth="1"/>
    <col min="13779" max="13779" width="12.125" style="877" customWidth="1"/>
    <col min="13780" max="13780" width="13.875" style="877" customWidth="1"/>
    <col min="13781" max="13781" width="14" style="877" customWidth="1"/>
    <col min="13782" max="13782" width="13.25" style="877" customWidth="1"/>
    <col min="13783" max="13783" width="11.375" style="877" customWidth="1"/>
    <col min="13784" max="13784" width="14.75" style="877" bestFit="1" customWidth="1"/>
    <col min="13785" max="13785" width="13.25" style="877" customWidth="1"/>
    <col min="13786" max="13787" width="14.625" style="877" customWidth="1"/>
    <col min="13788" max="13790" width="13.125" style="877" customWidth="1"/>
    <col min="13791" max="13827" width="17.25" style="877" customWidth="1"/>
    <col min="13828" max="13828" width="14.75" style="877" bestFit="1" customWidth="1"/>
    <col min="13829" max="13829" width="13.75" style="877" customWidth="1"/>
    <col min="13830" max="13830" width="15.25" style="877" customWidth="1"/>
    <col min="13831" max="13831" width="13.125" style="877" customWidth="1"/>
    <col min="13832" max="13832" width="11.875" style="877" customWidth="1"/>
    <col min="13833" max="13833" width="13.25" style="877" customWidth="1"/>
    <col min="13834" max="13834" width="12.625" style="877" customWidth="1"/>
    <col min="13835" max="13835" width="13" style="877" bestFit="1" customWidth="1"/>
    <col min="13836" max="13836" width="13.375" style="877" bestFit="1" customWidth="1"/>
    <col min="13837" max="13837" width="19.375" style="877" customWidth="1"/>
    <col min="13838" max="13838" width="12.75" style="877" bestFit="1" customWidth="1"/>
    <col min="13839" max="13839" width="13" style="877" bestFit="1" customWidth="1"/>
    <col min="13840" max="13840" width="13.375" style="877" bestFit="1" customWidth="1"/>
    <col min="13841" max="13841" width="16.625" style="877" customWidth="1"/>
    <col min="13842" max="13842" width="13.125" style="877" customWidth="1"/>
    <col min="13843" max="13843" width="15.125" style="877" bestFit="1" customWidth="1"/>
    <col min="13844" max="13844" width="16.625" style="877" bestFit="1" customWidth="1"/>
    <col min="13845" max="13845" width="14.375" style="877" customWidth="1"/>
    <col min="13846" max="13846" width="13.25" style="877" bestFit="1" customWidth="1"/>
    <col min="13847" max="13847" width="13" style="877" bestFit="1" customWidth="1"/>
    <col min="13848" max="13855" width="13" style="877" customWidth="1"/>
    <col min="13856" max="13856" width="13" style="877" bestFit="1" customWidth="1"/>
    <col min="13857" max="13857" width="15.875" style="877" customWidth="1"/>
    <col min="13858" max="13858" width="12.75" style="877" bestFit="1" customWidth="1"/>
    <col min="13859" max="13860" width="13" style="877" bestFit="1" customWidth="1"/>
    <col min="13861" max="13861" width="14.375" style="877" customWidth="1"/>
    <col min="13862" max="13862" width="12.75" style="877" bestFit="1" customWidth="1"/>
    <col min="13863" max="13864" width="13" style="877" bestFit="1" customWidth="1"/>
    <col min="13865" max="13865" width="15.125" style="877" customWidth="1"/>
    <col min="13866" max="13868" width="13" style="877" bestFit="1" customWidth="1"/>
    <col min="13869" max="13869" width="13.75" style="877" customWidth="1"/>
    <col min="13870" max="13871" width="13" style="877" bestFit="1" customWidth="1"/>
    <col min="13872" max="13872" width="13.125" style="877" customWidth="1"/>
    <col min="13873" max="13873" width="15.875" style="877" customWidth="1"/>
    <col min="13874" max="13874" width="13" style="877" customWidth="1"/>
    <col min="13875" max="13875" width="13" style="877" bestFit="1" customWidth="1"/>
    <col min="13876" max="13876" width="21" style="877" customWidth="1"/>
    <col min="13877" max="13877" width="15.75" style="877" customWidth="1"/>
    <col min="13878" max="13878" width="13.375" style="877" customWidth="1"/>
    <col min="13879" max="13879" width="13" style="877" bestFit="1" customWidth="1"/>
    <col min="13880" max="13883" width="13" style="877" customWidth="1"/>
    <col min="13884" max="13884" width="13.375" style="877" bestFit="1" customWidth="1"/>
    <col min="13885" max="13885" width="14.375" style="877" customWidth="1"/>
    <col min="13886" max="13886" width="13.375" style="877" customWidth="1"/>
    <col min="13887" max="13891" width="12.625" style="877" customWidth="1"/>
    <col min="13892" max="13892" width="13.375" style="877" bestFit="1" customWidth="1"/>
    <col min="13893" max="13893" width="14" style="877" customWidth="1"/>
    <col min="13894" max="13894" width="13.375" style="877" bestFit="1" customWidth="1"/>
    <col min="13895" max="13895" width="13" style="877" bestFit="1" customWidth="1"/>
    <col min="13896" max="13897" width="13.75" style="877" customWidth="1"/>
    <col min="13898" max="13898" width="13.125" style="877" customWidth="1"/>
    <col min="13899" max="13899" width="12.25" style="877" customWidth="1"/>
    <col min="13900" max="13900" width="13.375" style="877" bestFit="1" customWidth="1"/>
    <col min="13901" max="13901" width="17" style="877" customWidth="1"/>
    <col min="13902" max="13902" width="13.25" style="877" bestFit="1" customWidth="1"/>
    <col min="13903" max="13903" width="13" style="877" bestFit="1" customWidth="1"/>
    <col min="13904" max="13904" width="12.75" style="877" bestFit="1" customWidth="1"/>
    <col min="13905" max="13905" width="14.75" style="877" customWidth="1"/>
    <col min="13906" max="13906" width="11.875" style="877" bestFit="1" customWidth="1"/>
    <col min="13907" max="13907" width="13" style="877" bestFit="1" customWidth="1"/>
    <col min="13908" max="13908" width="15.125" style="877" bestFit="1" customWidth="1"/>
    <col min="13909" max="13909" width="14" style="877" customWidth="1"/>
    <col min="13910" max="13910" width="12" style="877" bestFit="1" customWidth="1"/>
    <col min="13911" max="13911" width="11.375" style="877" customWidth="1"/>
    <col min="13912" max="13912" width="12.75" style="877" bestFit="1" customWidth="1"/>
    <col min="13913" max="13913" width="11.375" style="877" customWidth="1"/>
    <col min="13914" max="13915" width="13" style="877" bestFit="1" customWidth="1"/>
    <col min="13916" max="13916" width="12.75" style="877" bestFit="1" customWidth="1"/>
    <col min="13917" max="13917" width="18.25" style="877" customWidth="1"/>
    <col min="13918" max="13918" width="12.625" style="877" bestFit="1" customWidth="1"/>
    <col min="13919" max="13919" width="13" style="877" bestFit="1" customWidth="1"/>
    <col min="13920" max="13920" width="13" style="877" customWidth="1"/>
    <col min="13921" max="13921" width="14.375" style="877" customWidth="1"/>
    <col min="13922" max="13923" width="13" style="877" customWidth="1"/>
    <col min="13924" max="13924" width="13.25" style="877" customWidth="1"/>
    <col min="13925" max="13925" width="15.75" style="877" customWidth="1"/>
    <col min="13926" max="13926" width="12" style="877" bestFit="1" customWidth="1"/>
    <col min="13927" max="13928" width="12.25" style="877" customWidth="1"/>
    <col min="13929" max="13929" width="15.875" style="877" customWidth="1"/>
    <col min="13930" max="13932" width="12.25" style="877" customWidth="1"/>
    <col min="13933" max="13933" width="14.875" style="877" customWidth="1"/>
    <col min="13934" max="13936" width="12.25" style="877" customWidth="1"/>
    <col min="13937" max="13937" width="13.75" style="877" customWidth="1"/>
    <col min="13938" max="13939" width="12.25" style="877" customWidth="1"/>
    <col min="13940" max="13940" width="18.125" style="877" customWidth="1"/>
    <col min="13941" max="13941" width="16.25" style="877" customWidth="1"/>
    <col min="13942" max="13942" width="15" style="877" customWidth="1"/>
    <col min="13943" max="13943" width="9.125" style="877"/>
    <col min="13944" max="13944" width="13.375" style="877" bestFit="1" customWidth="1"/>
    <col min="13945" max="14016" width="9.125" style="877"/>
    <col min="14017" max="14017" width="3.75" style="877" customWidth="1"/>
    <col min="14018" max="14018" width="17" style="877" customWidth="1"/>
    <col min="14019" max="14019" width="13" style="877" customWidth="1"/>
    <col min="14020" max="14020" width="18.75" style="877" customWidth="1"/>
    <col min="14021" max="14021" width="14.125" style="877" customWidth="1"/>
    <col min="14022" max="14022" width="12.875" style="877" customWidth="1"/>
    <col min="14023" max="14023" width="11.75" style="877" customWidth="1"/>
    <col min="14024" max="14024" width="12.875" style="877" customWidth="1"/>
    <col min="14025" max="14025" width="14.875" style="877" customWidth="1"/>
    <col min="14026" max="14026" width="13" style="877" customWidth="1"/>
    <col min="14027" max="14027" width="11.25" style="877" customWidth="1"/>
    <col min="14028" max="14028" width="14.875" style="877" customWidth="1"/>
    <col min="14029" max="14029" width="14.375" style="877" customWidth="1"/>
    <col min="14030" max="14030" width="13.375" style="877" customWidth="1"/>
    <col min="14031" max="14031" width="11.375" style="877" customWidth="1"/>
    <col min="14032" max="14032" width="12.875" style="877" customWidth="1"/>
    <col min="14033" max="14033" width="11.375" style="877" customWidth="1"/>
    <col min="14034" max="14034" width="13.125" style="877" customWidth="1"/>
    <col min="14035" max="14035" width="12.125" style="877" customWidth="1"/>
    <col min="14036" max="14036" width="13.875" style="877" customWidth="1"/>
    <col min="14037" max="14037" width="14" style="877" customWidth="1"/>
    <col min="14038" max="14038" width="13.25" style="877" customWidth="1"/>
    <col min="14039" max="14039" width="11.375" style="877" customWidth="1"/>
    <col min="14040" max="14040" width="14.75" style="877" bestFit="1" customWidth="1"/>
    <col min="14041" max="14041" width="13.25" style="877" customWidth="1"/>
    <col min="14042" max="14043" width="14.625" style="877" customWidth="1"/>
    <col min="14044" max="14046" width="13.125" style="877" customWidth="1"/>
    <col min="14047" max="14083" width="17.25" style="877" customWidth="1"/>
    <col min="14084" max="14084" width="14.75" style="877" bestFit="1" customWidth="1"/>
    <col min="14085" max="14085" width="13.75" style="877" customWidth="1"/>
    <col min="14086" max="14086" width="15.25" style="877" customWidth="1"/>
    <col min="14087" max="14087" width="13.125" style="877" customWidth="1"/>
    <col min="14088" max="14088" width="11.875" style="877" customWidth="1"/>
    <col min="14089" max="14089" width="13.25" style="877" customWidth="1"/>
    <col min="14090" max="14090" width="12.625" style="877" customWidth="1"/>
    <col min="14091" max="14091" width="13" style="877" bestFit="1" customWidth="1"/>
    <col min="14092" max="14092" width="13.375" style="877" bestFit="1" customWidth="1"/>
    <col min="14093" max="14093" width="19.375" style="877" customWidth="1"/>
    <col min="14094" max="14094" width="12.75" style="877" bestFit="1" customWidth="1"/>
    <col min="14095" max="14095" width="13" style="877" bestFit="1" customWidth="1"/>
    <col min="14096" max="14096" width="13.375" style="877" bestFit="1" customWidth="1"/>
    <col min="14097" max="14097" width="16.625" style="877" customWidth="1"/>
    <col min="14098" max="14098" width="13.125" style="877" customWidth="1"/>
    <col min="14099" max="14099" width="15.125" style="877" bestFit="1" customWidth="1"/>
    <col min="14100" max="14100" width="16.625" style="877" bestFit="1" customWidth="1"/>
    <col min="14101" max="14101" width="14.375" style="877" customWidth="1"/>
    <col min="14102" max="14102" width="13.25" style="877" bestFit="1" customWidth="1"/>
    <col min="14103" max="14103" width="13" style="877" bestFit="1" customWidth="1"/>
    <col min="14104" max="14111" width="13" style="877" customWidth="1"/>
    <col min="14112" max="14112" width="13" style="877" bestFit="1" customWidth="1"/>
    <col min="14113" max="14113" width="15.875" style="877" customWidth="1"/>
    <col min="14114" max="14114" width="12.75" style="877" bestFit="1" customWidth="1"/>
    <col min="14115" max="14116" width="13" style="877" bestFit="1" customWidth="1"/>
    <col min="14117" max="14117" width="14.375" style="877" customWidth="1"/>
    <col min="14118" max="14118" width="12.75" style="877" bestFit="1" customWidth="1"/>
    <col min="14119" max="14120" width="13" style="877" bestFit="1" customWidth="1"/>
    <col min="14121" max="14121" width="15.125" style="877" customWidth="1"/>
    <col min="14122" max="14124" width="13" style="877" bestFit="1" customWidth="1"/>
    <col min="14125" max="14125" width="13.75" style="877" customWidth="1"/>
    <col min="14126" max="14127" width="13" style="877" bestFit="1" customWidth="1"/>
    <col min="14128" max="14128" width="13.125" style="877" customWidth="1"/>
    <col min="14129" max="14129" width="15.875" style="877" customWidth="1"/>
    <col min="14130" max="14130" width="13" style="877" customWidth="1"/>
    <col min="14131" max="14131" width="13" style="877" bestFit="1" customWidth="1"/>
    <col min="14132" max="14132" width="21" style="877" customWidth="1"/>
    <col min="14133" max="14133" width="15.75" style="877" customWidth="1"/>
    <col min="14134" max="14134" width="13.375" style="877" customWidth="1"/>
    <col min="14135" max="14135" width="13" style="877" bestFit="1" customWidth="1"/>
    <col min="14136" max="14139" width="13" style="877" customWidth="1"/>
    <col min="14140" max="14140" width="13.375" style="877" bestFit="1" customWidth="1"/>
    <col min="14141" max="14141" width="14.375" style="877" customWidth="1"/>
    <col min="14142" max="14142" width="13.375" style="877" customWidth="1"/>
    <col min="14143" max="14147" width="12.625" style="877" customWidth="1"/>
    <col min="14148" max="14148" width="13.375" style="877" bestFit="1" customWidth="1"/>
    <col min="14149" max="14149" width="14" style="877" customWidth="1"/>
    <col min="14150" max="14150" width="13.375" style="877" bestFit="1" customWidth="1"/>
    <col min="14151" max="14151" width="13" style="877" bestFit="1" customWidth="1"/>
    <col min="14152" max="14153" width="13.75" style="877" customWidth="1"/>
    <col min="14154" max="14154" width="13.125" style="877" customWidth="1"/>
    <col min="14155" max="14155" width="12.25" style="877" customWidth="1"/>
    <col min="14156" max="14156" width="13.375" style="877" bestFit="1" customWidth="1"/>
    <col min="14157" max="14157" width="17" style="877" customWidth="1"/>
    <col min="14158" max="14158" width="13.25" style="877" bestFit="1" customWidth="1"/>
    <col min="14159" max="14159" width="13" style="877" bestFit="1" customWidth="1"/>
    <col min="14160" max="14160" width="12.75" style="877" bestFit="1" customWidth="1"/>
    <col min="14161" max="14161" width="14.75" style="877" customWidth="1"/>
    <col min="14162" max="14162" width="11.875" style="877" bestFit="1" customWidth="1"/>
    <col min="14163" max="14163" width="13" style="877" bestFit="1" customWidth="1"/>
    <col min="14164" max="14164" width="15.125" style="877" bestFit="1" customWidth="1"/>
    <col min="14165" max="14165" width="14" style="877" customWidth="1"/>
    <col min="14166" max="14166" width="12" style="877" bestFit="1" customWidth="1"/>
    <col min="14167" max="14167" width="11.375" style="877" customWidth="1"/>
    <col min="14168" max="14168" width="12.75" style="877" bestFit="1" customWidth="1"/>
    <col min="14169" max="14169" width="11.375" style="877" customWidth="1"/>
    <col min="14170" max="14171" width="13" style="877" bestFit="1" customWidth="1"/>
    <col min="14172" max="14172" width="12.75" style="877" bestFit="1" customWidth="1"/>
    <col min="14173" max="14173" width="18.25" style="877" customWidth="1"/>
    <col min="14174" max="14174" width="12.625" style="877" bestFit="1" customWidth="1"/>
    <col min="14175" max="14175" width="13" style="877" bestFit="1" customWidth="1"/>
    <col min="14176" max="14176" width="13" style="877" customWidth="1"/>
    <col min="14177" max="14177" width="14.375" style="877" customWidth="1"/>
    <col min="14178" max="14179" width="13" style="877" customWidth="1"/>
    <col min="14180" max="14180" width="13.25" style="877" customWidth="1"/>
    <col min="14181" max="14181" width="15.75" style="877" customWidth="1"/>
    <col min="14182" max="14182" width="12" style="877" bestFit="1" customWidth="1"/>
    <col min="14183" max="14184" width="12.25" style="877" customWidth="1"/>
    <col min="14185" max="14185" width="15.875" style="877" customWidth="1"/>
    <col min="14186" max="14188" width="12.25" style="877" customWidth="1"/>
    <col min="14189" max="14189" width="14.875" style="877" customWidth="1"/>
    <col min="14190" max="14192" width="12.25" style="877" customWidth="1"/>
    <col min="14193" max="14193" width="13.75" style="877" customWidth="1"/>
    <col min="14194" max="14195" width="12.25" style="877" customWidth="1"/>
    <col min="14196" max="14196" width="18.125" style="877" customWidth="1"/>
    <col min="14197" max="14197" width="16.25" style="877" customWidth="1"/>
    <col min="14198" max="14198" width="15" style="877" customWidth="1"/>
    <col min="14199" max="14199" width="9.125" style="877"/>
    <col min="14200" max="14200" width="13.375" style="877" bestFit="1" customWidth="1"/>
    <col min="14201" max="14272" width="9.125" style="877"/>
    <col min="14273" max="14273" width="3.75" style="877" customWidth="1"/>
    <col min="14274" max="14274" width="17" style="877" customWidth="1"/>
    <col min="14275" max="14275" width="13" style="877" customWidth="1"/>
    <col min="14276" max="14276" width="18.75" style="877" customWidth="1"/>
    <col min="14277" max="14277" width="14.125" style="877" customWidth="1"/>
    <col min="14278" max="14278" width="12.875" style="877" customWidth="1"/>
    <col min="14279" max="14279" width="11.75" style="877" customWidth="1"/>
    <col min="14280" max="14280" width="12.875" style="877" customWidth="1"/>
    <col min="14281" max="14281" width="14.875" style="877" customWidth="1"/>
    <col min="14282" max="14282" width="13" style="877" customWidth="1"/>
    <col min="14283" max="14283" width="11.25" style="877" customWidth="1"/>
    <col min="14284" max="14284" width="14.875" style="877" customWidth="1"/>
    <col min="14285" max="14285" width="14.375" style="877" customWidth="1"/>
    <col min="14286" max="14286" width="13.375" style="877" customWidth="1"/>
    <col min="14287" max="14287" width="11.375" style="877" customWidth="1"/>
    <col min="14288" max="14288" width="12.875" style="877" customWidth="1"/>
    <col min="14289" max="14289" width="11.375" style="877" customWidth="1"/>
    <col min="14290" max="14290" width="13.125" style="877" customWidth="1"/>
    <col min="14291" max="14291" width="12.125" style="877" customWidth="1"/>
    <col min="14292" max="14292" width="13.875" style="877" customWidth="1"/>
    <col min="14293" max="14293" width="14" style="877" customWidth="1"/>
    <col min="14294" max="14294" width="13.25" style="877" customWidth="1"/>
    <col min="14295" max="14295" width="11.375" style="877" customWidth="1"/>
    <col min="14296" max="14296" width="14.75" style="877" bestFit="1" customWidth="1"/>
    <col min="14297" max="14297" width="13.25" style="877" customWidth="1"/>
    <col min="14298" max="14299" width="14.625" style="877" customWidth="1"/>
    <col min="14300" max="14302" width="13.125" style="877" customWidth="1"/>
    <col min="14303" max="14339" width="17.25" style="877" customWidth="1"/>
    <col min="14340" max="14340" width="14.75" style="877" bestFit="1" customWidth="1"/>
    <col min="14341" max="14341" width="13.75" style="877" customWidth="1"/>
    <col min="14342" max="14342" width="15.25" style="877" customWidth="1"/>
    <col min="14343" max="14343" width="13.125" style="877" customWidth="1"/>
    <col min="14344" max="14344" width="11.875" style="877" customWidth="1"/>
    <col min="14345" max="14345" width="13.25" style="877" customWidth="1"/>
    <col min="14346" max="14346" width="12.625" style="877" customWidth="1"/>
    <col min="14347" max="14347" width="13" style="877" bestFit="1" customWidth="1"/>
    <col min="14348" max="14348" width="13.375" style="877" bestFit="1" customWidth="1"/>
    <col min="14349" max="14349" width="19.375" style="877" customWidth="1"/>
    <col min="14350" max="14350" width="12.75" style="877" bestFit="1" customWidth="1"/>
    <col min="14351" max="14351" width="13" style="877" bestFit="1" customWidth="1"/>
    <col min="14352" max="14352" width="13.375" style="877" bestFit="1" customWidth="1"/>
    <col min="14353" max="14353" width="16.625" style="877" customWidth="1"/>
    <col min="14354" max="14354" width="13.125" style="877" customWidth="1"/>
    <col min="14355" max="14355" width="15.125" style="877" bestFit="1" customWidth="1"/>
    <col min="14356" max="14356" width="16.625" style="877" bestFit="1" customWidth="1"/>
    <col min="14357" max="14357" width="14.375" style="877" customWidth="1"/>
    <col min="14358" max="14358" width="13.25" style="877" bestFit="1" customWidth="1"/>
    <col min="14359" max="14359" width="13" style="877" bestFit="1" customWidth="1"/>
    <col min="14360" max="14367" width="13" style="877" customWidth="1"/>
    <col min="14368" max="14368" width="13" style="877" bestFit="1" customWidth="1"/>
    <col min="14369" max="14369" width="15.875" style="877" customWidth="1"/>
    <col min="14370" max="14370" width="12.75" style="877" bestFit="1" customWidth="1"/>
    <col min="14371" max="14372" width="13" style="877" bestFit="1" customWidth="1"/>
    <col min="14373" max="14373" width="14.375" style="877" customWidth="1"/>
    <col min="14374" max="14374" width="12.75" style="877" bestFit="1" customWidth="1"/>
    <col min="14375" max="14376" width="13" style="877" bestFit="1" customWidth="1"/>
    <col min="14377" max="14377" width="15.125" style="877" customWidth="1"/>
    <col min="14378" max="14380" width="13" style="877" bestFit="1" customWidth="1"/>
    <col min="14381" max="14381" width="13.75" style="877" customWidth="1"/>
    <col min="14382" max="14383" width="13" style="877" bestFit="1" customWidth="1"/>
    <col min="14384" max="14384" width="13.125" style="877" customWidth="1"/>
    <col min="14385" max="14385" width="15.875" style="877" customWidth="1"/>
    <col min="14386" max="14386" width="13" style="877" customWidth="1"/>
    <col min="14387" max="14387" width="13" style="877" bestFit="1" customWidth="1"/>
    <col min="14388" max="14388" width="21" style="877" customWidth="1"/>
    <col min="14389" max="14389" width="15.75" style="877" customWidth="1"/>
    <col min="14390" max="14390" width="13.375" style="877" customWidth="1"/>
    <col min="14391" max="14391" width="13" style="877" bestFit="1" customWidth="1"/>
    <col min="14392" max="14395" width="13" style="877" customWidth="1"/>
    <col min="14396" max="14396" width="13.375" style="877" bestFit="1" customWidth="1"/>
    <col min="14397" max="14397" width="14.375" style="877" customWidth="1"/>
    <col min="14398" max="14398" width="13.375" style="877" customWidth="1"/>
    <col min="14399" max="14403" width="12.625" style="877" customWidth="1"/>
    <col min="14404" max="14404" width="13.375" style="877" bestFit="1" customWidth="1"/>
    <col min="14405" max="14405" width="14" style="877" customWidth="1"/>
    <col min="14406" max="14406" width="13.375" style="877" bestFit="1" customWidth="1"/>
    <col min="14407" max="14407" width="13" style="877" bestFit="1" customWidth="1"/>
    <col min="14408" max="14409" width="13.75" style="877" customWidth="1"/>
    <col min="14410" max="14410" width="13.125" style="877" customWidth="1"/>
    <col min="14411" max="14411" width="12.25" style="877" customWidth="1"/>
    <col min="14412" max="14412" width="13.375" style="877" bestFit="1" customWidth="1"/>
    <col min="14413" max="14413" width="17" style="877" customWidth="1"/>
    <col min="14414" max="14414" width="13.25" style="877" bestFit="1" customWidth="1"/>
    <col min="14415" max="14415" width="13" style="877" bestFit="1" customWidth="1"/>
    <col min="14416" max="14416" width="12.75" style="877" bestFit="1" customWidth="1"/>
    <col min="14417" max="14417" width="14.75" style="877" customWidth="1"/>
    <col min="14418" max="14418" width="11.875" style="877" bestFit="1" customWidth="1"/>
    <col min="14419" max="14419" width="13" style="877" bestFit="1" customWidth="1"/>
    <col min="14420" max="14420" width="15.125" style="877" bestFit="1" customWidth="1"/>
    <col min="14421" max="14421" width="14" style="877" customWidth="1"/>
    <col min="14422" max="14422" width="12" style="877" bestFit="1" customWidth="1"/>
    <col min="14423" max="14423" width="11.375" style="877" customWidth="1"/>
    <col min="14424" max="14424" width="12.75" style="877" bestFit="1" customWidth="1"/>
    <col min="14425" max="14425" width="11.375" style="877" customWidth="1"/>
    <col min="14426" max="14427" width="13" style="877" bestFit="1" customWidth="1"/>
    <col min="14428" max="14428" width="12.75" style="877" bestFit="1" customWidth="1"/>
    <col min="14429" max="14429" width="18.25" style="877" customWidth="1"/>
    <col min="14430" max="14430" width="12.625" style="877" bestFit="1" customWidth="1"/>
    <col min="14431" max="14431" width="13" style="877" bestFit="1" customWidth="1"/>
    <col min="14432" max="14432" width="13" style="877" customWidth="1"/>
    <col min="14433" max="14433" width="14.375" style="877" customWidth="1"/>
    <col min="14434" max="14435" width="13" style="877" customWidth="1"/>
    <col min="14436" max="14436" width="13.25" style="877" customWidth="1"/>
    <col min="14437" max="14437" width="15.75" style="877" customWidth="1"/>
    <col min="14438" max="14438" width="12" style="877" bestFit="1" customWidth="1"/>
    <col min="14439" max="14440" width="12.25" style="877" customWidth="1"/>
    <col min="14441" max="14441" width="15.875" style="877" customWidth="1"/>
    <col min="14442" max="14444" width="12.25" style="877" customWidth="1"/>
    <col min="14445" max="14445" width="14.875" style="877" customWidth="1"/>
    <col min="14446" max="14448" width="12.25" style="877" customWidth="1"/>
    <col min="14449" max="14449" width="13.75" style="877" customWidth="1"/>
    <col min="14450" max="14451" width="12.25" style="877" customWidth="1"/>
    <col min="14452" max="14452" width="18.125" style="877" customWidth="1"/>
    <col min="14453" max="14453" width="16.25" style="877" customWidth="1"/>
    <col min="14454" max="14454" width="15" style="877" customWidth="1"/>
    <col min="14455" max="14455" width="9.125" style="877"/>
    <col min="14456" max="14456" width="13.375" style="877" bestFit="1" customWidth="1"/>
    <col min="14457" max="14528" width="9.125" style="877"/>
    <col min="14529" max="14529" width="3.75" style="877" customWidth="1"/>
    <col min="14530" max="14530" width="17" style="877" customWidth="1"/>
    <col min="14531" max="14531" width="13" style="877" customWidth="1"/>
    <col min="14532" max="14532" width="18.75" style="877" customWidth="1"/>
    <col min="14533" max="14533" width="14.125" style="877" customWidth="1"/>
    <col min="14534" max="14534" width="12.875" style="877" customWidth="1"/>
    <col min="14535" max="14535" width="11.75" style="877" customWidth="1"/>
    <col min="14536" max="14536" width="12.875" style="877" customWidth="1"/>
    <col min="14537" max="14537" width="14.875" style="877" customWidth="1"/>
    <col min="14538" max="14538" width="13" style="877" customWidth="1"/>
    <col min="14539" max="14539" width="11.25" style="877" customWidth="1"/>
    <col min="14540" max="14540" width="14.875" style="877" customWidth="1"/>
    <col min="14541" max="14541" width="14.375" style="877" customWidth="1"/>
    <col min="14542" max="14542" width="13.375" style="877" customWidth="1"/>
    <col min="14543" max="14543" width="11.375" style="877" customWidth="1"/>
    <col min="14544" max="14544" width="12.875" style="877" customWidth="1"/>
    <col min="14545" max="14545" width="11.375" style="877" customWidth="1"/>
    <col min="14546" max="14546" width="13.125" style="877" customWidth="1"/>
    <col min="14547" max="14547" width="12.125" style="877" customWidth="1"/>
    <col min="14548" max="14548" width="13.875" style="877" customWidth="1"/>
    <col min="14549" max="14549" width="14" style="877" customWidth="1"/>
    <col min="14550" max="14550" width="13.25" style="877" customWidth="1"/>
    <col min="14551" max="14551" width="11.375" style="877" customWidth="1"/>
    <col min="14552" max="14552" width="14.75" style="877" bestFit="1" customWidth="1"/>
    <col min="14553" max="14553" width="13.25" style="877" customWidth="1"/>
    <col min="14554" max="14555" width="14.625" style="877" customWidth="1"/>
    <col min="14556" max="14558" width="13.125" style="877" customWidth="1"/>
    <col min="14559" max="14595" width="17.25" style="877" customWidth="1"/>
    <col min="14596" max="14596" width="14.75" style="877" bestFit="1" customWidth="1"/>
    <col min="14597" max="14597" width="13.75" style="877" customWidth="1"/>
    <col min="14598" max="14598" width="15.25" style="877" customWidth="1"/>
    <col min="14599" max="14599" width="13.125" style="877" customWidth="1"/>
    <col min="14600" max="14600" width="11.875" style="877" customWidth="1"/>
    <col min="14601" max="14601" width="13.25" style="877" customWidth="1"/>
    <col min="14602" max="14602" width="12.625" style="877" customWidth="1"/>
    <col min="14603" max="14603" width="13" style="877" bestFit="1" customWidth="1"/>
    <col min="14604" max="14604" width="13.375" style="877" bestFit="1" customWidth="1"/>
    <col min="14605" max="14605" width="19.375" style="877" customWidth="1"/>
    <col min="14606" max="14606" width="12.75" style="877" bestFit="1" customWidth="1"/>
    <col min="14607" max="14607" width="13" style="877" bestFit="1" customWidth="1"/>
    <col min="14608" max="14608" width="13.375" style="877" bestFit="1" customWidth="1"/>
    <col min="14609" max="14609" width="16.625" style="877" customWidth="1"/>
    <col min="14610" max="14610" width="13.125" style="877" customWidth="1"/>
    <col min="14611" max="14611" width="15.125" style="877" bestFit="1" customWidth="1"/>
    <col min="14612" max="14612" width="16.625" style="877" bestFit="1" customWidth="1"/>
    <col min="14613" max="14613" width="14.375" style="877" customWidth="1"/>
    <col min="14614" max="14614" width="13.25" style="877" bestFit="1" customWidth="1"/>
    <col min="14615" max="14615" width="13" style="877" bestFit="1" customWidth="1"/>
    <col min="14616" max="14623" width="13" style="877" customWidth="1"/>
    <col min="14624" max="14624" width="13" style="877" bestFit="1" customWidth="1"/>
    <col min="14625" max="14625" width="15.875" style="877" customWidth="1"/>
    <col min="14626" max="14626" width="12.75" style="877" bestFit="1" customWidth="1"/>
    <col min="14627" max="14628" width="13" style="877" bestFit="1" customWidth="1"/>
    <col min="14629" max="14629" width="14.375" style="877" customWidth="1"/>
    <col min="14630" max="14630" width="12.75" style="877" bestFit="1" customWidth="1"/>
    <col min="14631" max="14632" width="13" style="877" bestFit="1" customWidth="1"/>
    <col min="14633" max="14633" width="15.125" style="877" customWidth="1"/>
    <col min="14634" max="14636" width="13" style="877" bestFit="1" customWidth="1"/>
    <col min="14637" max="14637" width="13.75" style="877" customWidth="1"/>
    <col min="14638" max="14639" width="13" style="877" bestFit="1" customWidth="1"/>
    <col min="14640" max="14640" width="13.125" style="877" customWidth="1"/>
    <col min="14641" max="14641" width="15.875" style="877" customWidth="1"/>
    <col min="14642" max="14642" width="13" style="877" customWidth="1"/>
    <col min="14643" max="14643" width="13" style="877" bestFit="1" customWidth="1"/>
    <col min="14644" max="14644" width="21" style="877" customWidth="1"/>
    <col min="14645" max="14645" width="15.75" style="877" customWidth="1"/>
    <col min="14646" max="14646" width="13.375" style="877" customWidth="1"/>
    <col min="14647" max="14647" width="13" style="877" bestFit="1" customWidth="1"/>
    <col min="14648" max="14651" width="13" style="877" customWidth="1"/>
    <col min="14652" max="14652" width="13.375" style="877" bestFit="1" customWidth="1"/>
    <col min="14653" max="14653" width="14.375" style="877" customWidth="1"/>
    <col min="14654" max="14654" width="13.375" style="877" customWidth="1"/>
    <col min="14655" max="14659" width="12.625" style="877" customWidth="1"/>
    <col min="14660" max="14660" width="13.375" style="877" bestFit="1" customWidth="1"/>
    <col min="14661" max="14661" width="14" style="877" customWidth="1"/>
    <col min="14662" max="14662" width="13.375" style="877" bestFit="1" customWidth="1"/>
    <col min="14663" max="14663" width="13" style="877" bestFit="1" customWidth="1"/>
    <col min="14664" max="14665" width="13.75" style="877" customWidth="1"/>
    <col min="14666" max="14666" width="13.125" style="877" customWidth="1"/>
    <col min="14667" max="14667" width="12.25" style="877" customWidth="1"/>
    <col min="14668" max="14668" width="13.375" style="877" bestFit="1" customWidth="1"/>
    <col min="14669" max="14669" width="17" style="877" customWidth="1"/>
    <col min="14670" max="14670" width="13.25" style="877" bestFit="1" customWidth="1"/>
    <col min="14671" max="14671" width="13" style="877" bestFit="1" customWidth="1"/>
    <col min="14672" max="14672" width="12.75" style="877" bestFit="1" customWidth="1"/>
    <col min="14673" max="14673" width="14.75" style="877" customWidth="1"/>
    <col min="14674" max="14674" width="11.875" style="877" bestFit="1" customWidth="1"/>
    <col min="14675" max="14675" width="13" style="877" bestFit="1" customWidth="1"/>
    <col min="14676" max="14676" width="15.125" style="877" bestFit="1" customWidth="1"/>
    <col min="14677" max="14677" width="14" style="877" customWidth="1"/>
    <col min="14678" max="14678" width="12" style="877" bestFit="1" customWidth="1"/>
    <col min="14679" max="14679" width="11.375" style="877" customWidth="1"/>
    <col min="14680" max="14680" width="12.75" style="877" bestFit="1" customWidth="1"/>
    <col min="14681" max="14681" width="11.375" style="877" customWidth="1"/>
    <col min="14682" max="14683" width="13" style="877" bestFit="1" customWidth="1"/>
    <col min="14684" max="14684" width="12.75" style="877" bestFit="1" customWidth="1"/>
    <col min="14685" max="14685" width="18.25" style="877" customWidth="1"/>
    <col min="14686" max="14686" width="12.625" style="877" bestFit="1" customWidth="1"/>
    <col min="14687" max="14687" width="13" style="877" bestFit="1" customWidth="1"/>
    <col min="14688" max="14688" width="13" style="877" customWidth="1"/>
    <col min="14689" max="14689" width="14.375" style="877" customWidth="1"/>
    <col min="14690" max="14691" width="13" style="877" customWidth="1"/>
    <col min="14692" max="14692" width="13.25" style="877" customWidth="1"/>
    <col min="14693" max="14693" width="15.75" style="877" customWidth="1"/>
    <col min="14694" max="14694" width="12" style="877" bestFit="1" customWidth="1"/>
    <col min="14695" max="14696" width="12.25" style="877" customWidth="1"/>
    <col min="14697" max="14697" width="15.875" style="877" customWidth="1"/>
    <col min="14698" max="14700" width="12.25" style="877" customWidth="1"/>
    <col min="14701" max="14701" width="14.875" style="877" customWidth="1"/>
    <col min="14702" max="14704" width="12.25" style="877" customWidth="1"/>
    <col min="14705" max="14705" width="13.75" style="877" customWidth="1"/>
    <col min="14706" max="14707" width="12.25" style="877" customWidth="1"/>
    <col min="14708" max="14708" width="18.125" style="877" customWidth="1"/>
    <col min="14709" max="14709" width="16.25" style="877" customWidth="1"/>
    <col min="14710" max="14710" width="15" style="877" customWidth="1"/>
    <col min="14711" max="14711" width="9.125" style="877"/>
    <col min="14712" max="14712" width="13.375" style="877" bestFit="1" customWidth="1"/>
    <col min="14713" max="14784" width="9.125" style="877"/>
    <col min="14785" max="14785" width="3.75" style="877" customWidth="1"/>
    <col min="14786" max="14786" width="17" style="877" customWidth="1"/>
    <col min="14787" max="14787" width="13" style="877" customWidth="1"/>
    <col min="14788" max="14788" width="18.75" style="877" customWidth="1"/>
    <col min="14789" max="14789" width="14.125" style="877" customWidth="1"/>
    <col min="14790" max="14790" width="12.875" style="877" customWidth="1"/>
    <col min="14791" max="14791" width="11.75" style="877" customWidth="1"/>
    <col min="14792" max="14792" width="12.875" style="877" customWidth="1"/>
    <col min="14793" max="14793" width="14.875" style="877" customWidth="1"/>
    <col min="14794" max="14794" width="13" style="877" customWidth="1"/>
    <col min="14795" max="14795" width="11.25" style="877" customWidth="1"/>
    <col min="14796" max="14796" width="14.875" style="877" customWidth="1"/>
    <col min="14797" max="14797" width="14.375" style="877" customWidth="1"/>
    <col min="14798" max="14798" width="13.375" style="877" customWidth="1"/>
    <col min="14799" max="14799" width="11.375" style="877" customWidth="1"/>
    <col min="14800" max="14800" width="12.875" style="877" customWidth="1"/>
    <col min="14801" max="14801" width="11.375" style="877" customWidth="1"/>
    <col min="14802" max="14802" width="13.125" style="877" customWidth="1"/>
    <col min="14803" max="14803" width="12.125" style="877" customWidth="1"/>
    <col min="14804" max="14804" width="13.875" style="877" customWidth="1"/>
    <col min="14805" max="14805" width="14" style="877" customWidth="1"/>
    <col min="14806" max="14806" width="13.25" style="877" customWidth="1"/>
    <col min="14807" max="14807" width="11.375" style="877" customWidth="1"/>
    <col min="14808" max="14808" width="14.75" style="877" bestFit="1" customWidth="1"/>
    <col min="14809" max="14809" width="13.25" style="877" customWidth="1"/>
    <col min="14810" max="14811" width="14.625" style="877" customWidth="1"/>
    <col min="14812" max="14814" width="13.125" style="877" customWidth="1"/>
    <col min="14815" max="14851" width="17.25" style="877" customWidth="1"/>
    <col min="14852" max="14852" width="14.75" style="877" bestFit="1" customWidth="1"/>
    <col min="14853" max="14853" width="13.75" style="877" customWidth="1"/>
    <col min="14854" max="14854" width="15.25" style="877" customWidth="1"/>
    <col min="14855" max="14855" width="13.125" style="877" customWidth="1"/>
    <col min="14856" max="14856" width="11.875" style="877" customWidth="1"/>
    <col min="14857" max="14857" width="13.25" style="877" customWidth="1"/>
    <col min="14858" max="14858" width="12.625" style="877" customWidth="1"/>
    <col min="14859" max="14859" width="13" style="877" bestFit="1" customWidth="1"/>
    <col min="14860" max="14860" width="13.375" style="877" bestFit="1" customWidth="1"/>
    <col min="14861" max="14861" width="19.375" style="877" customWidth="1"/>
    <col min="14862" max="14862" width="12.75" style="877" bestFit="1" customWidth="1"/>
    <col min="14863" max="14863" width="13" style="877" bestFit="1" customWidth="1"/>
    <col min="14864" max="14864" width="13.375" style="877" bestFit="1" customWidth="1"/>
    <col min="14865" max="14865" width="16.625" style="877" customWidth="1"/>
    <col min="14866" max="14866" width="13.125" style="877" customWidth="1"/>
    <col min="14867" max="14867" width="15.125" style="877" bestFit="1" customWidth="1"/>
    <col min="14868" max="14868" width="16.625" style="877" bestFit="1" customWidth="1"/>
    <col min="14869" max="14869" width="14.375" style="877" customWidth="1"/>
    <col min="14870" max="14870" width="13.25" style="877" bestFit="1" customWidth="1"/>
    <col min="14871" max="14871" width="13" style="877" bestFit="1" customWidth="1"/>
    <col min="14872" max="14879" width="13" style="877" customWidth="1"/>
    <col min="14880" max="14880" width="13" style="877" bestFit="1" customWidth="1"/>
    <col min="14881" max="14881" width="15.875" style="877" customWidth="1"/>
    <col min="14882" max="14882" width="12.75" style="877" bestFit="1" customWidth="1"/>
    <col min="14883" max="14884" width="13" style="877" bestFit="1" customWidth="1"/>
    <col min="14885" max="14885" width="14.375" style="877" customWidth="1"/>
    <col min="14886" max="14886" width="12.75" style="877" bestFit="1" customWidth="1"/>
    <col min="14887" max="14888" width="13" style="877" bestFit="1" customWidth="1"/>
    <col min="14889" max="14889" width="15.125" style="877" customWidth="1"/>
    <col min="14890" max="14892" width="13" style="877" bestFit="1" customWidth="1"/>
    <col min="14893" max="14893" width="13.75" style="877" customWidth="1"/>
    <col min="14894" max="14895" width="13" style="877" bestFit="1" customWidth="1"/>
    <col min="14896" max="14896" width="13.125" style="877" customWidth="1"/>
    <col min="14897" max="14897" width="15.875" style="877" customWidth="1"/>
    <col min="14898" max="14898" width="13" style="877" customWidth="1"/>
    <col min="14899" max="14899" width="13" style="877" bestFit="1" customWidth="1"/>
    <col min="14900" max="14900" width="21" style="877" customWidth="1"/>
    <col min="14901" max="14901" width="15.75" style="877" customWidth="1"/>
    <col min="14902" max="14902" width="13.375" style="877" customWidth="1"/>
    <col min="14903" max="14903" width="13" style="877" bestFit="1" customWidth="1"/>
    <col min="14904" max="14907" width="13" style="877" customWidth="1"/>
    <col min="14908" max="14908" width="13.375" style="877" bestFit="1" customWidth="1"/>
    <col min="14909" max="14909" width="14.375" style="877" customWidth="1"/>
    <col min="14910" max="14910" width="13.375" style="877" customWidth="1"/>
    <col min="14911" max="14915" width="12.625" style="877" customWidth="1"/>
    <col min="14916" max="14916" width="13.375" style="877" bestFit="1" customWidth="1"/>
    <col min="14917" max="14917" width="14" style="877" customWidth="1"/>
    <col min="14918" max="14918" width="13.375" style="877" bestFit="1" customWidth="1"/>
    <col min="14919" max="14919" width="13" style="877" bestFit="1" customWidth="1"/>
    <col min="14920" max="14921" width="13.75" style="877" customWidth="1"/>
    <col min="14922" max="14922" width="13.125" style="877" customWidth="1"/>
    <col min="14923" max="14923" width="12.25" style="877" customWidth="1"/>
    <col min="14924" max="14924" width="13.375" style="877" bestFit="1" customWidth="1"/>
    <col min="14925" max="14925" width="17" style="877" customWidth="1"/>
    <col min="14926" max="14926" width="13.25" style="877" bestFit="1" customWidth="1"/>
    <col min="14927" max="14927" width="13" style="877" bestFit="1" customWidth="1"/>
    <col min="14928" max="14928" width="12.75" style="877" bestFit="1" customWidth="1"/>
    <col min="14929" max="14929" width="14.75" style="877" customWidth="1"/>
    <col min="14930" max="14930" width="11.875" style="877" bestFit="1" customWidth="1"/>
    <col min="14931" max="14931" width="13" style="877" bestFit="1" customWidth="1"/>
    <col min="14932" max="14932" width="15.125" style="877" bestFit="1" customWidth="1"/>
    <col min="14933" max="14933" width="14" style="877" customWidth="1"/>
    <col min="14934" max="14934" width="12" style="877" bestFit="1" customWidth="1"/>
    <col min="14935" max="14935" width="11.375" style="877" customWidth="1"/>
    <col min="14936" max="14936" width="12.75" style="877" bestFit="1" customWidth="1"/>
    <col min="14937" max="14937" width="11.375" style="877" customWidth="1"/>
    <col min="14938" max="14939" width="13" style="877" bestFit="1" customWidth="1"/>
    <col min="14940" max="14940" width="12.75" style="877" bestFit="1" customWidth="1"/>
    <col min="14941" max="14941" width="18.25" style="877" customWidth="1"/>
    <col min="14942" max="14942" width="12.625" style="877" bestFit="1" customWidth="1"/>
    <col min="14943" max="14943" width="13" style="877" bestFit="1" customWidth="1"/>
    <col min="14944" max="14944" width="13" style="877" customWidth="1"/>
    <col min="14945" max="14945" width="14.375" style="877" customWidth="1"/>
    <col min="14946" max="14947" width="13" style="877" customWidth="1"/>
    <col min="14948" max="14948" width="13.25" style="877" customWidth="1"/>
    <col min="14949" max="14949" width="15.75" style="877" customWidth="1"/>
    <col min="14950" max="14950" width="12" style="877" bestFit="1" customWidth="1"/>
    <col min="14951" max="14952" width="12.25" style="877" customWidth="1"/>
    <col min="14953" max="14953" width="15.875" style="877" customWidth="1"/>
    <col min="14954" max="14956" width="12.25" style="877" customWidth="1"/>
    <col min="14957" max="14957" width="14.875" style="877" customWidth="1"/>
    <col min="14958" max="14960" width="12.25" style="877" customWidth="1"/>
    <col min="14961" max="14961" width="13.75" style="877" customWidth="1"/>
    <col min="14962" max="14963" width="12.25" style="877" customWidth="1"/>
    <col min="14964" max="14964" width="18.125" style="877" customWidth="1"/>
    <col min="14965" max="14965" width="16.25" style="877" customWidth="1"/>
    <col min="14966" max="14966" width="15" style="877" customWidth="1"/>
    <col min="14967" max="14967" width="9.125" style="877"/>
    <col min="14968" max="14968" width="13.375" style="877" bestFit="1" customWidth="1"/>
    <col min="14969" max="15040" width="9.125" style="877"/>
    <col min="15041" max="15041" width="3.75" style="877" customWidth="1"/>
    <col min="15042" max="15042" width="17" style="877" customWidth="1"/>
    <col min="15043" max="15043" width="13" style="877" customWidth="1"/>
    <col min="15044" max="15044" width="18.75" style="877" customWidth="1"/>
    <col min="15045" max="15045" width="14.125" style="877" customWidth="1"/>
    <col min="15046" max="15046" width="12.875" style="877" customWidth="1"/>
    <col min="15047" max="15047" width="11.75" style="877" customWidth="1"/>
    <col min="15048" max="15048" width="12.875" style="877" customWidth="1"/>
    <col min="15049" max="15049" width="14.875" style="877" customWidth="1"/>
    <col min="15050" max="15050" width="13" style="877" customWidth="1"/>
    <col min="15051" max="15051" width="11.25" style="877" customWidth="1"/>
    <col min="15052" max="15052" width="14.875" style="877" customWidth="1"/>
    <col min="15053" max="15053" width="14.375" style="877" customWidth="1"/>
    <col min="15054" max="15054" width="13.375" style="877" customWidth="1"/>
    <col min="15055" max="15055" width="11.375" style="877" customWidth="1"/>
    <col min="15056" max="15056" width="12.875" style="877" customWidth="1"/>
    <col min="15057" max="15057" width="11.375" style="877" customWidth="1"/>
    <col min="15058" max="15058" width="13.125" style="877" customWidth="1"/>
    <col min="15059" max="15059" width="12.125" style="877" customWidth="1"/>
    <col min="15060" max="15060" width="13.875" style="877" customWidth="1"/>
    <col min="15061" max="15061" width="14" style="877" customWidth="1"/>
    <col min="15062" max="15062" width="13.25" style="877" customWidth="1"/>
    <col min="15063" max="15063" width="11.375" style="877" customWidth="1"/>
    <col min="15064" max="15064" width="14.75" style="877" bestFit="1" customWidth="1"/>
    <col min="15065" max="15065" width="13.25" style="877" customWidth="1"/>
    <col min="15066" max="15067" width="14.625" style="877" customWidth="1"/>
    <col min="15068" max="15070" width="13.125" style="877" customWidth="1"/>
    <col min="15071" max="15107" width="17.25" style="877" customWidth="1"/>
    <col min="15108" max="15108" width="14.75" style="877" bestFit="1" customWidth="1"/>
    <col min="15109" max="15109" width="13.75" style="877" customWidth="1"/>
    <col min="15110" max="15110" width="15.25" style="877" customWidth="1"/>
    <col min="15111" max="15111" width="13.125" style="877" customWidth="1"/>
    <col min="15112" max="15112" width="11.875" style="877" customWidth="1"/>
    <col min="15113" max="15113" width="13.25" style="877" customWidth="1"/>
    <col min="15114" max="15114" width="12.625" style="877" customWidth="1"/>
    <col min="15115" max="15115" width="13" style="877" bestFit="1" customWidth="1"/>
    <col min="15116" max="15116" width="13.375" style="877" bestFit="1" customWidth="1"/>
    <col min="15117" max="15117" width="19.375" style="877" customWidth="1"/>
    <col min="15118" max="15118" width="12.75" style="877" bestFit="1" customWidth="1"/>
    <col min="15119" max="15119" width="13" style="877" bestFit="1" customWidth="1"/>
    <col min="15120" max="15120" width="13.375" style="877" bestFit="1" customWidth="1"/>
    <col min="15121" max="15121" width="16.625" style="877" customWidth="1"/>
    <col min="15122" max="15122" width="13.125" style="877" customWidth="1"/>
    <col min="15123" max="15123" width="15.125" style="877" bestFit="1" customWidth="1"/>
    <col min="15124" max="15124" width="16.625" style="877" bestFit="1" customWidth="1"/>
    <col min="15125" max="15125" width="14.375" style="877" customWidth="1"/>
    <col min="15126" max="15126" width="13.25" style="877" bestFit="1" customWidth="1"/>
    <col min="15127" max="15127" width="13" style="877" bestFit="1" customWidth="1"/>
    <col min="15128" max="15135" width="13" style="877" customWidth="1"/>
    <col min="15136" max="15136" width="13" style="877" bestFit="1" customWidth="1"/>
    <col min="15137" max="15137" width="15.875" style="877" customWidth="1"/>
    <col min="15138" max="15138" width="12.75" style="877" bestFit="1" customWidth="1"/>
    <col min="15139" max="15140" width="13" style="877" bestFit="1" customWidth="1"/>
    <col min="15141" max="15141" width="14.375" style="877" customWidth="1"/>
    <col min="15142" max="15142" width="12.75" style="877" bestFit="1" customWidth="1"/>
    <col min="15143" max="15144" width="13" style="877" bestFit="1" customWidth="1"/>
    <col min="15145" max="15145" width="15.125" style="877" customWidth="1"/>
    <col min="15146" max="15148" width="13" style="877" bestFit="1" customWidth="1"/>
    <col min="15149" max="15149" width="13.75" style="877" customWidth="1"/>
    <col min="15150" max="15151" width="13" style="877" bestFit="1" customWidth="1"/>
    <col min="15152" max="15152" width="13.125" style="877" customWidth="1"/>
    <col min="15153" max="15153" width="15.875" style="877" customWidth="1"/>
    <col min="15154" max="15154" width="13" style="877" customWidth="1"/>
    <col min="15155" max="15155" width="13" style="877" bestFit="1" customWidth="1"/>
    <col min="15156" max="15156" width="21" style="877" customWidth="1"/>
    <col min="15157" max="15157" width="15.75" style="877" customWidth="1"/>
    <col min="15158" max="15158" width="13.375" style="877" customWidth="1"/>
    <col min="15159" max="15159" width="13" style="877" bestFit="1" customWidth="1"/>
    <col min="15160" max="15163" width="13" style="877" customWidth="1"/>
    <col min="15164" max="15164" width="13.375" style="877" bestFit="1" customWidth="1"/>
    <col min="15165" max="15165" width="14.375" style="877" customWidth="1"/>
    <col min="15166" max="15166" width="13.375" style="877" customWidth="1"/>
    <col min="15167" max="15171" width="12.625" style="877" customWidth="1"/>
    <col min="15172" max="15172" width="13.375" style="877" bestFit="1" customWidth="1"/>
    <col min="15173" max="15173" width="14" style="877" customWidth="1"/>
    <col min="15174" max="15174" width="13.375" style="877" bestFit="1" customWidth="1"/>
    <col min="15175" max="15175" width="13" style="877" bestFit="1" customWidth="1"/>
    <col min="15176" max="15177" width="13.75" style="877" customWidth="1"/>
    <col min="15178" max="15178" width="13.125" style="877" customWidth="1"/>
    <col min="15179" max="15179" width="12.25" style="877" customWidth="1"/>
    <col min="15180" max="15180" width="13.375" style="877" bestFit="1" customWidth="1"/>
    <col min="15181" max="15181" width="17" style="877" customWidth="1"/>
    <col min="15182" max="15182" width="13.25" style="877" bestFit="1" customWidth="1"/>
    <col min="15183" max="15183" width="13" style="877" bestFit="1" customWidth="1"/>
    <col min="15184" max="15184" width="12.75" style="877" bestFit="1" customWidth="1"/>
    <col min="15185" max="15185" width="14.75" style="877" customWidth="1"/>
    <col min="15186" max="15186" width="11.875" style="877" bestFit="1" customWidth="1"/>
    <col min="15187" max="15187" width="13" style="877" bestFit="1" customWidth="1"/>
    <col min="15188" max="15188" width="15.125" style="877" bestFit="1" customWidth="1"/>
    <col min="15189" max="15189" width="14" style="877" customWidth="1"/>
    <col min="15190" max="15190" width="12" style="877" bestFit="1" customWidth="1"/>
    <col min="15191" max="15191" width="11.375" style="877" customWidth="1"/>
    <col min="15192" max="15192" width="12.75" style="877" bestFit="1" customWidth="1"/>
    <col min="15193" max="15193" width="11.375" style="877" customWidth="1"/>
    <col min="15194" max="15195" width="13" style="877" bestFit="1" customWidth="1"/>
    <col min="15196" max="15196" width="12.75" style="877" bestFit="1" customWidth="1"/>
    <col min="15197" max="15197" width="18.25" style="877" customWidth="1"/>
    <col min="15198" max="15198" width="12.625" style="877" bestFit="1" customWidth="1"/>
    <col min="15199" max="15199" width="13" style="877" bestFit="1" customWidth="1"/>
    <col min="15200" max="15200" width="13" style="877" customWidth="1"/>
    <col min="15201" max="15201" width="14.375" style="877" customWidth="1"/>
    <col min="15202" max="15203" width="13" style="877" customWidth="1"/>
    <col min="15204" max="15204" width="13.25" style="877" customWidth="1"/>
    <col min="15205" max="15205" width="15.75" style="877" customWidth="1"/>
    <col min="15206" max="15206" width="12" style="877" bestFit="1" customWidth="1"/>
    <col min="15207" max="15208" width="12.25" style="877" customWidth="1"/>
    <col min="15209" max="15209" width="15.875" style="877" customWidth="1"/>
    <col min="15210" max="15212" width="12.25" style="877" customWidth="1"/>
    <col min="15213" max="15213" width="14.875" style="877" customWidth="1"/>
    <col min="15214" max="15216" width="12.25" style="877" customWidth="1"/>
    <col min="15217" max="15217" width="13.75" style="877" customWidth="1"/>
    <col min="15218" max="15219" width="12.25" style="877" customWidth="1"/>
    <col min="15220" max="15220" width="18.125" style="877" customWidth="1"/>
    <col min="15221" max="15221" width="16.25" style="877" customWidth="1"/>
    <col min="15222" max="15222" width="15" style="877" customWidth="1"/>
    <col min="15223" max="15223" width="9.125" style="877"/>
    <col min="15224" max="15224" width="13.375" style="877" bestFit="1" customWidth="1"/>
    <col min="15225" max="15296" width="9.125" style="877"/>
    <col min="15297" max="15297" width="3.75" style="877" customWidth="1"/>
    <col min="15298" max="15298" width="17" style="877" customWidth="1"/>
    <col min="15299" max="15299" width="13" style="877" customWidth="1"/>
    <col min="15300" max="15300" width="18.75" style="877" customWidth="1"/>
    <col min="15301" max="15301" width="14.125" style="877" customWidth="1"/>
    <col min="15302" max="15302" width="12.875" style="877" customWidth="1"/>
    <col min="15303" max="15303" width="11.75" style="877" customWidth="1"/>
    <col min="15304" max="15304" width="12.875" style="877" customWidth="1"/>
    <col min="15305" max="15305" width="14.875" style="877" customWidth="1"/>
    <col min="15306" max="15306" width="13" style="877" customWidth="1"/>
    <col min="15307" max="15307" width="11.25" style="877" customWidth="1"/>
    <col min="15308" max="15308" width="14.875" style="877" customWidth="1"/>
    <col min="15309" max="15309" width="14.375" style="877" customWidth="1"/>
    <col min="15310" max="15310" width="13.375" style="877" customWidth="1"/>
    <col min="15311" max="15311" width="11.375" style="877" customWidth="1"/>
    <col min="15312" max="15312" width="12.875" style="877" customWidth="1"/>
    <col min="15313" max="15313" width="11.375" style="877" customWidth="1"/>
    <col min="15314" max="15314" width="13.125" style="877" customWidth="1"/>
    <col min="15315" max="15315" width="12.125" style="877" customWidth="1"/>
    <col min="15316" max="15316" width="13.875" style="877" customWidth="1"/>
    <col min="15317" max="15317" width="14" style="877" customWidth="1"/>
    <col min="15318" max="15318" width="13.25" style="877" customWidth="1"/>
    <col min="15319" max="15319" width="11.375" style="877" customWidth="1"/>
    <col min="15320" max="15320" width="14.75" style="877" bestFit="1" customWidth="1"/>
    <col min="15321" max="15321" width="13.25" style="877" customWidth="1"/>
    <col min="15322" max="15323" width="14.625" style="877" customWidth="1"/>
    <col min="15324" max="15326" width="13.125" style="877" customWidth="1"/>
    <col min="15327" max="15363" width="17.25" style="877" customWidth="1"/>
    <col min="15364" max="15364" width="14.75" style="877" bestFit="1" customWidth="1"/>
    <col min="15365" max="15365" width="13.75" style="877" customWidth="1"/>
    <col min="15366" max="15366" width="15.25" style="877" customWidth="1"/>
    <col min="15367" max="15367" width="13.125" style="877" customWidth="1"/>
    <col min="15368" max="15368" width="11.875" style="877" customWidth="1"/>
    <col min="15369" max="15369" width="13.25" style="877" customWidth="1"/>
    <col min="15370" max="15370" width="12.625" style="877" customWidth="1"/>
    <col min="15371" max="15371" width="13" style="877" bestFit="1" customWidth="1"/>
    <col min="15372" max="15372" width="13.375" style="877" bestFit="1" customWidth="1"/>
    <col min="15373" max="15373" width="19.375" style="877" customWidth="1"/>
    <col min="15374" max="15374" width="12.75" style="877" bestFit="1" customWidth="1"/>
    <col min="15375" max="15375" width="13" style="877" bestFit="1" customWidth="1"/>
    <col min="15376" max="15376" width="13.375" style="877" bestFit="1" customWidth="1"/>
    <col min="15377" max="15377" width="16.625" style="877" customWidth="1"/>
    <col min="15378" max="15378" width="13.125" style="877" customWidth="1"/>
    <col min="15379" max="15379" width="15.125" style="877" bestFit="1" customWidth="1"/>
    <col min="15380" max="15380" width="16.625" style="877" bestFit="1" customWidth="1"/>
    <col min="15381" max="15381" width="14.375" style="877" customWidth="1"/>
    <col min="15382" max="15382" width="13.25" style="877" bestFit="1" customWidth="1"/>
    <col min="15383" max="15383" width="13" style="877" bestFit="1" customWidth="1"/>
    <col min="15384" max="15391" width="13" style="877" customWidth="1"/>
    <col min="15392" max="15392" width="13" style="877" bestFit="1" customWidth="1"/>
    <col min="15393" max="15393" width="15.875" style="877" customWidth="1"/>
    <col min="15394" max="15394" width="12.75" style="877" bestFit="1" customWidth="1"/>
    <col min="15395" max="15396" width="13" style="877" bestFit="1" customWidth="1"/>
    <col min="15397" max="15397" width="14.375" style="877" customWidth="1"/>
    <col min="15398" max="15398" width="12.75" style="877" bestFit="1" customWidth="1"/>
    <col min="15399" max="15400" width="13" style="877" bestFit="1" customWidth="1"/>
    <col min="15401" max="15401" width="15.125" style="877" customWidth="1"/>
    <col min="15402" max="15404" width="13" style="877" bestFit="1" customWidth="1"/>
    <col min="15405" max="15405" width="13.75" style="877" customWidth="1"/>
    <col min="15406" max="15407" width="13" style="877" bestFit="1" customWidth="1"/>
    <col min="15408" max="15408" width="13.125" style="877" customWidth="1"/>
    <col min="15409" max="15409" width="15.875" style="877" customWidth="1"/>
    <col min="15410" max="15410" width="13" style="877" customWidth="1"/>
    <col min="15411" max="15411" width="13" style="877" bestFit="1" customWidth="1"/>
    <col min="15412" max="15412" width="21" style="877" customWidth="1"/>
    <col min="15413" max="15413" width="15.75" style="877" customWidth="1"/>
    <col min="15414" max="15414" width="13.375" style="877" customWidth="1"/>
    <col min="15415" max="15415" width="13" style="877" bestFit="1" customWidth="1"/>
    <col min="15416" max="15419" width="13" style="877" customWidth="1"/>
    <col min="15420" max="15420" width="13.375" style="877" bestFit="1" customWidth="1"/>
    <col min="15421" max="15421" width="14.375" style="877" customWidth="1"/>
    <col min="15422" max="15422" width="13.375" style="877" customWidth="1"/>
    <col min="15423" max="15427" width="12.625" style="877" customWidth="1"/>
    <col min="15428" max="15428" width="13.375" style="877" bestFit="1" customWidth="1"/>
    <col min="15429" max="15429" width="14" style="877" customWidth="1"/>
    <col min="15430" max="15430" width="13.375" style="877" bestFit="1" customWidth="1"/>
    <col min="15431" max="15431" width="13" style="877" bestFit="1" customWidth="1"/>
    <col min="15432" max="15433" width="13.75" style="877" customWidth="1"/>
    <col min="15434" max="15434" width="13.125" style="877" customWidth="1"/>
    <col min="15435" max="15435" width="12.25" style="877" customWidth="1"/>
    <col min="15436" max="15436" width="13.375" style="877" bestFit="1" customWidth="1"/>
    <col min="15437" max="15437" width="17" style="877" customWidth="1"/>
    <col min="15438" max="15438" width="13.25" style="877" bestFit="1" customWidth="1"/>
    <col min="15439" max="15439" width="13" style="877" bestFit="1" customWidth="1"/>
    <col min="15440" max="15440" width="12.75" style="877" bestFit="1" customWidth="1"/>
    <col min="15441" max="15441" width="14.75" style="877" customWidth="1"/>
    <col min="15442" max="15442" width="11.875" style="877" bestFit="1" customWidth="1"/>
    <col min="15443" max="15443" width="13" style="877" bestFit="1" customWidth="1"/>
    <col min="15444" max="15444" width="15.125" style="877" bestFit="1" customWidth="1"/>
    <col min="15445" max="15445" width="14" style="877" customWidth="1"/>
    <col min="15446" max="15446" width="12" style="877" bestFit="1" customWidth="1"/>
    <col min="15447" max="15447" width="11.375" style="877" customWidth="1"/>
    <col min="15448" max="15448" width="12.75" style="877" bestFit="1" customWidth="1"/>
    <col min="15449" max="15449" width="11.375" style="877" customWidth="1"/>
    <col min="15450" max="15451" width="13" style="877" bestFit="1" customWidth="1"/>
    <col min="15452" max="15452" width="12.75" style="877" bestFit="1" customWidth="1"/>
    <col min="15453" max="15453" width="18.25" style="877" customWidth="1"/>
    <col min="15454" max="15454" width="12.625" style="877" bestFit="1" customWidth="1"/>
    <col min="15455" max="15455" width="13" style="877" bestFit="1" customWidth="1"/>
    <col min="15456" max="15456" width="13" style="877" customWidth="1"/>
    <col min="15457" max="15457" width="14.375" style="877" customWidth="1"/>
    <col min="15458" max="15459" width="13" style="877" customWidth="1"/>
    <col min="15460" max="15460" width="13.25" style="877" customWidth="1"/>
    <col min="15461" max="15461" width="15.75" style="877" customWidth="1"/>
    <col min="15462" max="15462" width="12" style="877" bestFit="1" customWidth="1"/>
    <col min="15463" max="15464" width="12.25" style="877" customWidth="1"/>
    <col min="15465" max="15465" width="15.875" style="877" customWidth="1"/>
    <col min="15466" max="15468" width="12.25" style="877" customWidth="1"/>
    <col min="15469" max="15469" width="14.875" style="877" customWidth="1"/>
    <col min="15470" max="15472" width="12.25" style="877" customWidth="1"/>
    <col min="15473" max="15473" width="13.75" style="877" customWidth="1"/>
    <col min="15474" max="15475" width="12.25" style="877" customWidth="1"/>
    <col min="15476" max="15476" width="18.125" style="877" customWidth="1"/>
    <col min="15477" max="15477" width="16.25" style="877" customWidth="1"/>
    <col min="15478" max="15478" width="15" style="877" customWidth="1"/>
    <col min="15479" max="15479" width="9.125" style="877"/>
    <col min="15480" max="15480" width="13.375" style="877" bestFit="1" customWidth="1"/>
    <col min="15481" max="15552" width="9.125" style="877"/>
    <col min="15553" max="15553" width="3.75" style="877" customWidth="1"/>
    <col min="15554" max="15554" width="17" style="877" customWidth="1"/>
    <col min="15555" max="15555" width="13" style="877" customWidth="1"/>
    <col min="15556" max="15556" width="18.75" style="877" customWidth="1"/>
    <col min="15557" max="15557" width="14.125" style="877" customWidth="1"/>
    <col min="15558" max="15558" width="12.875" style="877" customWidth="1"/>
    <col min="15559" max="15559" width="11.75" style="877" customWidth="1"/>
    <col min="15560" max="15560" width="12.875" style="877" customWidth="1"/>
    <col min="15561" max="15561" width="14.875" style="877" customWidth="1"/>
    <col min="15562" max="15562" width="13" style="877" customWidth="1"/>
    <col min="15563" max="15563" width="11.25" style="877" customWidth="1"/>
    <col min="15564" max="15564" width="14.875" style="877" customWidth="1"/>
    <col min="15565" max="15565" width="14.375" style="877" customWidth="1"/>
    <col min="15566" max="15566" width="13.375" style="877" customWidth="1"/>
    <col min="15567" max="15567" width="11.375" style="877" customWidth="1"/>
    <col min="15568" max="15568" width="12.875" style="877" customWidth="1"/>
    <col min="15569" max="15569" width="11.375" style="877" customWidth="1"/>
    <col min="15570" max="15570" width="13.125" style="877" customWidth="1"/>
    <col min="15571" max="15571" width="12.125" style="877" customWidth="1"/>
    <col min="15572" max="15572" width="13.875" style="877" customWidth="1"/>
    <col min="15573" max="15573" width="14" style="877" customWidth="1"/>
    <col min="15574" max="15574" width="13.25" style="877" customWidth="1"/>
    <col min="15575" max="15575" width="11.375" style="877" customWidth="1"/>
    <col min="15576" max="15576" width="14.75" style="877" bestFit="1" customWidth="1"/>
    <col min="15577" max="15577" width="13.25" style="877" customWidth="1"/>
    <col min="15578" max="15579" width="14.625" style="877" customWidth="1"/>
    <col min="15580" max="15582" width="13.125" style="877" customWidth="1"/>
    <col min="15583" max="15619" width="17.25" style="877" customWidth="1"/>
    <col min="15620" max="15620" width="14.75" style="877" bestFit="1" customWidth="1"/>
    <col min="15621" max="15621" width="13.75" style="877" customWidth="1"/>
    <col min="15622" max="15622" width="15.25" style="877" customWidth="1"/>
    <col min="15623" max="15623" width="13.125" style="877" customWidth="1"/>
    <col min="15624" max="15624" width="11.875" style="877" customWidth="1"/>
    <col min="15625" max="15625" width="13.25" style="877" customWidth="1"/>
    <col min="15626" max="15626" width="12.625" style="877" customWidth="1"/>
    <col min="15627" max="15627" width="13" style="877" bestFit="1" customWidth="1"/>
    <col min="15628" max="15628" width="13.375" style="877" bestFit="1" customWidth="1"/>
    <col min="15629" max="15629" width="19.375" style="877" customWidth="1"/>
    <col min="15630" max="15630" width="12.75" style="877" bestFit="1" customWidth="1"/>
    <col min="15631" max="15631" width="13" style="877" bestFit="1" customWidth="1"/>
    <col min="15632" max="15632" width="13.375" style="877" bestFit="1" customWidth="1"/>
    <col min="15633" max="15633" width="16.625" style="877" customWidth="1"/>
    <col min="15634" max="15634" width="13.125" style="877" customWidth="1"/>
    <col min="15635" max="15635" width="15.125" style="877" bestFit="1" customWidth="1"/>
    <col min="15636" max="15636" width="16.625" style="877" bestFit="1" customWidth="1"/>
    <col min="15637" max="15637" width="14.375" style="877" customWidth="1"/>
    <col min="15638" max="15638" width="13.25" style="877" bestFit="1" customWidth="1"/>
    <col min="15639" max="15639" width="13" style="877" bestFit="1" customWidth="1"/>
    <col min="15640" max="15647" width="13" style="877" customWidth="1"/>
    <col min="15648" max="15648" width="13" style="877" bestFit="1" customWidth="1"/>
    <col min="15649" max="15649" width="15.875" style="877" customWidth="1"/>
    <col min="15650" max="15650" width="12.75" style="877" bestFit="1" customWidth="1"/>
    <col min="15651" max="15652" width="13" style="877" bestFit="1" customWidth="1"/>
    <col min="15653" max="15653" width="14.375" style="877" customWidth="1"/>
    <col min="15654" max="15654" width="12.75" style="877" bestFit="1" customWidth="1"/>
    <col min="15655" max="15656" width="13" style="877" bestFit="1" customWidth="1"/>
    <col min="15657" max="15657" width="15.125" style="877" customWidth="1"/>
    <col min="15658" max="15660" width="13" style="877" bestFit="1" customWidth="1"/>
    <col min="15661" max="15661" width="13.75" style="877" customWidth="1"/>
    <col min="15662" max="15663" width="13" style="877" bestFit="1" customWidth="1"/>
    <col min="15664" max="15664" width="13.125" style="877" customWidth="1"/>
    <col min="15665" max="15665" width="15.875" style="877" customWidth="1"/>
    <col min="15666" max="15666" width="13" style="877" customWidth="1"/>
    <col min="15667" max="15667" width="13" style="877" bestFit="1" customWidth="1"/>
    <col min="15668" max="15668" width="21" style="877" customWidth="1"/>
    <col min="15669" max="15669" width="15.75" style="877" customWidth="1"/>
    <col min="15670" max="15670" width="13.375" style="877" customWidth="1"/>
    <col min="15671" max="15671" width="13" style="877" bestFit="1" customWidth="1"/>
    <col min="15672" max="15675" width="13" style="877" customWidth="1"/>
    <col min="15676" max="15676" width="13.375" style="877" bestFit="1" customWidth="1"/>
    <col min="15677" max="15677" width="14.375" style="877" customWidth="1"/>
    <col min="15678" max="15678" width="13.375" style="877" customWidth="1"/>
    <col min="15679" max="15683" width="12.625" style="877" customWidth="1"/>
    <col min="15684" max="15684" width="13.375" style="877" bestFit="1" customWidth="1"/>
    <col min="15685" max="15685" width="14" style="877" customWidth="1"/>
    <col min="15686" max="15686" width="13.375" style="877" bestFit="1" customWidth="1"/>
    <col min="15687" max="15687" width="13" style="877" bestFit="1" customWidth="1"/>
    <col min="15688" max="15689" width="13.75" style="877" customWidth="1"/>
    <col min="15690" max="15690" width="13.125" style="877" customWidth="1"/>
    <col min="15691" max="15691" width="12.25" style="877" customWidth="1"/>
    <col min="15692" max="15692" width="13.375" style="877" bestFit="1" customWidth="1"/>
    <col min="15693" max="15693" width="17" style="877" customWidth="1"/>
    <col min="15694" max="15694" width="13.25" style="877" bestFit="1" customWidth="1"/>
    <col min="15695" max="15695" width="13" style="877" bestFit="1" customWidth="1"/>
    <col min="15696" max="15696" width="12.75" style="877" bestFit="1" customWidth="1"/>
    <col min="15697" max="15697" width="14.75" style="877" customWidth="1"/>
    <col min="15698" max="15698" width="11.875" style="877" bestFit="1" customWidth="1"/>
    <col min="15699" max="15699" width="13" style="877" bestFit="1" customWidth="1"/>
    <col min="15700" max="15700" width="15.125" style="877" bestFit="1" customWidth="1"/>
    <col min="15701" max="15701" width="14" style="877" customWidth="1"/>
    <col min="15702" max="15702" width="12" style="877" bestFit="1" customWidth="1"/>
    <col min="15703" max="15703" width="11.375" style="877" customWidth="1"/>
    <col min="15704" max="15704" width="12.75" style="877" bestFit="1" customWidth="1"/>
    <col min="15705" max="15705" width="11.375" style="877" customWidth="1"/>
    <col min="15706" max="15707" width="13" style="877" bestFit="1" customWidth="1"/>
    <col min="15708" max="15708" width="12.75" style="877" bestFit="1" customWidth="1"/>
    <col min="15709" max="15709" width="18.25" style="877" customWidth="1"/>
    <col min="15710" max="15710" width="12.625" style="877" bestFit="1" customWidth="1"/>
    <col min="15711" max="15711" width="13" style="877" bestFit="1" customWidth="1"/>
    <col min="15712" max="15712" width="13" style="877" customWidth="1"/>
    <col min="15713" max="15713" width="14.375" style="877" customWidth="1"/>
    <col min="15714" max="15715" width="13" style="877" customWidth="1"/>
    <col min="15716" max="15716" width="13.25" style="877" customWidth="1"/>
    <col min="15717" max="15717" width="15.75" style="877" customWidth="1"/>
    <col min="15718" max="15718" width="12" style="877" bestFit="1" customWidth="1"/>
    <col min="15719" max="15720" width="12.25" style="877" customWidth="1"/>
    <col min="15721" max="15721" width="15.875" style="877" customWidth="1"/>
    <col min="15722" max="15724" width="12.25" style="877" customWidth="1"/>
    <col min="15725" max="15725" width="14.875" style="877" customWidth="1"/>
    <col min="15726" max="15728" width="12.25" style="877" customWidth="1"/>
    <col min="15729" max="15729" width="13.75" style="877" customWidth="1"/>
    <col min="15730" max="15731" width="12.25" style="877" customWidth="1"/>
    <col min="15732" max="15732" width="18.125" style="877" customWidth="1"/>
    <col min="15733" max="15733" width="16.25" style="877" customWidth="1"/>
    <col min="15734" max="15734" width="15" style="877" customWidth="1"/>
    <col min="15735" max="15735" width="9.125" style="877"/>
    <col min="15736" max="15736" width="13.375" style="877" bestFit="1" customWidth="1"/>
    <col min="15737" max="15808" width="9.125" style="877"/>
    <col min="15809" max="15809" width="3.75" style="877" customWidth="1"/>
    <col min="15810" max="15810" width="17" style="877" customWidth="1"/>
    <col min="15811" max="15811" width="13" style="877" customWidth="1"/>
    <col min="15812" max="15812" width="18.75" style="877" customWidth="1"/>
    <col min="15813" max="15813" width="14.125" style="877" customWidth="1"/>
    <col min="15814" max="15814" width="12.875" style="877" customWidth="1"/>
    <col min="15815" max="15815" width="11.75" style="877" customWidth="1"/>
    <col min="15816" max="15816" width="12.875" style="877" customWidth="1"/>
    <col min="15817" max="15817" width="14.875" style="877" customWidth="1"/>
    <col min="15818" max="15818" width="13" style="877" customWidth="1"/>
    <col min="15819" max="15819" width="11.25" style="877" customWidth="1"/>
    <col min="15820" max="15820" width="14.875" style="877" customWidth="1"/>
    <col min="15821" max="15821" width="14.375" style="877" customWidth="1"/>
    <col min="15822" max="15822" width="13.375" style="877" customWidth="1"/>
    <col min="15823" max="15823" width="11.375" style="877" customWidth="1"/>
    <col min="15824" max="15824" width="12.875" style="877" customWidth="1"/>
    <col min="15825" max="15825" width="11.375" style="877" customWidth="1"/>
    <col min="15826" max="15826" width="13.125" style="877" customWidth="1"/>
    <col min="15827" max="15827" width="12.125" style="877" customWidth="1"/>
    <col min="15828" max="15828" width="13.875" style="877" customWidth="1"/>
    <col min="15829" max="15829" width="14" style="877" customWidth="1"/>
    <col min="15830" max="15830" width="13.25" style="877" customWidth="1"/>
    <col min="15831" max="15831" width="11.375" style="877" customWidth="1"/>
    <col min="15832" max="15832" width="14.75" style="877" bestFit="1" customWidth="1"/>
    <col min="15833" max="15833" width="13.25" style="877" customWidth="1"/>
    <col min="15834" max="15835" width="14.625" style="877" customWidth="1"/>
    <col min="15836" max="15838" width="13.125" style="877" customWidth="1"/>
    <col min="15839" max="15875" width="17.25" style="877" customWidth="1"/>
    <col min="15876" max="15876" width="14.75" style="877" bestFit="1" customWidth="1"/>
    <col min="15877" max="15877" width="13.75" style="877" customWidth="1"/>
    <col min="15878" max="15878" width="15.25" style="877" customWidth="1"/>
    <col min="15879" max="15879" width="13.125" style="877" customWidth="1"/>
    <col min="15880" max="15880" width="11.875" style="877" customWidth="1"/>
    <col min="15881" max="15881" width="13.25" style="877" customWidth="1"/>
    <col min="15882" max="15882" width="12.625" style="877" customWidth="1"/>
    <col min="15883" max="15883" width="13" style="877" bestFit="1" customWidth="1"/>
    <col min="15884" max="15884" width="13.375" style="877" bestFit="1" customWidth="1"/>
    <col min="15885" max="15885" width="19.375" style="877" customWidth="1"/>
    <col min="15886" max="15886" width="12.75" style="877" bestFit="1" customWidth="1"/>
    <col min="15887" max="15887" width="13" style="877" bestFit="1" customWidth="1"/>
    <col min="15888" max="15888" width="13.375" style="877" bestFit="1" customWidth="1"/>
    <col min="15889" max="15889" width="16.625" style="877" customWidth="1"/>
    <col min="15890" max="15890" width="13.125" style="877" customWidth="1"/>
    <col min="15891" max="15891" width="15.125" style="877" bestFit="1" customWidth="1"/>
    <col min="15892" max="15892" width="16.625" style="877" bestFit="1" customWidth="1"/>
    <col min="15893" max="15893" width="14.375" style="877" customWidth="1"/>
    <col min="15894" max="15894" width="13.25" style="877" bestFit="1" customWidth="1"/>
    <col min="15895" max="15895" width="13" style="877" bestFit="1" customWidth="1"/>
    <col min="15896" max="15903" width="13" style="877" customWidth="1"/>
    <col min="15904" max="15904" width="13" style="877" bestFit="1" customWidth="1"/>
    <col min="15905" max="15905" width="15.875" style="877" customWidth="1"/>
    <col min="15906" max="15906" width="12.75" style="877" bestFit="1" customWidth="1"/>
    <col min="15907" max="15908" width="13" style="877" bestFit="1" customWidth="1"/>
    <col min="15909" max="15909" width="14.375" style="877" customWidth="1"/>
    <col min="15910" max="15910" width="12.75" style="877" bestFit="1" customWidth="1"/>
    <col min="15911" max="15912" width="13" style="877" bestFit="1" customWidth="1"/>
    <col min="15913" max="15913" width="15.125" style="877" customWidth="1"/>
    <col min="15914" max="15916" width="13" style="877" bestFit="1" customWidth="1"/>
    <col min="15917" max="15917" width="13.75" style="877" customWidth="1"/>
    <col min="15918" max="15919" width="13" style="877" bestFit="1" customWidth="1"/>
    <col min="15920" max="15920" width="13.125" style="877" customWidth="1"/>
    <col min="15921" max="15921" width="15.875" style="877" customWidth="1"/>
    <col min="15922" max="15922" width="13" style="877" customWidth="1"/>
    <col min="15923" max="15923" width="13" style="877" bestFit="1" customWidth="1"/>
    <col min="15924" max="15924" width="21" style="877" customWidth="1"/>
    <col min="15925" max="15925" width="15.75" style="877" customWidth="1"/>
    <col min="15926" max="15926" width="13.375" style="877" customWidth="1"/>
    <col min="15927" max="15927" width="13" style="877" bestFit="1" customWidth="1"/>
    <col min="15928" max="15931" width="13" style="877" customWidth="1"/>
    <col min="15932" max="15932" width="13.375" style="877" bestFit="1" customWidth="1"/>
    <col min="15933" max="15933" width="14.375" style="877" customWidth="1"/>
    <col min="15934" max="15934" width="13.375" style="877" customWidth="1"/>
    <col min="15935" max="15939" width="12.625" style="877" customWidth="1"/>
    <col min="15940" max="15940" width="13.375" style="877" bestFit="1" customWidth="1"/>
    <col min="15941" max="15941" width="14" style="877" customWidth="1"/>
    <col min="15942" max="15942" width="13.375" style="877" bestFit="1" customWidth="1"/>
    <col min="15943" max="15943" width="13" style="877" bestFit="1" customWidth="1"/>
    <col min="15944" max="15945" width="13.75" style="877" customWidth="1"/>
    <col min="15946" max="15946" width="13.125" style="877" customWidth="1"/>
    <col min="15947" max="15947" width="12.25" style="877" customWidth="1"/>
    <col min="15948" max="15948" width="13.375" style="877" bestFit="1" customWidth="1"/>
    <col min="15949" max="15949" width="17" style="877" customWidth="1"/>
    <col min="15950" max="15950" width="13.25" style="877" bestFit="1" customWidth="1"/>
    <col min="15951" max="15951" width="13" style="877" bestFit="1" customWidth="1"/>
    <col min="15952" max="15952" width="12.75" style="877" bestFit="1" customWidth="1"/>
    <col min="15953" max="15953" width="14.75" style="877" customWidth="1"/>
    <col min="15954" max="15954" width="11.875" style="877" bestFit="1" customWidth="1"/>
    <col min="15955" max="15955" width="13" style="877" bestFit="1" customWidth="1"/>
    <col min="15956" max="15956" width="15.125" style="877" bestFit="1" customWidth="1"/>
    <col min="15957" max="15957" width="14" style="877" customWidth="1"/>
    <col min="15958" max="15958" width="12" style="877" bestFit="1" customWidth="1"/>
    <col min="15959" max="15959" width="11.375" style="877" customWidth="1"/>
    <col min="15960" max="15960" width="12.75" style="877" bestFit="1" customWidth="1"/>
    <col min="15961" max="15961" width="11.375" style="877" customWidth="1"/>
    <col min="15962" max="15963" width="13" style="877" bestFit="1" customWidth="1"/>
    <col min="15964" max="15964" width="12.75" style="877" bestFit="1" customWidth="1"/>
    <col min="15965" max="15965" width="18.25" style="877" customWidth="1"/>
    <col min="15966" max="15966" width="12.625" style="877" bestFit="1" customWidth="1"/>
    <col min="15967" max="15967" width="13" style="877" bestFit="1" customWidth="1"/>
    <col min="15968" max="15968" width="13" style="877" customWidth="1"/>
    <col min="15969" max="15969" width="14.375" style="877" customWidth="1"/>
    <col min="15970" max="15971" width="13" style="877" customWidth="1"/>
    <col min="15972" max="15972" width="13.25" style="877" customWidth="1"/>
    <col min="15973" max="15973" width="15.75" style="877" customWidth="1"/>
    <col min="15974" max="15974" width="12" style="877" bestFit="1" customWidth="1"/>
    <col min="15975" max="15976" width="12.25" style="877" customWidth="1"/>
    <col min="15977" max="15977" width="15.875" style="877" customWidth="1"/>
    <col min="15978" max="15980" width="12.25" style="877" customWidth="1"/>
    <col min="15981" max="15981" width="14.875" style="877" customWidth="1"/>
    <col min="15982" max="15984" width="12.25" style="877" customWidth="1"/>
    <col min="15985" max="15985" width="13.75" style="877" customWidth="1"/>
    <col min="15986" max="15987" width="12.25" style="877" customWidth="1"/>
    <col min="15988" max="15988" width="18.125" style="877" customWidth="1"/>
    <col min="15989" max="15989" width="16.25" style="877" customWidth="1"/>
    <col min="15990" max="15990" width="15" style="877" customWidth="1"/>
    <col min="15991" max="15991" width="9.125" style="877"/>
    <col min="15992" max="15992" width="13.375" style="877" bestFit="1" customWidth="1"/>
    <col min="15993" max="16064" width="9.125" style="877"/>
    <col min="16065" max="16065" width="3.75" style="877" customWidth="1"/>
    <col min="16066" max="16066" width="17" style="877" customWidth="1"/>
    <col min="16067" max="16067" width="13" style="877" customWidth="1"/>
    <col min="16068" max="16068" width="18.75" style="877" customWidth="1"/>
    <col min="16069" max="16069" width="14.125" style="877" customWidth="1"/>
    <col min="16070" max="16070" width="12.875" style="877" customWidth="1"/>
    <col min="16071" max="16071" width="11.75" style="877" customWidth="1"/>
    <col min="16072" max="16072" width="12.875" style="877" customWidth="1"/>
    <col min="16073" max="16073" width="14.875" style="877" customWidth="1"/>
    <col min="16074" max="16074" width="13" style="877" customWidth="1"/>
    <col min="16075" max="16075" width="11.25" style="877" customWidth="1"/>
    <col min="16076" max="16076" width="14.875" style="877" customWidth="1"/>
    <col min="16077" max="16077" width="14.375" style="877" customWidth="1"/>
    <col min="16078" max="16078" width="13.375" style="877" customWidth="1"/>
    <col min="16079" max="16079" width="11.375" style="877" customWidth="1"/>
    <col min="16080" max="16080" width="12.875" style="877" customWidth="1"/>
    <col min="16081" max="16081" width="11.375" style="877" customWidth="1"/>
    <col min="16082" max="16082" width="13.125" style="877" customWidth="1"/>
    <col min="16083" max="16083" width="12.125" style="877" customWidth="1"/>
    <col min="16084" max="16084" width="13.875" style="877" customWidth="1"/>
    <col min="16085" max="16085" width="14" style="877" customWidth="1"/>
    <col min="16086" max="16086" width="13.25" style="877" customWidth="1"/>
    <col min="16087" max="16087" width="11.375" style="877" customWidth="1"/>
    <col min="16088" max="16088" width="14.75" style="877" bestFit="1" customWidth="1"/>
    <col min="16089" max="16089" width="13.25" style="877" customWidth="1"/>
    <col min="16090" max="16091" width="14.625" style="877" customWidth="1"/>
    <col min="16092" max="16094" width="13.125" style="877" customWidth="1"/>
    <col min="16095" max="16131" width="17.25" style="877" customWidth="1"/>
    <col min="16132" max="16132" width="14.75" style="877" bestFit="1" customWidth="1"/>
    <col min="16133" max="16133" width="13.75" style="877" customWidth="1"/>
    <col min="16134" max="16134" width="15.25" style="877" customWidth="1"/>
    <col min="16135" max="16135" width="13.125" style="877" customWidth="1"/>
    <col min="16136" max="16136" width="11.875" style="877" customWidth="1"/>
    <col min="16137" max="16137" width="13.25" style="877" customWidth="1"/>
    <col min="16138" max="16138" width="12.625" style="877" customWidth="1"/>
    <col min="16139" max="16139" width="13" style="877" bestFit="1" customWidth="1"/>
    <col min="16140" max="16140" width="13.375" style="877" bestFit="1" customWidth="1"/>
    <col min="16141" max="16141" width="19.375" style="877" customWidth="1"/>
    <col min="16142" max="16142" width="12.75" style="877" bestFit="1" customWidth="1"/>
    <col min="16143" max="16143" width="13" style="877" bestFit="1" customWidth="1"/>
    <col min="16144" max="16144" width="13.375" style="877" bestFit="1" customWidth="1"/>
    <col min="16145" max="16145" width="16.625" style="877" customWidth="1"/>
    <col min="16146" max="16146" width="13.125" style="877" customWidth="1"/>
    <col min="16147" max="16147" width="15.125" style="877" bestFit="1" customWidth="1"/>
    <col min="16148" max="16148" width="16.625" style="877" bestFit="1" customWidth="1"/>
    <col min="16149" max="16149" width="14.375" style="877" customWidth="1"/>
    <col min="16150" max="16150" width="13.25" style="877" bestFit="1" customWidth="1"/>
    <col min="16151" max="16151" width="13" style="877" bestFit="1" customWidth="1"/>
    <col min="16152" max="16159" width="13" style="877" customWidth="1"/>
    <col min="16160" max="16160" width="13" style="877" bestFit="1" customWidth="1"/>
    <col min="16161" max="16161" width="15.875" style="877" customWidth="1"/>
    <col min="16162" max="16162" width="12.75" style="877" bestFit="1" customWidth="1"/>
    <col min="16163" max="16164" width="13" style="877" bestFit="1" customWidth="1"/>
    <col min="16165" max="16165" width="14.375" style="877" customWidth="1"/>
    <col min="16166" max="16166" width="12.75" style="877" bestFit="1" customWidth="1"/>
    <col min="16167" max="16168" width="13" style="877" bestFit="1" customWidth="1"/>
    <col min="16169" max="16169" width="15.125" style="877" customWidth="1"/>
    <col min="16170" max="16172" width="13" style="877" bestFit="1" customWidth="1"/>
    <col min="16173" max="16173" width="13.75" style="877" customWidth="1"/>
    <col min="16174" max="16175" width="13" style="877" bestFit="1" customWidth="1"/>
    <col min="16176" max="16176" width="13.125" style="877" customWidth="1"/>
    <col min="16177" max="16177" width="15.875" style="877" customWidth="1"/>
    <col min="16178" max="16178" width="13" style="877" customWidth="1"/>
    <col min="16179" max="16179" width="13" style="877" bestFit="1" customWidth="1"/>
    <col min="16180" max="16180" width="21" style="877" customWidth="1"/>
    <col min="16181" max="16181" width="15.75" style="877" customWidth="1"/>
    <col min="16182" max="16182" width="13.375" style="877" customWidth="1"/>
    <col min="16183" max="16183" width="13" style="877" bestFit="1" customWidth="1"/>
    <col min="16184" max="16187" width="13" style="877" customWidth="1"/>
    <col min="16188" max="16188" width="13.375" style="877" bestFit="1" customWidth="1"/>
    <col min="16189" max="16189" width="14.375" style="877" customWidth="1"/>
    <col min="16190" max="16190" width="13.375" style="877" customWidth="1"/>
    <col min="16191" max="16195" width="12.625" style="877" customWidth="1"/>
    <col min="16196" max="16196" width="13.375" style="877" bestFit="1" customWidth="1"/>
    <col min="16197" max="16197" width="14" style="877" customWidth="1"/>
    <col min="16198" max="16198" width="13.375" style="877" bestFit="1" customWidth="1"/>
    <col min="16199" max="16199" width="13" style="877" bestFit="1" customWidth="1"/>
    <col min="16200" max="16201" width="13.75" style="877" customWidth="1"/>
    <col min="16202" max="16202" width="13.125" style="877" customWidth="1"/>
    <col min="16203" max="16203" width="12.25" style="877" customWidth="1"/>
    <col min="16204" max="16204" width="13.375" style="877" bestFit="1" customWidth="1"/>
    <col min="16205" max="16205" width="17" style="877" customWidth="1"/>
    <col min="16206" max="16206" width="13.25" style="877" bestFit="1" customWidth="1"/>
    <col min="16207" max="16207" width="13" style="877" bestFit="1" customWidth="1"/>
    <col min="16208" max="16208" width="12.75" style="877" bestFit="1" customWidth="1"/>
    <col min="16209" max="16209" width="14.75" style="877" customWidth="1"/>
    <col min="16210" max="16210" width="11.875" style="877" bestFit="1" customWidth="1"/>
    <col min="16211" max="16211" width="13" style="877" bestFit="1" customWidth="1"/>
    <col min="16212" max="16212" width="15.125" style="877" bestFit="1" customWidth="1"/>
    <col min="16213" max="16213" width="14" style="877" customWidth="1"/>
    <col min="16214" max="16214" width="12" style="877" bestFit="1" customWidth="1"/>
    <col min="16215" max="16215" width="11.375" style="877" customWidth="1"/>
    <col min="16216" max="16216" width="12.75" style="877" bestFit="1" customWidth="1"/>
    <col min="16217" max="16217" width="11.375" style="877" customWidth="1"/>
    <col min="16218" max="16219" width="13" style="877" bestFit="1" customWidth="1"/>
    <col min="16220" max="16220" width="12.75" style="877" bestFit="1" customWidth="1"/>
    <col min="16221" max="16221" width="18.25" style="877" customWidth="1"/>
    <col min="16222" max="16222" width="12.625" style="877" bestFit="1" customWidth="1"/>
    <col min="16223" max="16223" width="13" style="877" bestFit="1" customWidth="1"/>
    <col min="16224" max="16224" width="13" style="877" customWidth="1"/>
    <col min="16225" max="16225" width="14.375" style="877" customWidth="1"/>
    <col min="16226" max="16227" width="13" style="877" customWidth="1"/>
    <col min="16228" max="16228" width="13.25" style="877" customWidth="1"/>
    <col min="16229" max="16229" width="15.75" style="877" customWidth="1"/>
    <col min="16230" max="16230" width="12" style="877" bestFit="1" customWidth="1"/>
    <col min="16231" max="16232" width="12.25" style="877" customWidth="1"/>
    <col min="16233" max="16233" width="15.875" style="877" customWidth="1"/>
    <col min="16234" max="16236" width="12.25" style="877" customWidth="1"/>
    <col min="16237" max="16237" width="14.875" style="877" customWidth="1"/>
    <col min="16238" max="16240" width="12.25" style="877" customWidth="1"/>
    <col min="16241" max="16241" width="13.75" style="877" customWidth="1"/>
    <col min="16242" max="16243" width="12.25" style="877" customWidth="1"/>
    <col min="16244" max="16244" width="18.125" style="877" customWidth="1"/>
    <col min="16245" max="16245" width="16.25" style="877" customWidth="1"/>
    <col min="16246" max="16246" width="15" style="877" customWidth="1"/>
    <col min="16247" max="16247" width="9.125" style="877"/>
    <col min="16248" max="16248" width="13.375" style="877" bestFit="1" customWidth="1"/>
    <col min="16249" max="16320" width="9.125" style="877"/>
    <col min="16321" max="16321" width="3.75" style="877" customWidth="1"/>
    <col min="16322" max="16322" width="17" style="877" customWidth="1"/>
    <col min="16323" max="16323" width="13" style="877" customWidth="1"/>
    <col min="16324" max="16324" width="18.75" style="877" customWidth="1"/>
    <col min="16325" max="16325" width="14.125" style="877" customWidth="1"/>
    <col min="16326" max="16326" width="12.875" style="877" customWidth="1"/>
    <col min="16327" max="16327" width="11.75" style="877" customWidth="1"/>
    <col min="16328" max="16328" width="12.875" style="877" customWidth="1"/>
    <col min="16329" max="16329" width="14.875" style="877" customWidth="1"/>
    <col min="16330" max="16330" width="13" style="877" customWidth="1"/>
    <col min="16331" max="16331" width="11.25" style="877" customWidth="1"/>
    <col min="16332" max="16332" width="14.875" style="877" customWidth="1"/>
    <col min="16333" max="16333" width="14.375" style="877" customWidth="1"/>
    <col min="16334" max="16334" width="13.375" style="877" customWidth="1"/>
    <col min="16335" max="16335" width="11.375" style="877" customWidth="1"/>
    <col min="16336" max="16336" width="12.875" style="877" customWidth="1"/>
    <col min="16337" max="16337" width="11.375" style="877" customWidth="1"/>
    <col min="16338" max="16338" width="13.125" style="877" customWidth="1"/>
    <col min="16339" max="16339" width="12.125" style="877" customWidth="1"/>
    <col min="16340" max="16340" width="13.875" style="877" customWidth="1"/>
    <col min="16341" max="16341" width="14" style="877" customWidth="1"/>
    <col min="16342" max="16342" width="13.25" style="877" customWidth="1"/>
    <col min="16343" max="16343" width="11.375" style="877" customWidth="1"/>
    <col min="16344" max="16344" width="14.75" style="877" bestFit="1" customWidth="1"/>
    <col min="16345" max="16345" width="13.25" style="877" customWidth="1"/>
    <col min="16346" max="16347" width="14.625" style="877" customWidth="1"/>
    <col min="16348" max="16350" width="13.125" style="877" customWidth="1"/>
    <col min="16351" max="16384" width="17.25" style="877" customWidth="1"/>
  </cols>
  <sheetData>
    <row r="1" spans="1:387" ht="14.3">
      <c r="B1" s="1254" t="s">
        <v>101</v>
      </c>
      <c r="C1" s="1254"/>
      <c r="D1" s="1254"/>
      <c r="E1" s="1254"/>
      <c r="F1" s="1254"/>
      <c r="G1" s="1254"/>
      <c r="H1" s="1254"/>
      <c r="I1" s="1254"/>
      <c r="J1" s="1254"/>
      <c r="K1" s="1254"/>
      <c r="L1" s="1253" t="s">
        <v>101</v>
      </c>
      <c r="M1" s="1253"/>
      <c r="N1" s="1253"/>
      <c r="O1" s="1253"/>
      <c r="P1" s="1253"/>
      <c r="Q1" s="1253"/>
      <c r="R1" s="1253"/>
      <c r="S1" s="1253"/>
      <c r="T1" s="1253"/>
      <c r="U1" s="1253"/>
      <c r="V1" s="1253"/>
      <c r="W1" s="1253"/>
      <c r="X1" s="1253" t="s">
        <v>101</v>
      </c>
      <c r="Y1" s="1253"/>
      <c r="Z1" s="1253"/>
      <c r="AA1" s="1253"/>
      <c r="AB1" s="1253"/>
      <c r="AC1" s="1253"/>
      <c r="AD1" s="1253"/>
      <c r="AE1" s="1253"/>
      <c r="AF1" s="1253"/>
      <c r="AG1" s="1253"/>
      <c r="AH1" s="1253"/>
      <c r="AI1" s="1253"/>
      <c r="AJ1" s="1253" t="s">
        <v>101</v>
      </c>
      <c r="AK1" s="1253"/>
      <c r="AL1" s="1253"/>
      <c r="AM1" s="1253"/>
      <c r="AN1" s="1253"/>
      <c r="AO1" s="1253"/>
      <c r="AP1" s="1253"/>
      <c r="AQ1" s="1253"/>
      <c r="AR1" s="1253"/>
      <c r="AS1" s="1253"/>
      <c r="AT1" s="1253"/>
      <c r="AU1" s="1253"/>
      <c r="AV1" s="1253" t="s">
        <v>101</v>
      </c>
      <c r="AW1" s="1253"/>
      <c r="AX1" s="1253"/>
      <c r="AY1" s="1253"/>
      <c r="AZ1" s="1253"/>
      <c r="BA1" s="1253"/>
      <c r="BB1" s="1253"/>
      <c r="BC1" s="1253"/>
      <c r="BD1" s="1253"/>
      <c r="BE1" s="1253"/>
      <c r="BF1" s="1253"/>
      <c r="BG1" s="1253"/>
      <c r="BH1" s="1253" t="s">
        <v>101</v>
      </c>
      <c r="BI1" s="1253"/>
      <c r="BJ1" s="1253"/>
      <c r="BK1" s="1253"/>
      <c r="BL1" s="1253"/>
      <c r="BM1" s="1253"/>
      <c r="BN1" s="1253"/>
      <c r="BO1" s="1253"/>
      <c r="BP1" s="1253"/>
      <c r="BQ1" s="1253"/>
      <c r="BR1" s="1253"/>
      <c r="BS1" s="1253"/>
      <c r="BT1" s="1253" t="s">
        <v>101</v>
      </c>
      <c r="BU1" s="1253"/>
      <c r="BV1" s="1253"/>
      <c r="BW1" s="1253"/>
      <c r="BX1" s="1253"/>
      <c r="BY1" s="1253"/>
      <c r="BZ1" s="1253"/>
      <c r="CA1" s="1253"/>
      <c r="CB1" s="1253"/>
      <c r="CC1" s="1253"/>
      <c r="CD1" s="1253"/>
      <c r="CE1" s="1253"/>
      <c r="CF1" s="1253" t="s">
        <v>101</v>
      </c>
      <c r="CG1" s="1253"/>
      <c r="CH1" s="1253"/>
      <c r="CI1" s="1253"/>
      <c r="CJ1" s="1253"/>
      <c r="CK1" s="1253"/>
      <c r="CL1" s="1253"/>
      <c r="CM1" s="1253"/>
      <c r="CN1" s="1253"/>
      <c r="CO1" s="1253"/>
      <c r="CP1" s="1253"/>
      <c r="CQ1" s="1253"/>
      <c r="CR1" s="1253" t="s">
        <v>101</v>
      </c>
      <c r="CS1" s="1253"/>
      <c r="CT1" s="1253"/>
      <c r="CU1" s="1253"/>
      <c r="CV1" s="1253"/>
      <c r="CW1" s="1253"/>
      <c r="CX1" s="1253"/>
      <c r="CY1" s="1253"/>
      <c r="CZ1" s="1253"/>
      <c r="DA1" s="1253"/>
      <c r="DB1" s="1253"/>
      <c r="DC1" s="1253"/>
      <c r="DD1" s="1253" t="s">
        <v>101</v>
      </c>
      <c r="DE1" s="1253"/>
      <c r="DF1" s="1253"/>
      <c r="DG1" s="1253"/>
      <c r="DH1" s="1253"/>
      <c r="DI1" s="1253"/>
      <c r="DJ1" s="1253"/>
      <c r="DK1" s="1253"/>
      <c r="DL1" s="1253"/>
      <c r="DM1" s="1253"/>
      <c r="DN1" s="1253"/>
      <c r="DO1" s="1253"/>
      <c r="DP1" s="1253" t="s">
        <v>101</v>
      </c>
      <c r="DQ1" s="1253"/>
      <c r="DR1" s="1253"/>
      <c r="DS1" s="1253"/>
      <c r="DT1" s="1253"/>
      <c r="DU1" s="1253"/>
      <c r="DV1" s="1253"/>
      <c r="DW1" s="1253"/>
      <c r="DX1" s="1253"/>
      <c r="DY1" s="1253"/>
      <c r="DZ1" s="1253"/>
      <c r="EA1" s="1253"/>
      <c r="EB1" s="1253" t="s">
        <v>101</v>
      </c>
      <c r="EC1" s="1253"/>
      <c r="ED1" s="1253"/>
      <c r="EE1" s="1253"/>
      <c r="EF1" s="1253"/>
      <c r="EG1" s="1253"/>
      <c r="EH1" s="1253"/>
      <c r="EI1" s="1253"/>
      <c r="EJ1" s="1253"/>
      <c r="EK1" s="1253"/>
      <c r="EL1" s="1253"/>
      <c r="EM1" s="1253"/>
      <c r="EN1" s="1253" t="s">
        <v>101</v>
      </c>
      <c r="EO1" s="1253"/>
      <c r="EP1" s="1253"/>
      <c r="EQ1" s="1253"/>
      <c r="ER1" s="1253"/>
      <c r="ES1" s="1253"/>
      <c r="ET1" s="1253"/>
      <c r="EU1" s="1253"/>
      <c r="EV1" s="1253"/>
      <c r="EW1" s="1253"/>
      <c r="EX1" s="1253"/>
      <c r="EY1" s="1253"/>
      <c r="EZ1" s="1253" t="s">
        <v>101</v>
      </c>
      <c r="FA1" s="1253"/>
      <c r="FB1" s="1253"/>
      <c r="FC1" s="1253"/>
      <c r="FD1" s="1253"/>
      <c r="FE1" s="1253"/>
      <c r="FF1" s="1253"/>
      <c r="FG1" s="1253"/>
      <c r="FH1" s="1253"/>
      <c r="FI1" s="1253"/>
      <c r="FJ1" s="1253"/>
      <c r="FK1" s="1253"/>
      <c r="FL1" s="1253" t="s">
        <v>101</v>
      </c>
      <c r="FM1" s="1253"/>
      <c r="FN1" s="1253"/>
      <c r="FO1" s="1253"/>
      <c r="FP1" s="1253"/>
      <c r="FQ1" s="1253"/>
      <c r="FR1" s="1253"/>
      <c r="FS1" s="1253"/>
      <c r="FT1" s="1253"/>
      <c r="FU1" s="1253"/>
      <c r="FV1" s="1253"/>
      <c r="FW1" s="1253"/>
      <c r="FX1" s="1253" t="s">
        <v>101</v>
      </c>
      <c r="FY1" s="1253"/>
      <c r="FZ1" s="1253"/>
      <c r="GA1" s="1253"/>
      <c r="GB1" s="1253"/>
      <c r="GC1" s="1253"/>
      <c r="GD1" s="1253"/>
      <c r="GE1" s="1253"/>
      <c r="GF1" s="1253"/>
      <c r="GG1" s="1253"/>
      <c r="GH1" s="1253"/>
      <c r="GI1" s="1253"/>
      <c r="GJ1" s="1253" t="s">
        <v>101</v>
      </c>
      <c r="GK1" s="1253"/>
      <c r="GL1" s="1253"/>
      <c r="GM1" s="1253"/>
      <c r="GN1" s="1253"/>
      <c r="GO1" s="1253"/>
      <c r="GP1" s="1253"/>
      <c r="GQ1" s="1253"/>
      <c r="GR1" s="1253"/>
      <c r="GS1" s="1253"/>
      <c r="GT1" s="1253"/>
      <c r="GU1" s="1253"/>
      <c r="GV1" s="1253" t="s">
        <v>101</v>
      </c>
      <c r="GW1" s="1253"/>
      <c r="GX1" s="1253"/>
      <c r="GY1" s="1253"/>
      <c r="GZ1" s="1253"/>
      <c r="HA1" s="1253"/>
      <c r="HB1" s="1253"/>
      <c r="HC1" s="1253"/>
      <c r="HD1" s="1253"/>
      <c r="HE1" s="1253"/>
      <c r="HF1" s="1253"/>
      <c r="HG1" s="1253"/>
      <c r="HH1" s="1253" t="s">
        <v>101</v>
      </c>
      <c r="HI1" s="1253"/>
      <c r="HJ1" s="1253"/>
      <c r="HK1" s="1253"/>
      <c r="HL1" s="1253"/>
      <c r="HM1" s="1253"/>
      <c r="HN1" s="1253"/>
      <c r="HO1" s="1253"/>
      <c r="HP1" s="1253"/>
      <c r="HQ1" s="1253"/>
      <c r="HR1" s="1253"/>
      <c r="HS1" s="1253"/>
      <c r="HT1" s="1253" t="s">
        <v>101</v>
      </c>
      <c r="HU1" s="1253"/>
      <c r="HV1" s="1253"/>
      <c r="HW1" s="1253"/>
      <c r="HX1" s="1253"/>
      <c r="HY1" s="1253"/>
      <c r="HZ1" s="1253"/>
      <c r="IA1" s="1253"/>
      <c r="IB1" s="1253"/>
      <c r="IC1" s="1253"/>
      <c r="ID1" s="1253"/>
      <c r="IE1" s="1253"/>
      <c r="IF1" s="1253" t="s">
        <v>101</v>
      </c>
      <c r="IG1" s="1253"/>
      <c r="IH1" s="1253"/>
      <c r="II1" s="1253"/>
      <c r="IJ1" s="1253"/>
      <c r="IK1" s="1253"/>
      <c r="IL1" s="1253"/>
      <c r="IM1" s="1253"/>
      <c r="IN1" s="1253"/>
      <c r="IO1" s="1253"/>
      <c r="IP1" s="1253"/>
      <c r="IQ1" s="1253"/>
      <c r="IR1" s="1253" t="s">
        <v>101</v>
      </c>
      <c r="IS1" s="1253"/>
      <c r="IT1" s="1253"/>
      <c r="IU1" s="1253"/>
      <c r="IV1" s="1253"/>
      <c r="IW1" s="1253"/>
      <c r="IX1" s="1253"/>
      <c r="IY1" s="1253"/>
      <c r="IZ1" s="1253"/>
      <c r="JA1" s="1253"/>
      <c r="JB1" s="1253"/>
      <c r="JC1" s="1253"/>
      <c r="JD1" s="1253" t="s">
        <v>101</v>
      </c>
      <c r="JE1" s="1253"/>
      <c r="JF1" s="1253"/>
      <c r="JG1" s="1253"/>
      <c r="JH1" s="1253"/>
      <c r="JI1" s="1253"/>
      <c r="JJ1" s="1253"/>
      <c r="JK1" s="1253"/>
      <c r="JL1" s="1253"/>
      <c r="JM1" s="1253"/>
      <c r="JN1" s="1253"/>
      <c r="JO1" s="1253"/>
      <c r="JP1" s="1253" t="s">
        <v>101</v>
      </c>
      <c r="JQ1" s="1253"/>
      <c r="JR1" s="1253"/>
      <c r="JS1" s="1253"/>
      <c r="JT1" s="1253"/>
      <c r="JU1" s="1253"/>
      <c r="JV1" s="1253"/>
      <c r="JW1" s="1253"/>
      <c r="JX1" s="1253"/>
      <c r="JY1" s="1253"/>
      <c r="JZ1" s="1253"/>
      <c r="KA1" s="1253"/>
      <c r="KB1" s="1253" t="s">
        <v>101</v>
      </c>
      <c r="KC1" s="1253"/>
      <c r="KD1" s="1253"/>
      <c r="KE1" s="1253"/>
      <c r="KF1" s="1253"/>
      <c r="KG1" s="1253"/>
      <c r="KH1" s="1253"/>
      <c r="KI1" s="1253"/>
      <c r="KJ1" s="1253"/>
      <c r="KK1" s="1253"/>
      <c r="KL1" s="1253"/>
      <c r="KM1" s="1253"/>
      <c r="KN1" s="1253" t="s">
        <v>101</v>
      </c>
      <c r="KO1" s="1253"/>
      <c r="KP1" s="1253"/>
      <c r="KQ1" s="1253"/>
      <c r="KR1" s="1253"/>
      <c r="KS1" s="1253"/>
      <c r="KT1" s="1253"/>
      <c r="KU1" s="1253"/>
      <c r="KV1" s="1253"/>
      <c r="KW1" s="1253"/>
      <c r="KX1" s="1253"/>
      <c r="KY1" s="1253"/>
      <c r="KZ1" s="1253" t="s">
        <v>101</v>
      </c>
      <c r="LA1" s="1253"/>
      <c r="LB1" s="1253"/>
      <c r="LC1" s="1253"/>
      <c r="LD1" s="1253"/>
      <c r="LE1" s="1253"/>
      <c r="LF1" s="1253"/>
      <c r="LG1" s="1253"/>
      <c r="LH1" s="1253"/>
      <c r="LI1" s="1253"/>
      <c r="LJ1" s="1253"/>
      <c r="LK1" s="1253"/>
      <c r="LL1" s="1253" t="s">
        <v>101</v>
      </c>
      <c r="LM1" s="1253"/>
      <c r="LN1" s="1253"/>
      <c r="LO1" s="1253"/>
      <c r="LP1" s="1253"/>
      <c r="LQ1" s="1253"/>
      <c r="LR1" s="1253"/>
      <c r="LS1" s="1253"/>
      <c r="LT1" s="1253"/>
      <c r="LU1" s="1253"/>
      <c r="LV1" s="1253"/>
      <c r="LW1" s="1253"/>
      <c r="LX1" s="1253" t="s">
        <v>101</v>
      </c>
      <c r="LY1" s="1253"/>
      <c r="LZ1" s="1253"/>
      <c r="MA1" s="1253"/>
      <c r="MB1" s="1253"/>
      <c r="MC1" s="1253"/>
      <c r="MD1" s="1253"/>
      <c r="ME1" s="1253"/>
      <c r="MF1" s="1253"/>
      <c r="MG1" s="1253"/>
      <c r="MH1" s="1253"/>
      <c r="MI1" s="1253"/>
      <c r="MJ1" s="1253" t="s">
        <v>101</v>
      </c>
      <c r="MK1" s="1253"/>
      <c r="ML1" s="1253"/>
      <c r="MM1" s="1253"/>
      <c r="MN1" s="1253"/>
      <c r="MO1" s="1253"/>
      <c r="MP1" s="1253"/>
      <c r="MQ1" s="1253"/>
      <c r="MR1" s="1253"/>
      <c r="MS1" s="1253"/>
      <c r="MT1" s="1253"/>
      <c r="MU1" s="1253"/>
      <c r="MV1" s="1253" t="s">
        <v>101</v>
      </c>
      <c r="MW1" s="1253"/>
      <c r="MX1" s="1253"/>
      <c r="MY1" s="1253"/>
      <c r="MZ1" s="1253"/>
      <c r="NA1" s="1253"/>
      <c r="NB1" s="1253"/>
      <c r="NC1" s="1253"/>
      <c r="ND1" s="1253"/>
      <c r="NE1" s="1253"/>
      <c r="NF1" s="1253"/>
      <c r="NG1" s="1253"/>
      <c r="NH1" s="1255" t="s">
        <v>101</v>
      </c>
      <c r="NI1" s="1255"/>
      <c r="NJ1" s="1255"/>
      <c r="NK1" s="1255"/>
      <c r="NL1" s="1255"/>
      <c r="NM1" s="874"/>
      <c r="NN1" s="874"/>
      <c r="NO1" s="874"/>
      <c r="NP1" s="874"/>
      <c r="NQ1" s="874"/>
      <c r="NR1" s="874"/>
      <c r="NS1" s="874"/>
      <c r="NT1" s="874"/>
      <c r="NU1" s="874"/>
      <c r="NV1" s="874"/>
      <c r="NW1" s="874"/>
    </row>
    <row r="2" spans="1:387" ht="14.3">
      <c r="B2" s="1254" t="s">
        <v>880</v>
      </c>
      <c r="C2" s="1254"/>
      <c r="D2" s="1254"/>
      <c r="E2" s="1254"/>
      <c r="F2" s="1254"/>
      <c r="G2" s="1254"/>
      <c r="H2" s="1254"/>
      <c r="I2" s="1254"/>
      <c r="J2" s="1254"/>
      <c r="K2" s="1254"/>
      <c r="L2" s="1253" t="s">
        <v>880</v>
      </c>
      <c r="M2" s="1253"/>
      <c r="N2" s="1253"/>
      <c r="O2" s="1253"/>
      <c r="P2" s="1253"/>
      <c r="Q2" s="1253"/>
      <c r="R2" s="1253"/>
      <c r="S2" s="1253"/>
      <c r="T2" s="1253"/>
      <c r="U2" s="1253"/>
      <c r="V2" s="1253"/>
      <c r="W2" s="1253"/>
      <c r="X2" s="1253" t="s">
        <v>880</v>
      </c>
      <c r="Y2" s="1253"/>
      <c r="Z2" s="1253"/>
      <c r="AA2" s="1253"/>
      <c r="AB2" s="1253"/>
      <c r="AC2" s="1253"/>
      <c r="AD2" s="1253"/>
      <c r="AE2" s="1253"/>
      <c r="AF2" s="1253"/>
      <c r="AG2" s="1253"/>
      <c r="AH2" s="1253"/>
      <c r="AI2" s="1253"/>
      <c r="AJ2" s="1253" t="s">
        <v>880</v>
      </c>
      <c r="AK2" s="1253"/>
      <c r="AL2" s="1253"/>
      <c r="AM2" s="1253"/>
      <c r="AN2" s="1253"/>
      <c r="AO2" s="1253"/>
      <c r="AP2" s="1253"/>
      <c r="AQ2" s="1253"/>
      <c r="AR2" s="1253"/>
      <c r="AS2" s="1253"/>
      <c r="AT2" s="1253"/>
      <c r="AU2" s="1253"/>
      <c r="AV2" s="1253" t="s">
        <v>880</v>
      </c>
      <c r="AW2" s="1253"/>
      <c r="AX2" s="1253"/>
      <c r="AY2" s="1253"/>
      <c r="AZ2" s="1253"/>
      <c r="BA2" s="1253"/>
      <c r="BB2" s="1253"/>
      <c r="BC2" s="1253"/>
      <c r="BD2" s="1253"/>
      <c r="BE2" s="1253"/>
      <c r="BF2" s="1253"/>
      <c r="BG2" s="1253"/>
      <c r="BH2" s="1253" t="s">
        <v>880</v>
      </c>
      <c r="BI2" s="1253"/>
      <c r="BJ2" s="1253"/>
      <c r="BK2" s="1253"/>
      <c r="BL2" s="1253"/>
      <c r="BM2" s="1253"/>
      <c r="BN2" s="1253"/>
      <c r="BO2" s="1253"/>
      <c r="BP2" s="1253"/>
      <c r="BQ2" s="1253"/>
      <c r="BR2" s="1253"/>
      <c r="BS2" s="1253"/>
      <c r="BT2" s="1253" t="s">
        <v>880</v>
      </c>
      <c r="BU2" s="1253"/>
      <c r="BV2" s="1253"/>
      <c r="BW2" s="1253"/>
      <c r="BX2" s="1253"/>
      <c r="BY2" s="1253"/>
      <c r="BZ2" s="1253"/>
      <c r="CA2" s="1253"/>
      <c r="CB2" s="1253"/>
      <c r="CC2" s="1253"/>
      <c r="CD2" s="1253"/>
      <c r="CE2" s="1253"/>
      <c r="CF2" s="1253" t="s">
        <v>880</v>
      </c>
      <c r="CG2" s="1253"/>
      <c r="CH2" s="1253"/>
      <c r="CI2" s="1253"/>
      <c r="CJ2" s="1253"/>
      <c r="CK2" s="1253"/>
      <c r="CL2" s="1253"/>
      <c r="CM2" s="1253"/>
      <c r="CN2" s="1253"/>
      <c r="CO2" s="1253"/>
      <c r="CP2" s="1253"/>
      <c r="CQ2" s="1253"/>
      <c r="CR2" s="1253" t="s">
        <v>880</v>
      </c>
      <c r="CS2" s="1253"/>
      <c r="CT2" s="1253"/>
      <c r="CU2" s="1253"/>
      <c r="CV2" s="1253"/>
      <c r="CW2" s="1253"/>
      <c r="CX2" s="1253"/>
      <c r="CY2" s="1253"/>
      <c r="CZ2" s="1253"/>
      <c r="DA2" s="1253"/>
      <c r="DB2" s="1253"/>
      <c r="DC2" s="1253"/>
      <c r="DD2" s="1253" t="s">
        <v>880</v>
      </c>
      <c r="DE2" s="1253"/>
      <c r="DF2" s="1253"/>
      <c r="DG2" s="1253"/>
      <c r="DH2" s="1253"/>
      <c r="DI2" s="1253"/>
      <c r="DJ2" s="1253"/>
      <c r="DK2" s="1253"/>
      <c r="DL2" s="1253"/>
      <c r="DM2" s="1253"/>
      <c r="DN2" s="1253"/>
      <c r="DO2" s="1253"/>
      <c r="DP2" s="1253" t="s">
        <v>880</v>
      </c>
      <c r="DQ2" s="1253"/>
      <c r="DR2" s="1253"/>
      <c r="DS2" s="1253"/>
      <c r="DT2" s="1253"/>
      <c r="DU2" s="1253"/>
      <c r="DV2" s="1253"/>
      <c r="DW2" s="1253"/>
      <c r="DX2" s="1253"/>
      <c r="DY2" s="1253"/>
      <c r="DZ2" s="1253"/>
      <c r="EA2" s="1253"/>
      <c r="EB2" s="1253" t="s">
        <v>880</v>
      </c>
      <c r="EC2" s="1253"/>
      <c r="ED2" s="1253"/>
      <c r="EE2" s="1253"/>
      <c r="EF2" s="1253"/>
      <c r="EG2" s="1253"/>
      <c r="EH2" s="1253"/>
      <c r="EI2" s="1253"/>
      <c r="EJ2" s="1253"/>
      <c r="EK2" s="1253"/>
      <c r="EL2" s="1253"/>
      <c r="EM2" s="1253"/>
      <c r="EN2" s="1253" t="s">
        <v>880</v>
      </c>
      <c r="EO2" s="1253"/>
      <c r="EP2" s="1253"/>
      <c r="EQ2" s="1253"/>
      <c r="ER2" s="1253"/>
      <c r="ES2" s="1253"/>
      <c r="ET2" s="1253"/>
      <c r="EU2" s="1253"/>
      <c r="EV2" s="1253"/>
      <c r="EW2" s="1253"/>
      <c r="EX2" s="1253"/>
      <c r="EY2" s="1253"/>
      <c r="EZ2" s="1253" t="s">
        <v>880</v>
      </c>
      <c r="FA2" s="1253"/>
      <c r="FB2" s="1253"/>
      <c r="FC2" s="1253"/>
      <c r="FD2" s="1253"/>
      <c r="FE2" s="1253"/>
      <c r="FF2" s="1253"/>
      <c r="FG2" s="1253"/>
      <c r="FH2" s="1253"/>
      <c r="FI2" s="1253"/>
      <c r="FJ2" s="1253"/>
      <c r="FK2" s="1253"/>
      <c r="FL2" s="1253" t="s">
        <v>880</v>
      </c>
      <c r="FM2" s="1253"/>
      <c r="FN2" s="1253"/>
      <c r="FO2" s="1253"/>
      <c r="FP2" s="1253"/>
      <c r="FQ2" s="1253"/>
      <c r="FR2" s="1253"/>
      <c r="FS2" s="1253"/>
      <c r="FT2" s="1253"/>
      <c r="FU2" s="1253"/>
      <c r="FV2" s="1253"/>
      <c r="FW2" s="1253"/>
      <c r="FX2" s="1253" t="s">
        <v>880</v>
      </c>
      <c r="FY2" s="1253"/>
      <c r="FZ2" s="1253"/>
      <c r="GA2" s="1253"/>
      <c r="GB2" s="1253"/>
      <c r="GC2" s="1253"/>
      <c r="GD2" s="1253"/>
      <c r="GE2" s="1253"/>
      <c r="GF2" s="1253"/>
      <c r="GG2" s="1253"/>
      <c r="GH2" s="1253"/>
      <c r="GI2" s="1253"/>
      <c r="GJ2" s="1253" t="s">
        <v>880</v>
      </c>
      <c r="GK2" s="1253"/>
      <c r="GL2" s="1253"/>
      <c r="GM2" s="1253"/>
      <c r="GN2" s="1253"/>
      <c r="GO2" s="1253"/>
      <c r="GP2" s="1253"/>
      <c r="GQ2" s="1253"/>
      <c r="GR2" s="1253"/>
      <c r="GS2" s="1253"/>
      <c r="GT2" s="1253"/>
      <c r="GU2" s="1253"/>
      <c r="GV2" s="1253" t="s">
        <v>880</v>
      </c>
      <c r="GW2" s="1253"/>
      <c r="GX2" s="1253"/>
      <c r="GY2" s="1253"/>
      <c r="GZ2" s="1253"/>
      <c r="HA2" s="1253"/>
      <c r="HB2" s="1253"/>
      <c r="HC2" s="1253"/>
      <c r="HD2" s="1253"/>
      <c r="HE2" s="1253"/>
      <c r="HF2" s="1253"/>
      <c r="HG2" s="1253"/>
      <c r="HH2" s="1253" t="s">
        <v>880</v>
      </c>
      <c r="HI2" s="1253"/>
      <c r="HJ2" s="1253"/>
      <c r="HK2" s="1253"/>
      <c r="HL2" s="1253"/>
      <c r="HM2" s="1253"/>
      <c r="HN2" s="1253"/>
      <c r="HO2" s="1253"/>
      <c r="HP2" s="1253"/>
      <c r="HQ2" s="1253"/>
      <c r="HR2" s="1253"/>
      <c r="HS2" s="1253"/>
      <c r="HT2" s="1253" t="s">
        <v>880</v>
      </c>
      <c r="HU2" s="1253"/>
      <c r="HV2" s="1253"/>
      <c r="HW2" s="1253"/>
      <c r="HX2" s="1253"/>
      <c r="HY2" s="1253"/>
      <c r="HZ2" s="1253"/>
      <c r="IA2" s="1253"/>
      <c r="IB2" s="1253"/>
      <c r="IC2" s="1253"/>
      <c r="ID2" s="1253"/>
      <c r="IE2" s="1253"/>
      <c r="IF2" s="1253" t="s">
        <v>880</v>
      </c>
      <c r="IG2" s="1253"/>
      <c r="IH2" s="1253"/>
      <c r="II2" s="1253"/>
      <c r="IJ2" s="1253"/>
      <c r="IK2" s="1253"/>
      <c r="IL2" s="1253"/>
      <c r="IM2" s="1253"/>
      <c r="IN2" s="1253"/>
      <c r="IO2" s="1253"/>
      <c r="IP2" s="1253"/>
      <c r="IQ2" s="1253"/>
      <c r="IR2" s="1253" t="s">
        <v>880</v>
      </c>
      <c r="IS2" s="1253"/>
      <c r="IT2" s="1253"/>
      <c r="IU2" s="1253"/>
      <c r="IV2" s="1253"/>
      <c r="IW2" s="1253"/>
      <c r="IX2" s="1253"/>
      <c r="IY2" s="1253"/>
      <c r="IZ2" s="1253"/>
      <c r="JA2" s="1253"/>
      <c r="JB2" s="1253"/>
      <c r="JC2" s="1253"/>
      <c r="JD2" s="1253" t="s">
        <v>880</v>
      </c>
      <c r="JE2" s="1253"/>
      <c r="JF2" s="1253"/>
      <c r="JG2" s="1253"/>
      <c r="JH2" s="1253"/>
      <c r="JI2" s="1253"/>
      <c r="JJ2" s="1253"/>
      <c r="JK2" s="1253"/>
      <c r="JL2" s="1253"/>
      <c r="JM2" s="1253"/>
      <c r="JN2" s="1253"/>
      <c r="JO2" s="1253"/>
      <c r="JP2" s="1253" t="s">
        <v>880</v>
      </c>
      <c r="JQ2" s="1253"/>
      <c r="JR2" s="1253"/>
      <c r="JS2" s="1253"/>
      <c r="JT2" s="1253"/>
      <c r="JU2" s="1253"/>
      <c r="JV2" s="1253"/>
      <c r="JW2" s="1253"/>
      <c r="JX2" s="1253"/>
      <c r="JY2" s="1253"/>
      <c r="JZ2" s="1253"/>
      <c r="KA2" s="1253"/>
      <c r="KB2" s="1253" t="s">
        <v>880</v>
      </c>
      <c r="KC2" s="1253"/>
      <c r="KD2" s="1253"/>
      <c r="KE2" s="1253"/>
      <c r="KF2" s="1253"/>
      <c r="KG2" s="1253"/>
      <c r="KH2" s="1253"/>
      <c r="KI2" s="1253"/>
      <c r="KJ2" s="1253"/>
      <c r="KK2" s="1253"/>
      <c r="KL2" s="1253"/>
      <c r="KM2" s="1253"/>
      <c r="KN2" s="1253" t="s">
        <v>880</v>
      </c>
      <c r="KO2" s="1253"/>
      <c r="KP2" s="1253"/>
      <c r="KQ2" s="1253"/>
      <c r="KR2" s="1253"/>
      <c r="KS2" s="1253"/>
      <c r="KT2" s="1253"/>
      <c r="KU2" s="1253"/>
      <c r="KV2" s="1253"/>
      <c r="KW2" s="1253"/>
      <c r="KX2" s="1253"/>
      <c r="KY2" s="1253"/>
      <c r="KZ2" s="1253" t="s">
        <v>880</v>
      </c>
      <c r="LA2" s="1253"/>
      <c r="LB2" s="1253"/>
      <c r="LC2" s="1253"/>
      <c r="LD2" s="1253"/>
      <c r="LE2" s="1253"/>
      <c r="LF2" s="1253"/>
      <c r="LG2" s="1253"/>
      <c r="LH2" s="1253"/>
      <c r="LI2" s="1253"/>
      <c r="LJ2" s="1253"/>
      <c r="LK2" s="1253"/>
      <c r="LL2" s="1253" t="s">
        <v>880</v>
      </c>
      <c r="LM2" s="1253"/>
      <c r="LN2" s="1253"/>
      <c r="LO2" s="1253"/>
      <c r="LP2" s="1253"/>
      <c r="LQ2" s="1253"/>
      <c r="LR2" s="1253"/>
      <c r="LS2" s="1253"/>
      <c r="LT2" s="1253"/>
      <c r="LU2" s="1253"/>
      <c r="LV2" s="1253"/>
      <c r="LW2" s="1253"/>
      <c r="LX2" s="1253" t="s">
        <v>880</v>
      </c>
      <c r="LY2" s="1253"/>
      <c r="LZ2" s="1253"/>
      <c r="MA2" s="1253"/>
      <c r="MB2" s="1253"/>
      <c r="MC2" s="1253"/>
      <c r="MD2" s="1253"/>
      <c r="ME2" s="1253"/>
      <c r="MF2" s="1253"/>
      <c r="MG2" s="1253"/>
      <c r="MH2" s="1253"/>
      <c r="MI2" s="1253"/>
      <c r="MJ2" s="1253" t="s">
        <v>880</v>
      </c>
      <c r="MK2" s="1253"/>
      <c r="ML2" s="1253"/>
      <c r="MM2" s="1253"/>
      <c r="MN2" s="1253"/>
      <c r="MO2" s="1253"/>
      <c r="MP2" s="1253"/>
      <c r="MQ2" s="1253"/>
      <c r="MR2" s="1253"/>
      <c r="MS2" s="1253"/>
      <c r="MT2" s="1253"/>
      <c r="MU2" s="1253"/>
      <c r="MV2" s="1253" t="s">
        <v>880</v>
      </c>
      <c r="MW2" s="1253"/>
      <c r="MX2" s="1253"/>
      <c r="MY2" s="1253"/>
      <c r="MZ2" s="1253"/>
      <c r="NA2" s="1253"/>
      <c r="NB2" s="1253"/>
      <c r="NC2" s="1253"/>
      <c r="ND2" s="1253"/>
      <c r="NE2" s="1253"/>
      <c r="NF2" s="1253"/>
      <c r="NG2" s="1253"/>
      <c r="NH2" s="1255" t="s">
        <v>880</v>
      </c>
      <c r="NI2" s="1255"/>
      <c r="NJ2" s="1255"/>
      <c r="NK2" s="1255"/>
      <c r="NL2" s="1255"/>
      <c r="NM2" s="874"/>
      <c r="NN2" s="874"/>
      <c r="NO2" s="874"/>
      <c r="NP2" s="874"/>
      <c r="NQ2" s="874"/>
      <c r="NR2" s="874"/>
      <c r="NS2" s="874"/>
      <c r="NT2" s="874"/>
      <c r="NU2" s="874"/>
      <c r="NV2" s="874"/>
      <c r="NW2" s="874"/>
    </row>
    <row r="3" spans="1:387" ht="14.3">
      <c r="B3" s="1254" t="s">
        <v>663</v>
      </c>
      <c r="C3" s="1254"/>
      <c r="D3" s="1254"/>
      <c r="E3" s="1254"/>
      <c r="F3" s="1254"/>
      <c r="G3" s="1254"/>
      <c r="H3" s="1254"/>
      <c r="I3" s="1254"/>
      <c r="J3" s="1254"/>
      <c r="K3" s="1254"/>
      <c r="L3" s="1253" t="s">
        <v>663</v>
      </c>
      <c r="M3" s="1253"/>
      <c r="N3" s="1253"/>
      <c r="O3" s="1253"/>
      <c r="P3" s="1253"/>
      <c r="Q3" s="1253"/>
      <c r="R3" s="1253"/>
      <c r="S3" s="1253"/>
      <c r="T3" s="1253"/>
      <c r="U3" s="1253"/>
      <c r="V3" s="1253"/>
      <c r="W3" s="1253"/>
      <c r="X3" s="1253" t="s">
        <v>663</v>
      </c>
      <c r="Y3" s="1253"/>
      <c r="Z3" s="1253"/>
      <c r="AA3" s="1253"/>
      <c r="AB3" s="1253"/>
      <c r="AC3" s="1253"/>
      <c r="AD3" s="1253"/>
      <c r="AE3" s="1253"/>
      <c r="AF3" s="1253"/>
      <c r="AG3" s="1253"/>
      <c r="AH3" s="1253"/>
      <c r="AI3" s="1253"/>
      <c r="AJ3" s="1253" t="s">
        <v>663</v>
      </c>
      <c r="AK3" s="1253"/>
      <c r="AL3" s="1253"/>
      <c r="AM3" s="1253"/>
      <c r="AN3" s="1253"/>
      <c r="AO3" s="1253"/>
      <c r="AP3" s="1253"/>
      <c r="AQ3" s="1253"/>
      <c r="AR3" s="1253"/>
      <c r="AS3" s="1253"/>
      <c r="AT3" s="1253"/>
      <c r="AU3" s="1253"/>
      <c r="AV3" s="1253" t="s">
        <v>663</v>
      </c>
      <c r="AW3" s="1253"/>
      <c r="AX3" s="1253"/>
      <c r="AY3" s="1253"/>
      <c r="AZ3" s="1253"/>
      <c r="BA3" s="1253"/>
      <c r="BB3" s="1253"/>
      <c r="BC3" s="1253"/>
      <c r="BD3" s="1253"/>
      <c r="BE3" s="1253"/>
      <c r="BF3" s="1253"/>
      <c r="BG3" s="1253"/>
      <c r="BH3" s="1253" t="s">
        <v>663</v>
      </c>
      <c r="BI3" s="1253"/>
      <c r="BJ3" s="1253"/>
      <c r="BK3" s="1253"/>
      <c r="BL3" s="1253"/>
      <c r="BM3" s="1253"/>
      <c r="BN3" s="1253"/>
      <c r="BO3" s="1253"/>
      <c r="BP3" s="1253"/>
      <c r="BQ3" s="1253"/>
      <c r="BR3" s="1253"/>
      <c r="BS3" s="1253"/>
      <c r="BT3" s="1253" t="s">
        <v>663</v>
      </c>
      <c r="BU3" s="1253"/>
      <c r="BV3" s="1253"/>
      <c r="BW3" s="1253"/>
      <c r="BX3" s="1253"/>
      <c r="BY3" s="1253"/>
      <c r="BZ3" s="1253"/>
      <c r="CA3" s="1253"/>
      <c r="CB3" s="1253"/>
      <c r="CC3" s="1253"/>
      <c r="CD3" s="1253"/>
      <c r="CE3" s="1253"/>
      <c r="CF3" s="1253" t="s">
        <v>663</v>
      </c>
      <c r="CG3" s="1253"/>
      <c r="CH3" s="1253"/>
      <c r="CI3" s="1253"/>
      <c r="CJ3" s="1253"/>
      <c r="CK3" s="1253"/>
      <c r="CL3" s="1253"/>
      <c r="CM3" s="1253"/>
      <c r="CN3" s="1253"/>
      <c r="CO3" s="1253"/>
      <c r="CP3" s="1253"/>
      <c r="CQ3" s="1253"/>
      <c r="CR3" s="1253" t="s">
        <v>663</v>
      </c>
      <c r="CS3" s="1253"/>
      <c r="CT3" s="1253"/>
      <c r="CU3" s="1253"/>
      <c r="CV3" s="1253"/>
      <c r="CW3" s="1253"/>
      <c r="CX3" s="1253"/>
      <c r="CY3" s="1253"/>
      <c r="CZ3" s="1253"/>
      <c r="DA3" s="1253"/>
      <c r="DB3" s="1253"/>
      <c r="DC3" s="1253"/>
      <c r="DD3" s="1253" t="s">
        <v>663</v>
      </c>
      <c r="DE3" s="1253"/>
      <c r="DF3" s="1253"/>
      <c r="DG3" s="1253"/>
      <c r="DH3" s="1253"/>
      <c r="DI3" s="1253"/>
      <c r="DJ3" s="1253"/>
      <c r="DK3" s="1253"/>
      <c r="DL3" s="1253"/>
      <c r="DM3" s="1253"/>
      <c r="DN3" s="1253"/>
      <c r="DO3" s="1253"/>
      <c r="DP3" s="1253" t="s">
        <v>663</v>
      </c>
      <c r="DQ3" s="1253"/>
      <c r="DR3" s="1253"/>
      <c r="DS3" s="1253"/>
      <c r="DT3" s="1253"/>
      <c r="DU3" s="1253"/>
      <c r="DV3" s="1253"/>
      <c r="DW3" s="1253"/>
      <c r="DX3" s="1253"/>
      <c r="DY3" s="1253"/>
      <c r="DZ3" s="1253"/>
      <c r="EA3" s="1253"/>
      <c r="EB3" s="1253" t="s">
        <v>663</v>
      </c>
      <c r="EC3" s="1253"/>
      <c r="ED3" s="1253"/>
      <c r="EE3" s="1253"/>
      <c r="EF3" s="1253"/>
      <c r="EG3" s="1253"/>
      <c r="EH3" s="1253"/>
      <c r="EI3" s="1253"/>
      <c r="EJ3" s="1253"/>
      <c r="EK3" s="1253"/>
      <c r="EL3" s="1253"/>
      <c r="EM3" s="1253"/>
      <c r="EN3" s="1253" t="s">
        <v>663</v>
      </c>
      <c r="EO3" s="1253"/>
      <c r="EP3" s="1253"/>
      <c r="EQ3" s="1253"/>
      <c r="ER3" s="1253"/>
      <c r="ES3" s="1253"/>
      <c r="ET3" s="1253"/>
      <c r="EU3" s="1253"/>
      <c r="EV3" s="1253"/>
      <c r="EW3" s="1253"/>
      <c r="EX3" s="1253"/>
      <c r="EY3" s="1253"/>
      <c r="EZ3" s="1253" t="s">
        <v>663</v>
      </c>
      <c r="FA3" s="1253"/>
      <c r="FB3" s="1253"/>
      <c r="FC3" s="1253"/>
      <c r="FD3" s="1253"/>
      <c r="FE3" s="1253"/>
      <c r="FF3" s="1253"/>
      <c r="FG3" s="1253"/>
      <c r="FH3" s="1253"/>
      <c r="FI3" s="1253"/>
      <c r="FJ3" s="1253"/>
      <c r="FK3" s="1253"/>
      <c r="FL3" s="1253" t="s">
        <v>663</v>
      </c>
      <c r="FM3" s="1253"/>
      <c r="FN3" s="1253"/>
      <c r="FO3" s="1253"/>
      <c r="FP3" s="1253"/>
      <c r="FQ3" s="1253"/>
      <c r="FR3" s="1253"/>
      <c r="FS3" s="1253"/>
      <c r="FT3" s="1253"/>
      <c r="FU3" s="1253"/>
      <c r="FV3" s="1253"/>
      <c r="FW3" s="1253"/>
      <c r="FX3" s="1253" t="s">
        <v>663</v>
      </c>
      <c r="FY3" s="1253"/>
      <c r="FZ3" s="1253"/>
      <c r="GA3" s="1253"/>
      <c r="GB3" s="1253"/>
      <c r="GC3" s="1253"/>
      <c r="GD3" s="1253"/>
      <c r="GE3" s="1253"/>
      <c r="GF3" s="1253"/>
      <c r="GG3" s="1253"/>
      <c r="GH3" s="1253"/>
      <c r="GI3" s="1253"/>
      <c r="GJ3" s="1253" t="s">
        <v>663</v>
      </c>
      <c r="GK3" s="1253"/>
      <c r="GL3" s="1253"/>
      <c r="GM3" s="1253"/>
      <c r="GN3" s="1253"/>
      <c r="GO3" s="1253"/>
      <c r="GP3" s="1253"/>
      <c r="GQ3" s="1253"/>
      <c r="GR3" s="1253"/>
      <c r="GS3" s="1253"/>
      <c r="GT3" s="1253"/>
      <c r="GU3" s="1253"/>
      <c r="GV3" s="1253" t="s">
        <v>663</v>
      </c>
      <c r="GW3" s="1253"/>
      <c r="GX3" s="1253"/>
      <c r="GY3" s="1253"/>
      <c r="GZ3" s="1253"/>
      <c r="HA3" s="1253"/>
      <c r="HB3" s="1253"/>
      <c r="HC3" s="1253"/>
      <c r="HD3" s="1253"/>
      <c r="HE3" s="1253"/>
      <c r="HF3" s="1253"/>
      <c r="HG3" s="1253"/>
      <c r="HH3" s="1253" t="s">
        <v>663</v>
      </c>
      <c r="HI3" s="1253"/>
      <c r="HJ3" s="1253"/>
      <c r="HK3" s="1253"/>
      <c r="HL3" s="1253"/>
      <c r="HM3" s="1253"/>
      <c r="HN3" s="1253"/>
      <c r="HO3" s="1253"/>
      <c r="HP3" s="1253"/>
      <c r="HQ3" s="1253"/>
      <c r="HR3" s="1253"/>
      <c r="HS3" s="1253"/>
      <c r="HT3" s="1253" t="s">
        <v>663</v>
      </c>
      <c r="HU3" s="1253"/>
      <c r="HV3" s="1253"/>
      <c r="HW3" s="1253"/>
      <c r="HX3" s="1253"/>
      <c r="HY3" s="1253"/>
      <c r="HZ3" s="1253"/>
      <c r="IA3" s="1253"/>
      <c r="IB3" s="1253"/>
      <c r="IC3" s="1253"/>
      <c r="ID3" s="1253"/>
      <c r="IE3" s="1253"/>
      <c r="IF3" s="1253" t="s">
        <v>663</v>
      </c>
      <c r="IG3" s="1253"/>
      <c r="IH3" s="1253"/>
      <c r="II3" s="1253"/>
      <c r="IJ3" s="1253"/>
      <c r="IK3" s="1253"/>
      <c r="IL3" s="1253"/>
      <c r="IM3" s="1253"/>
      <c r="IN3" s="1253"/>
      <c r="IO3" s="1253"/>
      <c r="IP3" s="1253"/>
      <c r="IQ3" s="1253"/>
      <c r="IR3" s="1253" t="s">
        <v>663</v>
      </c>
      <c r="IS3" s="1253"/>
      <c r="IT3" s="1253"/>
      <c r="IU3" s="1253"/>
      <c r="IV3" s="1253"/>
      <c r="IW3" s="1253"/>
      <c r="IX3" s="1253"/>
      <c r="IY3" s="1253"/>
      <c r="IZ3" s="1253"/>
      <c r="JA3" s="1253"/>
      <c r="JB3" s="1253"/>
      <c r="JC3" s="1253"/>
      <c r="JD3" s="1253" t="s">
        <v>663</v>
      </c>
      <c r="JE3" s="1253"/>
      <c r="JF3" s="1253"/>
      <c r="JG3" s="1253"/>
      <c r="JH3" s="1253"/>
      <c r="JI3" s="1253"/>
      <c r="JJ3" s="1253"/>
      <c r="JK3" s="1253"/>
      <c r="JL3" s="1253"/>
      <c r="JM3" s="1253"/>
      <c r="JN3" s="1253"/>
      <c r="JO3" s="1253"/>
      <c r="JP3" s="1253" t="s">
        <v>663</v>
      </c>
      <c r="JQ3" s="1253"/>
      <c r="JR3" s="1253"/>
      <c r="JS3" s="1253"/>
      <c r="JT3" s="1253"/>
      <c r="JU3" s="1253"/>
      <c r="JV3" s="1253"/>
      <c r="JW3" s="1253"/>
      <c r="JX3" s="1253"/>
      <c r="JY3" s="1253"/>
      <c r="JZ3" s="1253"/>
      <c r="KA3" s="1253"/>
      <c r="KB3" s="1253" t="s">
        <v>663</v>
      </c>
      <c r="KC3" s="1253"/>
      <c r="KD3" s="1253"/>
      <c r="KE3" s="1253"/>
      <c r="KF3" s="1253"/>
      <c r="KG3" s="1253"/>
      <c r="KH3" s="1253"/>
      <c r="KI3" s="1253"/>
      <c r="KJ3" s="1253"/>
      <c r="KK3" s="1253"/>
      <c r="KL3" s="1253"/>
      <c r="KM3" s="1253"/>
      <c r="KN3" s="1253" t="s">
        <v>663</v>
      </c>
      <c r="KO3" s="1253"/>
      <c r="KP3" s="1253"/>
      <c r="KQ3" s="1253"/>
      <c r="KR3" s="1253"/>
      <c r="KS3" s="1253"/>
      <c r="KT3" s="1253"/>
      <c r="KU3" s="1253"/>
      <c r="KV3" s="1253"/>
      <c r="KW3" s="1253"/>
      <c r="KX3" s="1253"/>
      <c r="KY3" s="1253"/>
      <c r="KZ3" s="1253" t="s">
        <v>663</v>
      </c>
      <c r="LA3" s="1253"/>
      <c r="LB3" s="1253"/>
      <c r="LC3" s="1253"/>
      <c r="LD3" s="1253"/>
      <c r="LE3" s="1253"/>
      <c r="LF3" s="1253"/>
      <c r="LG3" s="1253"/>
      <c r="LH3" s="1253"/>
      <c r="LI3" s="1253"/>
      <c r="LJ3" s="1253"/>
      <c r="LK3" s="1253"/>
      <c r="LL3" s="1253" t="s">
        <v>663</v>
      </c>
      <c r="LM3" s="1253"/>
      <c r="LN3" s="1253"/>
      <c r="LO3" s="1253"/>
      <c r="LP3" s="1253"/>
      <c r="LQ3" s="1253"/>
      <c r="LR3" s="1253"/>
      <c r="LS3" s="1253"/>
      <c r="LT3" s="1253"/>
      <c r="LU3" s="1253"/>
      <c r="LV3" s="1253"/>
      <c r="LW3" s="1253"/>
      <c r="LX3" s="1253" t="s">
        <v>663</v>
      </c>
      <c r="LY3" s="1253"/>
      <c r="LZ3" s="1253"/>
      <c r="MA3" s="1253"/>
      <c r="MB3" s="1253"/>
      <c r="MC3" s="1253"/>
      <c r="MD3" s="1253"/>
      <c r="ME3" s="1253"/>
      <c r="MF3" s="1253"/>
      <c r="MG3" s="1253"/>
      <c r="MH3" s="1253"/>
      <c r="MI3" s="1253"/>
      <c r="MJ3" s="1253" t="s">
        <v>663</v>
      </c>
      <c r="MK3" s="1253"/>
      <c r="ML3" s="1253"/>
      <c r="MM3" s="1253"/>
      <c r="MN3" s="1253"/>
      <c r="MO3" s="1253"/>
      <c r="MP3" s="1253"/>
      <c r="MQ3" s="1253"/>
      <c r="MR3" s="1253"/>
      <c r="MS3" s="1253"/>
      <c r="MT3" s="1253"/>
      <c r="MU3" s="1253"/>
      <c r="MV3" s="1253" t="s">
        <v>663</v>
      </c>
      <c r="MW3" s="1253"/>
      <c r="MX3" s="1253"/>
      <c r="MY3" s="1253"/>
      <c r="MZ3" s="1253"/>
      <c r="NA3" s="1253"/>
      <c r="NB3" s="1253"/>
      <c r="NC3" s="1253"/>
      <c r="ND3" s="1253"/>
      <c r="NE3" s="1253"/>
      <c r="NF3" s="1253"/>
      <c r="NG3" s="1253"/>
      <c r="NH3" s="1255" t="s">
        <v>663</v>
      </c>
      <c r="NI3" s="1255"/>
      <c r="NJ3" s="1255"/>
      <c r="NK3" s="1255"/>
      <c r="NL3" s="1255"/>
      <c r="NM3" s="874"/>
      <c r="NN3" s="874"/>
      <c r="NO3" s="874"/>
      <c r="NP3" s="874"/>
      <c r="NQ3" s="874"/>
      <c r="NR3" s="874"/>
      <c r="NS3" s="874"/>
      <c r="NT3" s="874"/>
      <c r="NU3" s="874"/>
      <c r="NV3" s="874"/>
      <c r="NW3" s="874"/>
    </row>
    <row r="4" spans="1:387" ht="14.3">
      <c r="B4" s="1254" t="s">
        <v>247</v>
      </c>
      <c r="C4" s="1254"/>
      <c r="D4" s="1254"/>
      <c r="E4" s="1254"/>
      <c r="F4" s="1254"/>
      <c r="G4" s="1254"/>
      <c r="H4" s="1254"/>
      <c r="I4" s="1254"/>
      <c r="J4" s="1254"/>
      <c r="K4" s="1254"/>
      <c r="L4" s="1253" t="s">
        <v>247</v>
      </c>
      <c r="M4" s="1253"/>
      <c r="N4" s="1253"/>
      <c r="O4" s="1253"/>
      <c r="P4" s="1253"/>
      <c r="Q4" s="1253"/>
      <c r="R4" s="1253"/>
      <c r="S4" s="1253"/>
      <c r="T4" s="1253"/>
      <c r="U4" s="1253"/>
      <c r="V4" s="1253"/>
      <c r="W4" s="1253"/>
      <c r="X4" s="1253" t="s">
        <v>247</v>
      </c>
      <c r="Y4" s="1253"/>
      <c r="Z4" s="1253"/>
      <c r="AA4" s="1253"/>
      <c r="AB4" s="1253"/>
      <c r="AC4" s="1253"/>
      <c r="AD4" s="1253"/>
      <c r="AE4" s="1253"/>
      <c r="AF4" s="1253"/>
      <c r="AG4" s="1253"/>
      <c r="AH4" s="1253"/>
      <c r="AI4" s="1253"/>
      <c r="AJ4" s="1253" t="s">
        <v>247</v>
      </c>
      <c r="AK4" s="1253"/>
      <c r="AL4" s="1253"/>
      <c r="AM4" s="1253"/>
      <c r="AN4" s="1253"/>
      <c r="AO4" s="1253"/>
      <c r="AP4" s="1253"/>
      <c r="AQ4" s="1253"/>
      <c r="AR4" s="1253"/>
      <c r="AS4" s="1253"/>
      <c r="AT4" s="1253"/>
      <c r="AU4" s="1253"/>
      <c r="AV4" s="1253" t="s">
        <v>247</v>
      </c>
      <c r="AW4" s="1253"/>
      <c r="AX4" s="1253"/>
      <c r="AY4" s="1253"/>
      <c r="AZ4" s="1253"/>
      <c r="BA4" s="1253"/>
      <c r="BB4" s="1253"/>
      <c r="BC4" s="1253"/>
      <c r="BD4" s="1253"/>
      <c r="BE4" s="1253"/>
      <c r="BF4" s="1253"/>
      <c r="BG4" s="1253"/>
      <c r="BH4" s="1253" t="s">
        <v>247</v>
      </c>
      <c r="BI4" s="1253"/>
      <c r="BJ4" s="1253"/>
      <c r="BK4" s="1253"/>
      <c r="BL4" s="1253"/>
      <c r="BM4" s="1253"/>
      <c r="BN4" s="1253"/>
      <c r="BO4" s="1253"/>
      <c r="BP4" s="1253"/>
      <c r="BQ4" s="1253"/>
      <c r="BR4" s="1253"/>
      <c r="BS4" s="1253"/>
      <c r="BT4" s="1253" t="s">
        <v>247</v>
      </c>
      <c r="BU4" s="1253"/>
      <c r="BV4" s="1253"/>
      <c r="BW4" s="1253"/>
      <c r="BX4" s="1253"/>
      <c r="BY4" s="1253"/>
      <c r="BZ4" s="1253"/>
      <c r="CA4" s="1253"/>
      <c r="CB4" s="1253"/>
      <c r="CC4" s="1253"/>
      <c r="CD4" s="1253"/>
      <c r="CE4" s="1253"/>
      <c r="CF4" s="1253" t="s">
        <v>247</v>
      </c>
      <c r="CG4" s="1253"/>
      <c r="CH4" s="1253"/>
      <c r="CI4" s="1253"/>
      <c r="CJ4" s="1253"/>
      <c r="CK4" s="1253"/>
      <c r="CL4" s="1253"/>
      <c r="CM4" s="1253"/>
      <c r="CN4" s="1253"/>
      <c r="CO4" s="1253"/>
      <c r="CP4" s="1253"/>
      <c r="CQ4" s="1253"/>
      <c r="CR4" s="1253" t="s">
        <v>247</v>
      </c>
      <c r="CS4" s="1253"/>
      <c r="CT4" s="1253"/>
      <c r="CU4" s="1253"/>
      <c r="CV4" s="1253"/>
      <c r="CW4" s="1253"/>
      <c r="CX4" s="1253"/>
      <c r="CY4" s="1253"/>
      <c r="CZ4" s="1253"/>
      <c r="DA4" s="1253"/>
      <c r="DB4" s="1253"/>
      <c r="DC4" s="1253"/>
      <c r="DD4" s="1253" t="s">
        <v>247</v>
      </c>
      <c r="DE4" s="1253"/>
      <c r="DF4" s="1253"/>
      <c r="DG4" s="1253"/>
      <c r="DH4" s="1253"/>
      <c r="DI4" s="1253"/>
      <c r="DJ4" s="1253"/>
      <c r="DK4" s="1253"/>
      <c r="DL4" s="1253"/>
      <c r="DM4" s="1253"/>
      <c r="DN4" s="1253"/>
      <c r="DO4" s="1253"/>
      <c r="DP4" s="1253" t="s">
        <v>247</v>
      </c>
      <c r="DQ4" s="1253"/>
      <c r="DR4" s="1253"/>
      <c r="DS4" s="1253"/>
      <c r="DT4" s="1253"/>
      <c r="DU4" s="1253"/>
      <c r="DV4" s="1253"/>
      <c r="DW4" s="1253"/>
      <c r="DX4" s="1253"/>
      <c r="DY4" s="1253"/>
      <c r="DZ4" s="1253"/>
      <c r="EA4" s="1253"/>
      <c r="EB4" s="1253" t="s">
        <v>247</v>
      </c>
      <c r="EC4" s="1253"/>
      <c r="ED4" s="1253"/>
      <c r="EE4" s="1253"/>
      <c r="EF4" s="1253"/>
      <c r="EG4" s="1253"/>
      <c r="EH4" s="1253"/>
      <c r="EI4" s="1253"/>
      <c r="EJ4" s="1253"/>
      <c r="EK4" s="1253"/>
      <c r="EL4" s="1253"/>
      <c r="EM4" s="1253"/>
      <c r="EN4" s="1253" t="s">
        <v>247</v>
      </c>
      <c r="EO4" s="1253"/>
      <c r="EP4" s="1253"/>
      <c r="EQ4" s="1253"/>
      <c r="ER4" s="1253"/>
      <c r="ES4" s="1253"/>
      <c r="ET4" s="1253"/>
      <c r="EU4" s="1253"/>
      <c r="EV4" s="1253"/>
      <c r="EW4" s="1253"/>
      <c r="EX4" s="1253"/>
      <c r="EY4" s="1253"/>
      <c r="EZ4" s="1253" t="s">
        <v>247</v>
      </c>
      <c r="FA4" s="1253"/>
      <c r="FB4" s="1253"/>
      <c r="FC4" s="1253"/>
      <c r="FD4" s="1253"/>
      <c r="FE4" s="1253"/>
      <c r="FF4" s="1253"/>
      <c r="FG4" s="1253"/>
      <c r="FH4" s="1253"/>
      <c r="FI4" s="1253"/>
      <c r="FJ4" s="1253"/>
      <c r="FK4" s="1253"/>
      <c r="FL4" s="1253" t="s">
        <v>247</v>
      </c>
      <c r="FM4" s="1253"/>
      <c r="FN4" s="1253"/>
      <c r="FO4" s="1253"/>
      <c r="FP4" s="1253"/>
      <c r="FQ4" s="1253"/>
      <c r="FR4" s="1253"/>
      <c r="FS4" s="1253"/>
      <c r="FT4" s="1253"/>
      <c r="FU4" s="1253"/>
      <c r="FV4" s="1253"/>
      <c r="FW4" s="1253"/>
      <c r="FX4" s="1253" t="s">
        <v>247</v>
      </c>
      <c r="FY4" s="1253"/>
      <c r="FZ4" s="1253"/>
      <c r="GA4" s="1253"/>
      <c r="GB4" s="1253"/>
      <c r="GC4" s="1253"/>
      <c r="GD4" s="1253"/>
      <c r="GE4" s="1253"/>
      <c r="GF4" s="1253"/>
      <c r="GG4" s="1253"/>
      <c r="GH4" s="1253"/>
      <c r="GI4" s="1253"/>
      <c r="GJ4" s="1253" t="s">
        <v>247</v>
      </c>
      <c r="GK4" s="1253"/>
      <c r="GL4" s="1253"/>
      <c r="GM4" s="1253"/>
      <c r="GN4" s="1253"/>
      <c r="GO4" s="1253"/>
      <c r="GP4" s="1253"/>
      <c r="GQ4" s="1253"/>
      <c r="GR4" s="1253"/>
      <c r="GS4" s="1253"/>
      <c r="GT4" s="1253"/>
      <c r="GU4" s="1253"/>
      <c r="GV4" s="1253" t="s">
        <v>247</v>
      </c>
      <c r="GW4" s="1253"/>
      <c r="GX4" s="1253"/>
      <c r="GY4" s="1253"/>
      <c r="GZ4" s="1253"/>
      <c r="HA4" s="1253"/>
      <c r="HB4" s="1253"/>
      <c r="HC4" s="1253"/>
      <c r="HD4" s="1253"/>
      <c r="HE4" s="1253"/>
      <c r="HF4" s="1253"/>
      <c r="HG4" s="1253"/>
      <c r="HH4" s="1253" t="s">
        <v>247</v>
      </c>
      <c r="HI4" s="1253"/>
      <c r="HJ4" s="1253"/>
      <c r="HK4" s="1253"/>
      <c r="HL4" s="1253"/>
      <c r="HM4" s="1253"/>
      <c r="HN4" s="1253"/>
      <c r="HO4" s="1253"/>
      <c r="HP4" s="1253"/>
      <c r="HQ4" s="1253"/>
      <c r="HR4" s="1253"/>
      <c r="HS4" s="1253"/>
      <c r="HT4" s="1253" t="s">
        <v>247</v>
      </c>
      <c r="HU4" s="1253"/>
      <c r="HV4" s="1253"/>
      <c r="HW4" s="1253"/>
      <c r="HX4" s="1253"/>
      <c r="HY4" s="1253"/>
      <c r="HZ4" s="1253"/>
      <c r="IA4" s="1253"/>
      <c r="IB4" s="1253"/>
      <c r="IC4" s="1253"/>
      <c r="ID4" s="1253"/>
      <c r="IE4" s="1253"/>
      <c r="IF4" s="1253" t="s">
        <v>247</v>
      </c>
      <c r="IG4" s="1253"/>
      <c r="IH4" s="1253"/>
      <c r="II4" s="1253"/>
      <c r="IJ4" s="1253"/>
      <c r="IK4" s="1253"/>
      <c r="IL4" s="1253"/>
      <c r="IM4" s="1253"/>
      <c r="IN4" s="1253"/>
      <c r="IO4" s="1253"/>
      <c r="IP4" s="1253"/>
      <c r="IQ4" s="1253"/>
      <c r="IR4" s="1253" t="s">
        <v>247</v>
      </c>
      <c r="IS4" s="1253"/>
      <c r="IT4" s="1253"/>
      <c r="IU4" s="1253"/>
      <c r="IV4" s="1253"/>
      <c r="IW4" s="1253"/>
      <c r="IX4" s="1253"/>
      <c r="IY4" s="1253"/>
      <c r="IZ4" s="1253"/>
      <c r="JA4" s="1253"/>
      <c r="JB4" s="1253"/>
      <c r="JC4" s="1253"/>
      <c r="JD4" s="1253" t="s">
        <v>247</v>
      </c>
      <c r="JE4" s="1253"/>
      <c r="JF4" s="1253"/>
      <c r="JG4" s="1253"/>
      <c r="JH4" s="1253"/>
      <c r="JI4" s="1253"/>
      <c r="JJ4" s="1253"/>
      <c r="JK4" s="1253"/>
      <c r="JL4" s="1253"/>
      <c r="JM4" s="1253"/>
      <c r="JN4" s="1253"/>
      <c r="JO4" s="1253"/>
      <c r="JP4" s="1253" t="s">
        <v>247</v>
      </c>
      <c r="JQ4" s="1253"/>
      <c r="JR4" s="1253"/>
      <c r="JS4" s="1253"/>
      <c r="JT4" s="1253"/>
      <c r="JU4" s="1253"/>
      <c r="JV4" s="1253"/>
      <c r="JW4" s="1253"/>
      <c r="JX4" s="1253"/>
      <c r="JY4" s="1253"/>
      <c r="JZ4" s="1253"/>
      <c r="KA4" s="1253"/>
      <c r="KB4" s="1253" t="s">
        <v>247</v>
      </c>
      <c r="KC4" s="1253"/>
      <c r="KD4" s="1253"/>
      <c r="KE4" s="1253"/>
      <c r="KF4" s="1253"/>
      <c r="KG4" s="1253"/>
      <c r="KH4" s="1253"/>
      <c r="KI4" s="1253"/>
      <c r="KJ4" s="1253"/>
      <c r="KK4" s="1253"/>
      <c r="KL4" s="1253"/>
      <c r="KM4" s="1253"/>
      <c r="KN4" s="1253" t="s">
        <v>247</v>
      </c>
      <c r="KO4" s="1253"/>
      <c r="KP4" s="1253"/>
      <c r="KQ4" s="1253"/>
      <c r="KR4" s="1253"/>
      <c r="KS4" s="1253"/>
      <c r="KT4" s="1253"/>
      <c r="KU4" s="1253"/>
      <c r="KV4" s="1253"/>
      <c r="KW4" s="1253"/>
      <c r="KX4" s="1253"/>
      <c r="KY4" s="1253"/>
      <c r="KZ4" s="1253" t="s">
        <v>247</v>
      </c>
      <c r="LA4" s="1253"/>
      <c r="LB4" s="1253"/>
      <c r="LC4" s="1253"/>
      <c r="LD4" s="1253"/>
      <c r="LE4" s="1253"/>
      <c r="LF4" s="1253"/>
      <c r="LG4" s="1253"/>
      <c r="LH4" s="1253"/>
      <c r="LI4" s="1253"/>
      <c r="LJ4" s="1253"/>
      <c r="LK4" s="1253"/>
      <c r="LL4" s="1253" t="s">
        <v>247</v>
      </c>
      <c r="LM4" s="1253"/>
      <c r="LN4" s="1253"/>
      <c r="LO4" s="1253"/>
      <c r="LP4" s="1253"/>
      <c r="LQ4" s="1253"/>
      <c r="LR4" s="1253"/>
      <c r="LS4" s="1253"/>
      <c r="LT4" s="1253"/>
      <c r="LU4" s="1253"/>
      <c r="LV4" s="1253"/>
      <c r="LW4" s="1253"/>
      <c r="LX4" s="1253" t="s">
        <v>247</v>
      </c>
      <c r="LY4" s="1253"/>
      <c r="LZ4" s="1253"/>
      <c r="MA4" s="1253"/>
      <c r="MB4" s="1253"/>
      <c r="MC4" s="1253"/>
      <c r="MD4" s="1253"/>
      <c r="ME4" s="1253"/>
      <c r="MF4" s="1253"/>
      <c r="MG4" s="1253"/>
      <c r="MH4" s="1253"/>
      <c r="MI4" s="1253"/>
      <c r="MJ4" s="1253" t="s">
        <v>247</v>
      </c>
      <c r="MK4" s="1253"/>
      <c r="ML4" s="1253"/>
      <c r="MM4" s="1253"/>
      <c r="MN4" s="1253"/>
      <c r="MO4" s="1253"/>
      <c r="MP4" s="1253"/>
      <c r="MQ4" s="1253"/>
      <c r="MR4" s="1253"/>
      <c r="MS4" s="1253"/>
      <c r="MT4" s="1253"/>
      <c r="MU4" s="1253"/>
      <c r="MV4" s="1253" t="s">
        <v>247</v>
      </c>
      <c r="MW4" s="1253"/>
      <c r="MX4" s="1253"/>
      <c r="MY4" s="1253"/>
      <c r="MZ4" s="1253"/>
      <c r="NA4" s="1253"/>
      <c r="NB4" s="1253"/>
      <c r="NC4" s="1253"/>
      <c r="ND4" s="1253"/>
      <c r="NE4" s="1253"/>
      <c r="NF4" s="1253"/>
      <c r="NG4" s="1253"/>
      <c r="NH4" s="1255" t="s">
        <v>247</v>
      </c>
      <c r="NI4" s="1255"/>
      <c r="NJ4" s="1255"/>
      <c r="NK4" s="1255"/>
      <c r="NL4" s="1255"/>
      <c r="NM4" s="874"/>
      <c r="NN4" s="874"/>
      <c r="NO4" s="874"/>
      <c r="NP4" s="874"/>
      <c r="NQ4" s="874"/>
      <c r="NR4" s="874"/>
      <c r="NS4" s="874"/>
      <c r="NT4" s="874"/>
      <c r="NU4" s="874"/>
      <c r="NV4" s="874"/>
      <c r="NW4" s="874"/>
    </row>
    <row r="5" spans="1:387">
      <c r="C5" s="877"/>
      <c r="G5" s="877"/>
      <c r="K5" s="877"/>
      <c r="L5" s="877"/>
      <c r="M5" s="877"/>
      <c r="N5" s="877"/>
      <c r="O5" s="810"/>
      <c r="P5" s="810"/>
      <c r="Q5" s="810"/>
      <c r="R5" s="810"/>
      <c r="S5" s="810"/>
      <c r="T5" s="810"/>
      <c r="U5" s="810"/>
      <c r="V5" s="810"/>
      <c r="W5" s="810"/>
      <c r="X5" s="810"/>
      <c r="Y5" s="810"/>
      <c r="Z5" s="810"/>
      <c r="AA5" s="810"/>
      <c r="AB5" s="810"/>
      <c r="AC5" s="810"/>
      <c r="AD5" s="810"/>
      <c r="AE5" s="810"/>
      <c r="AF5" s="810"/>
      <c r="AG5" s="810"/>
      <c r="AH5" s="810"/>
      <c r="AI5" s="810"/>
      <c r="AJ5" s="810"/>
      <c r="AK5" s="810"/>
      <c r="AL5" s="810"/>
      <c r="AM5" s="810"/>
      <c r="AN5" s="810"/>
      <c r="AO5" s="810"/>
      <c r="AP5" s="810"/>
      <c r="AQ5" s="810"/>
      <c r="AR5" s="810"/>
      <c r="AS5" s="810"/>
      <c r="AT5" s="810"/>
      <c r="AU5" s="810"/>
      <c r="AV5" s="810"/>
      <c r="AW5" s="810"/>
      <c r="AX5" s="810"/>
      <c r="AY5" s="810"/>
      <c r="AZ5" s="810"/>
      <c r="BA5" s="810"/>
      <c r="BB5" s="810"/>
      <c r="BC5" s="810"/>
      <c r="BD5" s="810"/>
      <c r="BE5" s="810"/>
      <c r="BF5" s="810"/>
      <c r="BG5" s="810"/>
      <c r="BH5" s="810"/>
      <c r="BI5" s="810"/>
      <c r="BJ5" s="810"/>
      <c r="BK5" s="810"/>
      <c r="BL5" s="810"/>
      <c r="BM5" s="810"/>
      <c r="BN5" s="810"/>
      <c r="BO5" s="810"/>
      <c r="BP5" s="810"/>
      <c r="BQ5" s="810"/>
      <c r="BR5" s="810"/>
      <c r="BS5" s="810"/>
      <c r="BT5" s="810"/>
      <c r="BU5" s="810"/>
      <c r="BV5" s="810"/>
      <c r="BW5" s="810"/>
      <c r="BX5" s="810"/>
      <c r="BY5" s="810"/>
      <c r="BZ5" s="810"/>
      <c r="CA5" s="810"/>
      <c r="CB5" s="810"/>
      <c r="CC5" s="810"/>
      <c r="CD5" s="810"/>
      <c r="CE5" s="810"/>
      <c r="CF5" s="810"/>
      <c r="CG5" s="810"/>
      <c r="CH5" s="810"/>
      <c r="CI5" s="810"/>
      <c r="CJ5" s="810"/>
      <c r="CK5" s="810"/>
      <c r="CL5" s="810"/>
      <c r="CM5" s="810"/>
      <c r="CN5" s="810"/>
      <c r="CO5" s="810"/>
      <c r="CP5" s="810"/>
      <c r="CQ5" s="810"/>
      <c r="CR5" s="810"/>
      <c r="CS5" s="810"/>
      <c r="CT5" s="810"/>
      <c r="CU5" s="810"/>
      <c r="CV5" s="810"/>
      <c r="CW5" s="810"/>
      <c r="CX5" s="810"/>
      <c r="CY5" s="810"/>
      <c r="CZ5" s="810"/>
      <c r="DA5" s="810"/>
      <c r="DB5" s="810"/>
      <c r="DC5" s="810"/>
      <c r="DD5" s="810"/>
      <c r="DE5" s="810"/>
      <c r="DF5" s="810"/>
      <c r="DG5" s="810"/>
      <c r="DH5" s="810"/>
      <c r="DI5" s="810"/>
      <c r="DJ5" s="810"/>
      <c r="DK5" s="810"/>
      <c r="DL5" s="810"/>
      <c r="DM5" s="810"/>
      <c r="DN5" s="810"/>
      <c r="DO5" s="810"/>
      <c r="DP5" s="810"/>
      <c r="DQ5" s="810"/>
      <c r="DR5" s="810"/>
      <c r="DS5" s="810"/>
      <c r="DT5" s="810"/>
      <c r="DU5" s="810"/>
      <c r="DV5" s="810"/>
      <c r="DW5" s="810"/>
      <c r="DX5" s="810"/>
      <c r="DY5" s="810"/>
      <c r="DZ5" s="810"/>
      <c r="EA5" s="810"/>
      <c r="EB5" s="810"/>
      <c r="EC5" s="810"/>
      <c r="ED5" s="810"/>
      <c r="EE5" s="810"/>
      <c r="EF5" s="810"/>
      <c r="EG5" s="810"/>
      <c r="EH5" s="810"/>
      <c r="EI5" s="810"/>
      <c r="EJ5" s="810"/>
      <c r="EK5" s="810"/>
      <c r="EL5" s="810"/>
      <c r="EM5" s="810"/>
      <c r="EN5" s="810"/>
      <c r="EO5" s="810"/>
      <c r="EP5" s="810"/>
      <c r="EQ5" s="810"/>
      <c r="ER5" s="810"/>
      <c r="ES5" s="810"/>
      <c r="ET5" s="810"/>
      <c r="EU5" s="810"/>
      <c r="EV5" s="810"/>
      <c r="EW5" s="810"/>
      <c r="EX5" s="810"/>
      <c r="EY5" s="810"/>
      <c r="EZ5" s="810"/>
      <c r="FA5" s="810"/>
      <c r="FB5" s="810"/>
      <c r="FC5" s="810"/>
      <c r="FD5" s="810"/>
      <c r="FE5" s="810"/>
      <c r="FF5" s="810"/>
      <c r="FG5" s="810"/>
      <c r="FH5" s="810"/>
      <c r="FI5" s="810"/>
      <c r="FJ5" s="810"/>
      <c r="FK5" s="810"/>
      <c r="FL5" s="810"/>
      <c r="FM5" s="810"/>
      <c r="FN5" s="810"/>
      <c r="FO5" s="810"/>
      <c r="FP5" s="810"/>
      <c r="FQ5" s="810"/>
      <c r="FR5" s="810"/>
      <c r="FS5" s="810"/>
      <c r="FT5" s="810"/>
      <c r="FU5" s="810"/>
      <c r="FV5" s="810"/>
      <c r="FW5" s="810"/>
      <c r="FX5" s="810"/>
      <c r="FY5" s="810"/>
      <c r="FZ5" s="810"/>
      <c r="GA5" s="810"/>
      <c r="GB5" s="810"/>
      <c r="GC5" s="810"/>
      <c r="GD5" s="810"/>
      <c r="GE5" s="810"/>
      <c r="GF5" s="810"/>
      <c r="GG5" s="810"/>
      <c r="GH5" s="810"/>
      <c r="GI5" s="810"/>
      <c r="GJ5" s="810"/>
      <c r="GK5" s="810"/>
      <c r="GL5" s="810"/>
      <c r="GM5" s="810"/>
      <c r="GN5" s="810"/>
      <c r="GO5" s="810"/>
      <c r="GP5" s="810"/>
      <c r="GQ5" s="810"/>
      <c r="GR5" s="810"/>
      <c r="GS5" s="810"/>
      <c r="GT5" s="810"/>
      <c r="GU5" s="810"/>
      <c r="GV5" s="810"/>
      <c r="GW5" s="810"/>
      <c r="GX5" s="810"/>
      <c r="GY5" s="810"/>
      <c r="GZ5" s="810"/>
      <c r="HA5" s="810"/>
      <c r="HB5" s="810"/>
      <c r="HC5" s="810"/>
      <c r="HD5" s="810"/>
      <c r="HE5" s="810"/>
      <c r="HF5" s="810"/>
      <c r="HG5" s="810"/>
      <c r="HH5" s="810"/>
      <c r="HI5" s="810"/>
      <c r="HJ5" s="810"/>
      <c r="HK5" s="810"/>
      <c r="HL5" s="810"/>
      <c r="HM5" s="810"/>
      <c r="HN5" s="810"/>
      <c r="HO5" s="810"/>
      <c r="HP5" s="810"/>
      <c r="HQ5" s="810"/>
      <c r="HR5" s="810"/>
      <c r="HS5" s="810"/>
      <c r="HT5" s="810"/>
      <c r="HU5" s="810"/>
      <c r="HV5" s="810"/>
      <c r="HW5" s="810"/>
      <c r="HX5" s="810"/>
      <c r="HY5" s="810"/>
      <c r="HZ5" s="810"/>
      <c r="IA5" s="810"/>
      <c r="IB5" s="810"/>
      <c r="IC5" s="810"/>
      <c r="ID5" s="810"/>
      <c r="IE5" s="810"/>
      <c r="IF5" s="810"/>
      <c r="IG5" s="810"/>
      <c r="IH5" s="810"/>
      <c r="II5" s="810"/>
      <c r="IJ5" s="810"/>
      <c r="IK5" s="810"/>
      <c r="IL5" s="810"/>
      <c r="IM5" s="810"/>
      <c r="IN5" s="810"/>
      <c r="IO5" s="810"/>
      <c r="IP5" s="810"/>
      <c r="IQ5" s="810"/>
      <c r="IR5" s="810"/>
      <c r="IS5" s="810"/>
      <c r="IT5" s="810"/>
      <c r="IU5" s="810"/>
      <c r="IV5" s="810"/>
      <c r="IW5" s="810"/>
      <c r="IX5" s="810"/>
      <c r="IY5" s="810"/>
      <c r="IZ5" s="810"/>
      <c r="JA5" s="810"/>
      <c r="JB5" s="810"/>
      <c r="JC5" s="810"/>
      <c r="JD5" s="810"/>
      <c r="JE5" s="810"/>
      <c r="JF5" s="810"/>
      <c r="JG5" s="810"/>
      <c r="JH5" s="810"/>
      <c r="JI5" s="810"/>
      <c r="JJ5" s="810"/>
      <c r="JK5" s="810"/>
      <c r="JL5" s="810"/>
      <c r="JM5" s="810"/>
      <c r="JN5" s="810"/>
      <c r="JO5" s="810"/>
      <c r="JP5" s="810"/>
      <c r="JQ5" s="810"/>
      <c r="JR5" s="810"/>
      <c r="JS5" s="810"/>
      <c r="JT5" s="810"/>
      <c r="JU5" s="810"/>
      <c r="JV5" s="810"/>
      <c r="JW5" s="810"/>
      <c r="JX5" s="810"/>
      <c r="JY5" s="810"/>
      <c r="JZ5" s="810"/>
      <c r="KA5" s="810"/>
      <c r="KB5" s="810"/>
      <c r="KC5" s="810"/>
      <c r="KD5" s="810"/>
      <c r="KE5" s="810"/>
      <c r="KF5" s="810"/>
      <c r="KG5" s="810"/>
      <c r="KH5" s="810"/>
      <c r="KI5" s="810"/>
      <c r="KJ5" s="810"/>
      <c r="KK5" s="810"/>
      <c r="KL5" s="810"/>
      <c r="KM5" s="810"/>
      <c r="KN5" s="810"/>
      <c r="KO5" s="810"/>
      <c r="KP5" s="810"/>
      <c r="KQ5" s="810"/>
      <c r="KR5" s="810"/>
      <c r="KS5" s="810"/>
      <c r="KT5" s="810"/>
      <c r="KU5" s="810"/>
      <c r="KV5" s="810"/>
      <c r="KW5" s="810"/>
      <c r="KX5" s="810"/>
      <c r="KY5" s="810"/>
      <c r="KZ5" s="810"/>
      <c r="LA5" s="810"/>
      <c r="LB5" s="810"/>
      <c r="LC5" s="810"/>
      <c r="LD5" s="810"/>
      <c r="LE5" s="810"/>
      <c r="LF5" s="810"/>
      <c r="LG5" s="810"/>
      <c r="LH5" s="810"/>
      <c r="LI5" s="810"/>
      <c r="LJ5" s="810"/>
      <c r="LK5" s="810"/>
      <c r="LL5" s="810"/>
      <c r="LM5" s="810"/>
      <c r="LN5" s="810"/>
      <c r="LO5" s="810"/>
      <c r="LP5" s="810"/>
      <c r="LQ5" s="810"/>
      <c r="LR5" s="810"/>
      <c r="LS5" s="810"/>
      <c r="LT5" s="810"/>
      <c r="LU5" s="810"/>
      <c r="LV5" s="810"/>
      <c r="LW5" s="810"/>
      <c r="LX5" s="810"/>
      <c r="LY5" s="810"/>
      <c r="LZ5" s="810"/>
      <c r="MA5" s="810"/>
      <c r="MB5" s="810"/>
      <c r="MC5" s="810"/>
      <c r="MD5" s="810"/>
      <c r="ME5" s="810"/>
      <c r="MF5" s="810"/>
      <c r="MG5" s="810"/>
      <c r="MH5" s="810"/>
      <c r="MI5" s="810"/>
      <c r="MJ5" s="810"/>
      <c r="MK5" s="810"/>
      <c r="ML5" s="810"/>
      <c r="MM5" s="810"/>
      <c r="MN5" s="810"/>
      <c r="MO5" s="810"/>
      <c r="MP5" s="810"/>
      <c r="MQ5" s="810"/>
      <c r="MR5" s="810"/>
      <c r="MS5" s="810"/>
      <c r="MT5" s="810"/>
      <c r="MU5" s="810"/>
      <c r="MV5" s="810"/>
      <c r="MW5" s="810"/>
      <c r="MX5" s="810"/>
      <c r="MY5" s="810"/>
      <c r="MZ5" s="810"/>
      <c r="NA5" s="810"/>
      <c r="NB5" s="810"/>
      <c r="NC5" s="810"/>
      <c r="ND5" s="810"/>
      <c r="NE5" s="810"/>
      <c r="NF5" s="810"/>
      <c r="NG5" s="810"/>
      <c r="NH5" s="810"/>
      <c r="NI5" s="810"/>
      <c r="NJ5" s="810"/>
      <c r="NK5" s="874"/>
      <c r="NL5" s="810"/>
      <c r="NM5" s="810"/>
      <c r="NN5" s="874"/>
      <c r="NO5" s="874"/>
      <c r="NP5" s="874"/>
      <c r="NQ5" s="874"/>
      <c r="NR5" s="874"/>
      <c r="NS5" s="874"/>
      <c r="NT5" s="874"/>
      <c r="NU5" s="874"/>
      <c r="NV5" s="874"/>
      <c r="NW5" s="874"/>
    </row>
    <row r="6" spans="1:387" ht="15.65">
      <c r="A6" s="874"/>
      <c r="B6" s="939" t="s">
        <v>925</v>
      </c>
      <c r="C6" s="938"/>
      <c r="D6" s="874"/>
      <c r="E6" s="874"/>
      <c r="F6" s="874"/>
      <c r="G6" s="810"/>
      <c r="H6" s="874"/>
      <c r="I6" s="874"/>
      <c r="J6" s="874"/>
      <c r="K6" s="810"/>
      <c r="L6" s="810"/>
      <c r="M6" s="810"/>
      <c r="N6" s="810"/>
      <c r="O6" s="810"/>
      <c r="P6" s="810"/>
      <c r="Q6" s="810"/>
      <c r="R6" s="810"/>
      <c r="S6" s="810"/>
      <c r="T6" s="810"/>
      <c r="U6" s="810"/>
      <c r="V6" s="810"/>
      <c r="W6" s="810"/>
      <c r="X6" s="810"/>
      <c r="Y6" s="810"/>
      <c r="Z6" s="810"/>
      <c r="AA6" s="810"/>
      <c r="AB6" s="810"/>
      <c r="AC6" s="810"/>
      <c r="AD6" s="810"/>
      <c r="AE6" s="810"/>
      <c r="AF6" s="810"/>
      <c r="AG6" s="810"/>
      <c r="AH6" s="810"/>
      <c r="AI6" s="810"/>
      <c r="AJ6" s="810"/>
      <c r="AK6" s="810"/>
      <c r="AL6" s="810"/>
      <c r="AM6" s="810"/>
      <c r="AN6" s="810"/>
      <c r="AO6" s="810"/>
      <c r="AP6" s="810"/>
      <c r="AQ6" s="810"/>
      <c r="AR6" s="810"/>
      <c r="AS6" s="810"/>
      <c r="AT6" s="810"/>
      <c r="AU6" s="810"/>
      <c r="AV6" s="810"/>
      <c r="AW6" s="810"/>
      <c r="AX6" s="810"/>
      <c r="AY6" s="810"/>
      <c r="AZ6" s="810"/>
      <c r="BA6" s="810"/>
      <c r="BB6" s="810"/>
      <c r="BC6" s="810"/>
      <c r="BD6" s="810"/>
      <c r="BE6" s="810"/>
      <c r="BF6" s="810"/>
      <c r="BG6" s="810"/>
      <c r="BH6" s="810"/>
      <c r="BI6" s="810"/>
      <c r="BJ6" s="810"/>
      <c r="BK6" s="810"/>
      <c r="BL6" s="810"/>
      <c r="BM6" s="810"/>
      <c r="BN6" s="810"/>
      <c r="BO6" s="810"/>
      <c r="BP6" s="810"/>
      <c r="BQ6" s="810"/>
      <c r="BR6" s="810"/>
      <c r="BS6" s="810"/>
      <c r="BT6" s="810"/>
      <c r="BU6" s="810"/>
      <c r="BV6" s="810"/>
      <c r="BW6" s="810"/>
      <c r="BX6" s="810"/>
      <c r="BY6" s="810"/>
      <c r="BZ6" s="810"/>
      <c r="CA6" s="810"/>
      <c r="CB6" s="810"/>
      <c r="CC6" s="810"/>
      <c r="CD6" s="810"/>
      <c r="CE6" s="810"/>
      <c r="CF6" s="810"/>
      <c r="CG6" s="810"/>
      <c r="CH6" s="810"/>
      <c r="CI6" s="810"/>
      <c r="CJ6" s="810"/>
      <c r="CK6" s="810"/>
      <c r="CL6" s="810"/>
      <c r="CM6" s="810"/>
      <c r="CN6" s="810"/>
      <c r="CO6" s="810"/>
      <c r="CP6" s="810"/>
      <c r="CQ6" s="810"/>
      <c r="CR6" s="810"/>
      <c r="CS6" s="810"/>
      <c r="CT6" s="810"/>
      <c r="CU6" s="810"/>
      <c r="CV6" s="810"/>
      <c r="CW6" s="810"/>
      <c r="CX6" s="810"/>
      <c r="CY6" s="810"/>
      <c r="CZ6" s="810"/>
      <c r="DA6" s="810"/>
      <c r="DB6" s="810"/>
      <c r="DC6" s="810"/>
      <c r="DD6" s="810"/>
      <c r="DE6" s="810"/>
      <c r="DF6" s="810"/>
      <c r="DG6" s="810"/>
      <c r="DH6" s="810"/>
      <c r="DI6" s="810"/>
      <c r="DJ6" s="810"/>
      <c r="DK6" s="810"/>
      <c r="DL6" s="810"/>
      <c r="DM6" s="810"/>
      <c r="DN6" s="810"/>
      <c r="DO6" s="810"/>
      <c r="DP6" s="810"/>
      <c r="DQ6" s="810"/>
      <c r="DR6" s="810"/>
      <c r="DS6" s="810"/>
      <c r="DT6" s="810"/>
      <c r="DU6" s="810"/>
      <c r="DV6" s="810"/>
      <c r="DW6" s="810"/>
      <c r="DX6" s="810"/>
      <c r="DY6" s="810"/>
      <c r="DZ6" s="810"/>
      <c r="EA6" s="810"/>
      <c r="EB6" s="810"/>
      <c r="EC6" s="810"/>
      <c r="ED6" s="810"/>
      <c r="EE6" s="810"/>
      <c r="EF6" s="810"/>
      <c r="EG6" s="810"/>
      <c r="EH6" s="810"/>
      <c r="EI6" s="810"/>
      <c r="EJ6" s="810"/>
      <c r="EK6" s="810"/>
      <c r="EL6" s="810"/>
      <c r="EM6" s="810"/>
      <c r="EN6" s="810"/>
      <c r="EO6" s="810"/>
      <c r="EP6" s="810"/>
      <c r="EQ6" s="810"/>
      <c r="ER6" s="810"/>
      <c r="ES6" s="810"/>
      <c r="ET6" s="810"/>
      <c r="EU6" s="810"/>
      <c r="EV6" s="810"/>
      <c r="EW6" s="810"/>
      <c r="EX6" s="810"/>
      <c r="EY6" s="810"/>
      <c r="EZ6" s="810"/>
      <c r="FA6" s="810"/>
      <c r="FB6" s="810"/>
      <c r="FC6" s="810"/>
      <c r="FD6" s="810"/>
      <c r="FE6" s="810"/>
      <c r="FF6" s="810"/>
      <c r="FG6" s="810"/>
      <c r="FH6" s="810"/>
      <c r="FI6" s="810"/>
      <c r="FJ6" s="810"/>
      <c r="FK6" s="810"/>
      <c r="FL6" s="810"/>
      <c r="FM6" s="810"/>
      <c r="FN6" s="810"/>
      <c r="FO6" s="810"/>
      <c r="FP6" s="810"/>
      <c r="FQ6" s="810"/>
      <c r="FR6" s="810"/>
      <c r="FS6" s="810"/>
      <c r="FT6" s="810"/>
      <c r="FU6" s="810"/>
      <c r="FV6" s="810"/>
      <c r="FW6" s="810"/>
      <c r="FX6" s="810"/>
      <c r="FY6" s="810"/>
      <c r="FZ6" s="810"/>
      <c r="GA6" s="810"/>
      <c r="GB6" s="810"/>
      <c r="GC6" s="810"/>
      <c r="GD6" s="810"/>
      <c r="GE6" s="810"/>
      <c r="GF6" s="810"/>
      <c r="GG6" s="810"/>
      <c r="GH6" s="810"/>
      <c r="GI6" s="810"/>
      <c r="GJ6" s="810"/>
      <c r="GK6" s="810"/>
      <c r="GL6" s="810"/>
      <c r="GM6" s="810"/>
      <c r="GN6" s="810"/>
      <c r="GO6" s="810"/>
      <c r="GP6" s="810"/>
      <c r="GQ6" s="810"/>
      <c r="GR6" s="810"/>
      <c r="GS6" s="810"/>
      <c r="GT6" s="810"/>
      <c r="GU6" s="810"/>
      <c r="GV6" s="810"/>
      <c r="GW6" s="810"/>
      <c r="GX6" s="810"/>
      <c r="GY6" s="810"/>
      <c r="GZ6" s="810"/>
      <c r="HA6" s="810"/>
      <c r="HB6" s="810"/>
      <c r="HC6" s="810"/>
      <c r="HD6" s="810"/>
      <c r="HE6" s="810"/>
      <c r="HF6" s="810"/>
      <c r="HG6" s="810"/>
      <c r="HH6" s="810"/>
      <c r="HI6" s="810"/>
      <c r="HJ6" s="810"/>
      <c r="HK6" s="810"/>
      <c r="HL6" s="810"/>
      <c r="HM6" s="810"/>
      <c r="HN6" s="810"/>
      <c r="HO6" s="810"/>
      <c r="HP6" s="810"/>
      <c r="HQ6" s="810"/>
      <c r="HR6" s="810"/>
      <c r="HS6" s="810"/>
      <c r="HT6" s="810"/>
      <c r="HU6" s="810"/>
      <c r="HV6" s="810"/>
      <c r="HW6" s="810"/>
      <c r="HX6" s="810"/>
      <c r="HY6" s="810"/>
      <c r="HZ6" s="810"/>
      <c r="IA6" s="810"/>
      <c r="IB6" s="810"/>
      <c r="IC6" s="810"/>
      <c r="ID6" s="810"/>
      <c r="IE6" s="810"/>
      <c r="IF6" s="810"/>
      <c r="IG6" s="810"/>
      <c r="IH6" s="810"/>
      <c r="II6" s="810"/>
      <c r="IJ6" s="810"/>
      <c r="IK6" s="810"/>
      <c r="IL6" s="810"/>
      <c r="IM6" s="810"/>
      <c r="IN6" s="810"/>
      <c r="IO6" s="810"/>
      <c r="IP6" s="810"/>
      <c r="IQ6" s="810"/>
      <c r="IR6" s="810"/>
      <c r="IS6" s="810"/>
      <c r="IT6" s="810"/>
      <c r="IU6" s="810"/>
      <c r="IV6" s="810"/>
      <c r="IW6" s="810"/>
      <c r="IX6" s="810"/>
      <c r="IY6" s="810"/>
      <c r="IZ6" s="810"/>
      <c r="JA6" s="810"/>
      <c r="JB6" s="810"/>
      <c r="JC6" s="810"/>
      <c r="JD6" s="810"/>
      <c r="JE6" s="810"/>
      <c r="JF6" s="810"/>
      <c r="JG6" s="810"/>
      <c r="JH6" s="810"/>
      <c r="JI6" s="810"/>
      <c r="JJ6" s="810"/>
      <c r="JK6" s="810"/>
      <c r="JL6" s="810"/>
      <c r="JM6" s="810"/>
      <c r="JN6" s="810"/>
      <c r="JO6" s="810"/>
      <c r="JP6" s="810"/>
      <c r="JQ6" s="810"/>
      <c r="JR6" s="810"/>
      <c r="JS6" s="810"/>
      <c r="JT6" s="810"/>
      <c r="JU6" s="810"/>
      <c r="JV6" s="810"/>
      <c r="JW6" s="810"/>
      <c r="JX6" s="810"/>
      <c r="JY6" s="810"/>
      <c r="JZ6" s="810"/>
      <c r="KA6" s="810"/>
      <c r="KB6" s="810"/>
      <c r="KC6" s="810"/>
      <c r="KD6" s="810"/>
      <c r="KE6" s="810"/>
      <c r="KF6" s="810"/>
      <c r="KG6" s="810"/>
      <c r="KH6" s="810"/>
      <c r="KI6" s="810"/>
      <c r="KJ6" s="810"/>
      <c r="KK6" s="810"/>
      <c r="KL6" s="810"/>
      <c r="KM6" s="810"/>
      <c r="KN6" s="810"/>
      <c r="KO6" s="810"/>
      <c r="KP6" s="810"/>
      <c r="KQ6" s="810"/>
      <c r="KR6" s="810"/>
      <c r="KS6" s="810"/>
      <c r="KT6" s="810"/>
      <c r="KU6" s="810"/>
      <c r="KV6" s="810"/>
      <c r="KW6" s="810"/>
      <c r="KX6" s="810"/>
      <c r="KY6" s="810"/>
      <c r="KZ6" s="810"/>
      <c r="LA6" s="810"/>
      <c r="LB6" s="810"/>
      <c r="LC6" s="810"/>
      <c r="LD6" s="810"/>
      <c r="LE6" s="810"/>
      <c r="LF6" s="810"/>
      <c r="LG6" s="810"/>
      <c r="LH6" s="810"/>
      <c r="LI6" s="810"/>
      <c r="LJ6" s="810"/>
      <c r="LK6" s="810"/>
      <c r="LL6" s="810"/>
      <c r="LM6" s="810"/>
      <c r="LN6" s="810"/>
      <c r="LO6" s="810"/>
      <c r="LP6" s="810"/>
      <c r="LQ6" s="810"/>
      <c r="LR6" s="810"/>
      <c r="LS6" s="810"/>
      <c r="LT6" s="810"/>
      <c r="LU6" s="810"/>
      <c r="LV6" s="810"/>
      <c r="LW6" s="810"/>
      <c r="LX6" s="810"/>
      <c r="LY6" s="810"/>
      <c r="LZ6" s="810"/>
      <c r="MA6" s="810"/>
      <c r="MB6" s="810"/>
      <c r="MC6" s="810"/>
      <c r="MD6" s="810"/>
      <c r="ME6" s="810"/>
      <c r="MF6" s="810"/>
      <c r="MG6" s="810"/>
      <c r="MH6" s="810"/>
      <c r="MI6" s="810"/>
      <c r="MJ6" s="810"/>
      <c r="MK6" s="810"/>
      <c r="ML6" s="810"/>
      <c r="MM6" s="810"/>
      <c r="MN6" s="810"/>
      <c r="MO6" s="810"/>
      <c r="MP6" s="810"/>
      <c r="MQ6" s="810"/>
      <c r="MR6" s="810"/>
      <c r="MS6" s="810"/>
      <c r="MT6" s="810"/>
      <c r="MU6" s="810"/>
      <c r="MV6" s="810"/>
      <c r="MW6" s="810"/>
      <c r="MX6" s="810"/>
      <c r="MY6" s="810"/>
      <c r="MZ6" s="810"/>
      <c r="NA6" s="810"/>
      <c r="NB6" s="810"/>
      <c r="NC6" s="810"/>
      <c r="ND6" s="810"/>
      <c r="NE6" s="810"/>
      <c r="NF6" s="810"/>
      <c r="NG6" s="810"/>
      <c r="NH6" s="810"/>
      <c r="NI6" s="810"/>
      <c r="NJ6" s="810"/>
      <c r="NK6" s="810"/>
      <c r="NL6" s="810"/>
      <c r="NM6" s="810"/>
      <c r="NN6" s="874"/>
      <c r="NO6" s="874"/>
      <c r="NP6" s="874"/>
      <c r="NQ6" s="874"/>
      <c r="NR6" s="874"/>
      <c r="NS6" s="874"/>
      <c r="NT6" s="874"/>
      <c r="NU6" s="874"/>
      <c r="NV6" s="874"/>
      <c r="NW6" s="874"/>
    </row>
    <row r="7" spans="1:387" ht="15.65">
      <c r="A7" s="874"/>
      <c r="B7" s="939" t="s">
        <v>926</v>
      </c>
      <c r="C7" s="938"/>
      <c r="D7" s="874"/>
      <c r="E7" s="874"/>
      <c r="F7" s="874"/>
      <c r="G7" s="810"/>
      <c r="H7" s="874"/>
      <c r="I7" s="874"/>
      <c r="J7" s="874"/>
      <c r="K7" s="810"/>
      <c r="L7" s="810"/>
      <c r="M7" s="810"/>
      <c r="N7" s="810"/>
      <c r="O7" s="810"/>
      <c r="P7" s="810"/>
      <c r="Q7" s="810"/>
      <c r="R7" s="810"/>
      <c r="S7" s="810"/>
      <c r="T7" s="810"/>
      <c r="U7" s="810"/>
      <c r="V7" s="810"/>
      <c r="W7" s="810"/>
      <c r="X7" s="810"/>
      <c r="Y7" s="810"/>
      <c r="Z7" s="810"/>
      <c r="AA7" s="810"/>
      <c r="AB7" s="810"/>
      <c r="AC7" s="810"/>
      <c r="AD7" s="810"/>
      <c r="AE7" s="810"/>
      <c r="AF7" s="810"/>
      <c r="AG7" s="810"/>
      <c r="AH7" s="810"/>
      <c r="AI7" s="810"/>
      <c r="AJ7" s="810"/>
      <c r="AK7" s="810"/>
      <c r="AL7" s="810"/>
      <c r="AM7" s="810"/>
      <c r="AN7" s="810"/>
      <c r="AO7" s="810"/>
      <c r="AP7" s="810"/>
      <c r="AQ7" s="810"/>
      <c r="AR7" s="810"/>
      <c r="AS7" s="810"/>
      <c r="AT7" s="810"/>
      <c r="AU7" s="810"/>
      <c r="AV7" s="810"/>
      <c r="AW7" s="810"/>
      <c r="AX7" s="810"/>
      <c r="AY7" s="810"/>
      <c r="AZ7" s="810"/>
      <c r="BA7" s="810"/>
      <c r="BB7" s="810"/>
      <c r="BC7" s="810"/>
      <c r="BD7" s="810"/>
      <c r="BE7" s="810"/>
      <c r="BF7" s="810"/>
      <c r="BG7" s="810"/>
      <c r="BH7" s="810"/>
      <c r="BI7" s="810"/>
      <c r="BJ7" s="810"/>
      <c r="BK7" s="810"/>
      <c r="BL7" s="810"/>
      <c r="BM7" s="810"/>
      <c r="BN7" s="810"/>
      <c r="BO7" s="810"/>
      <c r="BP7" s="810"/>
      <c r="BQ7" s="810"/>
      <c r="BR7" s="810"/>
      <c r="BS7" s="810"/>
      <c r="BT7" s="810"/>
      <c r="BU7" s="810"/>
      <c r="BV7" s="810"/>
      <c r="BW7" s="810"/>
      <c r="BX7" s="810"/>
      <c r="BY7" s="810"/>
      <c r="BZ7" s="810"/>
      <c r="CA7" s="810"/>
      <c r="CB7" s="810"/>
      <c r="CC7" s="810"/>
      <c r="CD7" s="810"/>
      <c r="CE7" s="810"/>
      <c r="CF7" s="810"/>
      <c r="CG7" s="810"/>
      <c r="CH7" s="810"/>
      <c r="CI7" s="810"/>
      <c r="CJ7" s="810"/>
      <c r="CK7" s="810"/>
      <c r="CL7" s="810"/>
      <c r="CM7" s="810"/>
      <c r="CN7" s="810"/>
      <c r="CO7" s="810"/>
      <c r="CP7" s="810"/>
      <c r="CQ7" s="810"/>
      <c r="CR7" s="810"/>
      <c r="CS7" s="810"/>
      <c r="CT7" s="810"/>
      <c r="CU7" s="810"/>
      <c r="CV7" s="810"/>
      <c r="CW7" s="810"/>
      <c r="CX7" s="810"/>
      <c r="CY7" s="810"/>
      <c r="CZ7" s="810"/>
      <c r="DA7" s="810"/>
      <c r="DB7" s="810"/>
      <c r="DC7" s="810"/>
      <c r="DD7" s="810"/>
      <c r="DE7" s="810"/>
      <c r="DF7" s="810"/>
      <c r="DG7" s="810"/>
      <c r="DH7" s="810"/>
      <c r="DI7" s="810"/>
      <c r="DJ7" s="810"/>
      <c r="DK7" s="810"/>
      <c r="DL7" s="810"/>
      <c r="DM7" s="810"/>
      <c r="DN7" s="810"/>
      <c r="DO7" s="810"/>
      <c r="DP7" s="810"/>
      <c r="DQ7" s="810"/>
      <c r="DR7" s="810"/>
      <c r="DS7" s="810"/>
      <c r="DT7" s="810"/>
      <c r="DU7" s="810"/>
      <c r="DV7" s="810"/>
      <c r="DW7" s="810"/>
      <c r="DX7" s="810"/>
      <c r="DY7" s="810"/>
      <c r="DZ7" s="810"/>
      <c r="EA7" s="810"/>
      <c r="EB7" s="810"/>
      <c r="EC7" s="810"/>
      <c r="ED7" s="810"/>
      <c r="EE7" s="810"/>
      <c r="EF7" s="810"/>
      <c r="EG7" s="810"/>
      <c r="EH7" s="810"/>
      <c r="EI7" s="810"/>
      <c r="EJ7" s="810"/>
      <c r="EK7" s="810"/>
      <c r="EL7" s="810"/>
      <c r="EM7" s="810"/>
      <c r="EN7" s="810"/>
      <c r="EO7" s="810"/>
      <c r="EP7" s="810"/>
      <c r="EQ7" s="810"/>
      <c r="ER7" s="810"/>
      <c r="ES7" s="810"/>
      <c r="ET7" s="810"/>
      <c r="EU7" s="810"/>
      <c r="EV7" s="810"/>
      <c r="EW7" s="810"/>
      <c r="EX7" s="810"/>
      <c r="EY7" s="810"/>
      <c r="EZ7" s="810"/>
      <c r="FA7" s="810"/>
      <c r="FB7" s="810"/>
      <c r="FC7" s="810"/>
      <c r="FD7" s="810"/>
      <c r="FE7" s="810"/>
      <c r="FF7" s="810"/>
      <c r="FG7" s="810"/>
      <c r="FH7" s="810"/>
      <c r="FI7" s="810"/>
      <c r="FJ7" s="810"/>
      <c r="FK7" s="810"/>
      <c r="FL7" s="810"/>
      <c r="FM7" s="810"/>
      <c r="FN7" s="810"/>
      <c r="FO7" s="810"/>
      <c r="FP7" s="810"/>
      <c r="FQ7" s="810"/>
      <c r="FR7" s="810"/>
      <c r="FS7" s="810"/>
      <c r="FT7" s="810"/>
      <c r="FU7" s="810"/>
      <c r="FV7" s="810"/>
      <c r="FW7" s="810"/>
      <c r="FX7" s="810"/>
      <c r="FY7" s="810"/>
      <c r="FZ7" s="810"/>
      <c r="GA7" s="810"/>
      <c r="GB7" s="810"/>
      <c r="GC7" s="810"/>
      <c r="GD7" s="810"/>
      <c r="GE7" s="810"/>
      <c r="GF7" s="810"/>
      <c r="GG7" s="810"/>
      <c r="GH7" s="810"/>
      <c r="GI7" s="810"/>
      <c r="GJ7" s="810"/>
      <c r="GK7" s="810"/>
      <c r="GL7" s="810"/>
      <c r="GM7" s="810"/>
      <c r="GN7" s="810"/>
      <c r="GO7" s="810"/>
      <c r="GP7" s="810"/>
      <c r="GQ7" s="810"/>
      <c r="GR7" s="810"/>
      <c r="GS7" s="810"/>
      <c r="GT7" s="810"/>
      <c r="GU7" s="810"/>
      <c r="GV7" s="810"/>
      <c r="GW7" s="810"/>
      <c r="GX7" s="810"/>
      <c r="GY7" s="810"/>
      <c r="GZ7" s="810"/>
      <c r="HA7" s="810"/>
      <c r="HB7" s="810"/>
      <c r="HC7" s="810"/>
      <c r="HD7" s="810"/>
      <c r="HE7" s="810"/>
      <c r="HF7" s="810"/>
      <c r="HG7" s="810"/>
      <c r="HH7" s="810"/>
      <c r="HI7" s="810"/>
      <c r="HJ7" s="810"/>
      <c r="HK7" s="810"/>
      <c r="HL7" s="810"/>
      <c r="HM7" s="810"/>
      <c r="HN7" s="810"/>
      <c r="HO7" s="810"/>
      <c r="HP7" s="810"/>
      <c r="HQ7" s="810"/>
      <c r="HR7" s="810"/>
      <c r="HS7" s="810"/>
      <c r="HT7" s="810"/>
      <c r="HU7" s="810"/>
      <c r="HV7" s="810"/>
      <c r="HW7" s="810"/>
      <c r="HX7" s="810"/>
      <c r="HY7" s="810"/>
      <c r="HZ7" s="810"/>
      <c r="IA7" s="810"/>
      <c r="IB7" s="810"/>
      <c r="IC7" s="810"/>
      <c r="ID7" s="810"/>
      <c r="IE7" s="810"/>
      <c r="IF7" s="810"/>
      <c r="IG7" s="810"/>
      <c r="IH7" s="810"/>
      <c r="II7" s="810"/>
      <c r="IJ7" s="810"/>
      <c r="IK7" s="810"/>
      <c r="IL7" s="810"/>
      <c r="IM7" s="810"/>
      <c r="IN7" s="810"/>
      <c r="IO7" s="810"/>
      <c r="IP7" s="810"/>
      <c r="IQ7" s="810"/>
      <c r="IR7" s="810"/>
      <c r="IS7" s="810"/>
      <c r="IT7" s="810"/>
      <c r="IU7" s="810"/>
      <c r="IV7" s="810"/>
      <c r="IW7" s="810"/>
      <c r="IX7" s="810"/>
      <c r="IY7" s="810"/>
      <c r="IZ7" s="810"/>
      <c r="JA7" s="810"/>
      <c r="JB7" s="810"/>
      <c r="JC7" s="810"/>
      <c r="JD7" s="810"/>
      <c r="JE7" s="810"/>
      <c r="JF7" s="810"/>
      <c r="JG7" s="810"/>
      <c r="JH7" s="810"/>
      <c r="JI7" s="810"/>
      <c r="JJ7" s="810"/>
      <c r="JK7" s="810"/>
      <c r="JL7" s="810"/>
      <c r="JM7" s="810"/>
      <c r="JN7" s="810"/>
      <c r="JO7" s="810"/>
      <c r="JP7" s="810"/>
      <c r="JQ7" s="810"/>
      <c r="JR7" s="810"/>
      <c r="JS7" s="810"/>
      <c r="JT7" s="810"/>
      <c r="JU7" s="810"/>
      <c r="JV7" s="810"/>
      <c r="JW7" s="810"/>
      <c r="JX7" s="810"/>
      <c r="JY7" s="810"/>
      <c r="JZ7" s="810"/>
      <c r="KA7" s="810"/>
      <c r="KB7" s="810"/>
      <c r="KC7" s="810"/>
      <c r="KD7" s="810"/>
      <c r="KE7" s="810"/>
      <c r="KF7" s="810"/>
      <c r="KG7" s="810"/>
      <c r="KH7" s="810"/>
      <c r="KI7" s="810"/>
      <c r="KJ7" s="810"/>
      <c r="KK7" s="810"/>
      <c r="KL7" s="810"/>
      <c r="KM7" s="810"/>
      <c r="KN7" s="810"/>
      <c r="KO7" s="810"/>
      <c r="KP7" s="810"/>
      <c r="KQ7" s="810"/>
      <c r="KR7" s="810"/>
      <c r="KS7" s="810"/>
      <c r="KT7" s="810"/>
      <c r="KU7" s="810"/>
      <c r="KV7" s="810"/>
      <c r="KW7" s="810"/>
      <c r="KX7" s="810"/>
      <c r="KY7" s="810"/>
      <c r="KZ7" s="810"/>
      <c r="LA7" s="810"/>
      <c r="LB7" s="810"/>
      <c r="LC7" s="810"/>
      <c r="LD7" s="810"/>
      <c r="LE7" s="810"/>
      <c r="LF7" s="810"/>
      <c r="LG7" s="810"/>
      <c r="LH7" s="810"/>
      <c r="LI7" s="810"/>
      <c r="LJ7" s="810"/>
      <c r="LK7" s="810"/>
      <c r="LL7" s="810"/>
      <c r="LM7" s="810"/>
      <c r="LN7" s="810"/>
      <c r="LO7" s="810"/>
      <c r="LP7" s="810"/>
      <c r="LQ7" s="810"/>
      <c r="LR7" s="810"/>
      <c r="LS7" s="810"/>
      <c r="LT7" s="810"/>
      <c r="LU7" s="810"/>
      <c r="LV7" s="810"/>
      <c r="LW7" s="810"/>
      <c r="LX7" s="810"/>
      <c r="LY7" s="810"/>
      <c r="LZ7" s="810"/>
      <c r="MA7" s="810"/>
      <c r="MB7" s="810"/>
      <c r="MC7" s="810"/>
      <c r="MD7" s="810"/>
      <c r="ME7" s="810"/>
      <c r="MF7" s="810"/>
      <c r="MG7" s="810"/>
      <c r="MH7" s="810"/>
      <c r="MI7" s="810"/>
      <c r="MJ7" s="810"/>
      <c r="MK7" s="810"/>
      <c r="ML7" s="810"/>
      <c r="MM7" s="810"/>
      <c r="MN7" s="810"/>
      <c r="MO7" s="810"/>
      <c r="MP7" s="810"/>
      <c r="MQ7" s="810"/>
      <c r="MR7" s="810"/>
      <c r="MS7" s="810"/>
      <c r="MT7" s="810"/>
      <c r="MU7" s="810"/>
      <c r="MV7" s="810"/>
      <c r="MW7" s="810"/>
      <c r="MX7" s="810"/>
      <c r="MY7" s="810"/>
      <c r="MZ7" s="810"/>
      <c r="NA7" s="810"/>
      <c r="NB7" s="810"/>
      <c r="NC7" s="810"/>
      <c r="ND7" s="810"/>
      <c r="NE7" s="810"/>
      <c r="NF7" s="810"/>
      <c r="NG7" s="810"/>
      <c r="NH7" s="810"/>
      <c r="NI7" s="810"/>
      <c r="NJ7" s="810"/>
      <c r="NK7" s="810"/>
      <c r="NL7" s="810"/>
      <c r="NM7" s="810"/>
      <c r="NN7" s="874"/>
      <c r="NO7" s="874"/>
      <c r="NP7" s="874"/>
      <c r="NQ7" s="874"/>
      <c r="NR7" s="874"/>
      <c r="NS7" s="874"/>
      <c r="NT7" s="874"/>
      <c r="NU7" s="874"/>
      <c r="NV7" s="874"/>
      <c r="NW7" s="874"/>
    </row>
    <row r="8" spans="1:387" ht="15.65">
      <c r="A8" s="874"/>
      <c r="B8" s="939" t="s">
        <v>927</v>
      </c>
      <c r="C8" s="938"/>
      <c r="D8" s="874"/>
      <c r="E8" s="874"/>
      <c r="F8" s="874"/>
      <c r="G8" s="810"/>
      <c r="H8" s="874"/>
      <c r="I8" s="874"/>
      <c r="J8" s="874"/>
      <c r="K8" s="810"/>
      <c r="L8" s="810"/>
      <c r="M8" s="810"/>
      <c r="N8" s="810"/>
      <c r="O8" s="810"/>
      <c r="P8" s="939"/>
      <c r="R8" s="938"/>
      <c r="S8" s="874"/>
      <c r="T8" s="874"/>
      <c r="U8" s="874"/>
      <c r="V8" s="874"/>
      <c r="W8" s="874"/>
      <c r="X8" s="874"/>
      <c r="Y8" s="874"/>
      <c r="Z8" s="874"/>
      <c r="AA8" s="874"/>
      <c r="AB8" s="874"/>
      <c r="AC8" s="874"/>
      <c r="AD8" s="810"/>
      <c r="AE8" s="874"/>
      <c r="AF8" s="874"/>
      <c r="AG8" s="874"/>
      <c r="AH8" s="874"/>
      <c r="AI8" s="874"/>
      <c r="AJ8" s="874"/>
      <c r="AK8" s="874"/>
      <c r="AL8" s="874"/>
      <c r="AM8" s="874"/>
      <c r="AN8" s="874"/>
      <c r="AO8" s="874"/>
      <c r="AP8" s="874"/>
      <c r="AQ8" s="874"/>
      <c r="AR8" s="874"/>
      <c r="AS8" s="874"/>
      <c r="AT8" s="874"/>
      <c r="AU8" s="874"/>
      <c r="AV8" s="874"/>
      <c r="AW8" s="874"/>
      <c r="AX8" s="874"/>
      <c r="AY8" s="874"/>
      <c r="AZ8" s="874"/>
      <c r="BA8" s="874"/>
      <c r="BB8" s="874"/>
      <c r="BC8" s="874"/>
      <c r="BD8" s="874"/>
      <c r="BE8" s="874"/>
      <c r="BF8" s="874"/>
      <c r="BG8" s="874"/>
      <c r="BH8" s="874"/>
      <c r="BI8" s="874"/>
      <c r="BJ8" s="874"/>
      <c r="BK8" s="874"/>
      <c r="BL8" s="874"/>
      <c r="BM8" s="874"/>
      <c r="BN8" s="874"/>
      <c r="BO8" s="874"/>
      <c r="BP8" s="874"/>
      <c r="BQ8" s="874"/>
      <c r="BR8" s="874"/>
      <c r="BS8" s="874"/>
      <c r="BT8" s="874"/>
      <c r="BU8" s="874"/>
      <c r="BV8" s="874"/>
      <c r="BW8" s="874"/>
      <c r="BX8" s="874"/>
      <c r="BY8" s="874"/>
      <c r="BZ8" s="874"/>
      <c r="CA8" s="874"/>
      <c r="CB8" s="874"/>
      <c r="CC8" s="874"/>
      <c r="CD8" s="874"/>
      <c r="CE8" s="874"/>
      <c r="CF8" s="874"/>
      <c r="CG8" s="874"/>
      <c r="CH8" s="874"/>
      <c r="CI8" s="874"/>
      <c r="CJ8" s="874"/>
      <c r="CK8" s="874"/>
      <c r="CL8" s="874"/>
      <c r="CM8" s="874"/>
      <c r="CN8" s="874"/>
      <c r="CO8" s="874"/>
      <c r="CP8" s="874"/>
      <c r="CQ8" s="874"/>
      <c r="CR8" s="874"/>
      <c r="CS8" s="874"/>
      <c r="CT8" s="874"/>
      <c r="CU8" s="874"/>
      <c r="CV8" s="874"/>
      <c r="CW8" s="874"/>
      <c r="CX8" s="874"/>
      <c r="CY8" s="874"/>
      <c r="CZ8" s="874"/>
      <c r="DA8" s="874"/>
      <c r="DB8" s="874"/>
      <c r="DC8" s="874"/>
      <c r="DD8" s="874"/>
      <c r="DE8" s="874"/>
      <c r="DF8" s="874"/>
      <c r="DG8" s="874"/>
      <c r="DH8" s="874"/>
      <c r="DI8" s="874"/>
      <c r="DJ8" s="874"/>
      <c r="DK8" s="874"/>
      <c r="DL8" s="874"/>
      <c r="DM8" s="874"/>
      <c r="DN8" s="874"/>
      <c r="DO8" s="874"/>
      <c r="DP8" s="874"/>
      <c r="DQ8" s="874"/>
      <c r="DR8" s="874"/>
      <c r="DS8" s="874"/>
      <c r="DT8" s="874"/>
      <c r="DU8" s="874"/>
      <c r="DV8" s="874"/>
      <c r="DW8" s="874"/>
      <c r="DX8" s="874"/>
      <c r="DY8" s="874"/>
      <c r="DZ8" s="874"/>
      <c r="EA8" s="874"/>
      <c r="EB8" s="874"/>
      <c r="EC8" s="874"/>
      <c r="ED8" s="874"/>
      <c r="EE8" s="874"/>
      <c r="EF8" s="874"/>
      <c r="EG8" s="874"/>
      <c r="EH8" s="874"/>
      <c r="EI8" s="874"/>
      <c r="EJ8" s="874"/>
      <c r="EK8" s="874"/>
      <c r="EL8" s="874"/>
      <c r="EM8" s="874"/>
      <c r="EN8" s="874"/>
      <c r="EO8" s="874"/>
      <c r="EP8" s="874"/>
      <c r="EQ8" s="874"/>
      <c r="ER8" s="874"/>
      <c r="ES8" s="874"/>
      <c r="ET8" s="874"/>
      <c r="EU8" s="874"/>
      <c r="EV8" s="874"/>
      <c r="EW8" s="874"/>
      <c r="EX8" s="874"/>
      <c r="EY8" s="874"/>
      <c r="EZ8" s="874"/>
      <c r="FA8" s="874"/>
      <c r="FB8" s="874"/>
      <c r="FC8" s="874"/>
      <c r="FD8" s="874"/>
      <c r="FE8" s="874"/>
      <c r="FF8" s="874"/>
      <c r="FG8" s="874"/>
      <c r="FH8" s="874"/>
      <c r="FI8" s="874"/>
      <c r="FJ8" s="874"/>
      <c r="FK8" s="874"/>
      <c r="FL8" s="874"/>
      <c r="FM8" s="874"/>
      <c r="FN8" s="874"/>
      <c r="FO8" s="874"/>
      <c r="FP8" s="874"/>
      <c r="FQ8" s="874"/>
      <c r="FR8" s="874"/>
      <c r="FS8" s="874"/>
      <c r="FT8" s="874"/>
      <c r="FU8" s="874"/>
      <c r="FV8" s="874"/>
      <c r="FW8" s="874"/>
      <c r="FX8" s="874"/>
      <c r="FY8" s="874"/>
      <c r="FZ8" s="874"/>
      <c r="GA8" s="874"/>
      <c r="GB8" s="874"/>
      <c r="GC8" s="874"/>
      <c r="GD8" s="874"/>
      <c r="GE8" s="874"/>
      <c r="GF8" s="874"/>
      <c r="GG8" s="874"/>
      <c r="GH8" s="874"/>
      <c r="GI8" s="874"/>
      <c r="GJ8" s="874"/>
      <c r="GK8" s="874"/>
      <c r="GL8" s="874"/>
      <c r="GM8" s="874"/>
      <c r="GN8" s="874"/>
      <c r="GO8" s="874"/>
      <c r="GP8" s="874"/>
      <c r="GQ8" s="874"/>
      <c r="GR8" s="874"/>
      <c r="GS8" s="874"/>
      <c r="GT8" s="874"/>
      <c r="GU8" s="874"/>
      <c r="GV8" s="874"/>
      <c r="GW8" s="874"/>
      <c r="GX8" s="874"/>
      <c r="GY8" s="874"/>
      <c r="GZ8" s="874"/>
      <c r="HA8" s="874"/>
      <c r="HB8" s="874"/>
      <c r="HC8" s="874"/>
      <c r="HD8" s="874"/>
      <c r="HE8" s="874"/>
      <c r="HF8" s="874"/>
      <c r="HG8" s="874"/>
      <c r="HH8" s="874"/>
      <c r="HI8" s="874"/>
      <c r="HJ8" s="874"/>
      <c r="HK8" s="874"/>
      <c r="HL8" s="874"/>
      <c r="HM8" s="874"/>
      <c r="HN8" s="874"/>
      <c r="HO8" s="874"/>
      <c r="HP8" s="874"/>
      <c r="HQ8" s="874"/>
      <c r="HR8" s="874"/>
      <c r="HS8" s="874"/>
      <c r="HT8" s="874"/>
      <c r="HU8" s="874"/>
      <c r="HV8" s="874"/>
      <c r="HW8" s="874"/>
      <c r="HX8" s="874"/>
      <c r="HY8" s="874"/>
      <c r="HZ8" s="874"/>
      <c r="IA8" s="874"/>
      <c r="IB8" s="874"/>
      <c r="IC8" s="874"/>
      <c r="ID8" s="874"/>
      <c r="IE8" s="874"/>
      <c r="IF8" s="874"/>
      <c r="IG8" s="874"/>
      <c r="IH8" s="874"/>
      <c r="II8" s="874"/>
      <c r="IJ8" s="874"/>
      <c r="IK8" s="874"/>
      <c r="IL8" s="874"/>
      <c r="IM8" s="874"/>
      <c r="IN8" s="874"/>
      <c r="IO8" s="874"/>
      <c r="IP8" s="874"/>
      <c r="IQ8" s="874"/>
      <c r="IR8" s="874"/>
      <c r="IS8" s="874"/>
      <c r="IT8" s="874"/>
      <c r="IU8" s="874"/>
      <c r="IV8" s="874"/>
      <c r="IW8" s="874"/>
      <c r="IX8" s="874"/>
      <c r="IY8" s="874"/>
      <c r="IZ8" s="874"/>
      <c r="JA8" s="874"/>
      <c r="JB8" s="874"/>
      <c r="JC8" s="874"/>
      <c r="JD8" s="874"/>
      <c r="JE8" s="874"/>
      <c r="JF8" s="874"/>
      <c r="JG8" s="874"/>
      <c r="JH8" s="874"/>
      <c r="JI8" s="874"/>
      <c r="JJ8" s="874"/>
      <c r="JK8" s="874"/>
      <c r="JL8" s="874"/>
      <c r="JM8" s="874"/>
      <c r="JN8" s="874"/>
      <c r="JO8" s="874"/>
      <c r="JP8" s="874"/>
      <c r="JQ8" s="874"/>
      <c r="JR8" s="874"/>
      <c r="JS8" s="874"/>
      <c r="JT8" s="874"/>
      <c r="JU8" s="874"/>
      <c r="JV8" s="874"/>
      <c r="JW8" s="874"/>
      <c r="JX8" s="874"/>
      <c r="JY8" s="874"/>
      <c r="JZ8" s="874"/>
      <c r="KA8" s="874"/>
      <c r="KB8" s="874"/>
      <c r="KC8" s="874"/>
      <c r="KD8" s="874"/>
      <c r="KE8" s="874"/>
      <c r="KF8" s="874"/>
      <c r="KG8" s="874"/>
      <c r="KH8" s="874"/>
      <c r="KI8" s="874"/>
      <c r="KJ8" s="874"/>
      <c r="KK8" s="874"/>
      <c r="KL8" s="874"/>
      <c r="KM8" s="874"/>
      <c r="KN8" s="874"/>
      <c r="KO8" s="874"/>
      <c r="KP8" s="874"/>
      <c r="KQ8" s="874"/>
      <c r="KR8" s="874"/>
      <c r="KS8" s="874"/>
      <c r="KT8" s="874"/>
      <c r="KU8" s="874"/>
      <c r="KV8" s="874"/>
      <c r="KW8" s="874"/>
      <c r="KX8" s="874"/>
      <c r="KY8" s="874"/>
      <c r="KZ8" s="874"/>
      <c r="LA8" s="874"/>
      <c r="LB8" s="874"/>
      <c r="LC8" s="874"/>
      <c r="LD8" s="874"/>
      <c r="LE8" s="874"/>
      <c r="LF8" s="874"/>
      <c r="LG8" s="874"/>
      <c r="LH8" s="874"/>
      <c r="LI8" s="874"/>
      <c r="LJ8" s="874"/>
      <c r="LK8" s="874"/>
      <c r="LL8" s="874"/>
      <c r="LM8" s="874"/>
      <c r="LN8" s="874"/>
      <c r="LO8" s="874"/>
      <c r="LP8" s="874"/>
      <c r="LQ8" s="874"/>
      <c r="LR8" s="874"/>
      <c r="LS8" s="874"/>
      <c r="LT8" s="874"/>
      <c r="LU8" s="874"/>
      <c r="LV8" s="874"/>
      <c r="LW8" s="874"/>
      <c r="LX8" s="874"/>
      <c r="LY8" s="874"/>
      <c r="LZ8" s="874"/>
      <c r="MA8" s="874"/>
      <c r="MB8" s="874"/>
      <c r="MC8" s="874"/>
      <c r="MD8" s="874"/>
      <c r="ME8" s="874"/>
      <c r="MF8" s="874"/>
      <c r="MG8" s="874"/>
      <c r="MH8" s="874"/>
      <c r="MI8" s="874"/>
      <c r="MJ8" s="874"/>
      <c r="MK8" s="874"/>
      <c r="ML8" s="874"/>
      <c r="MM8" s="874"/>
      <c r="MN8" s="874"/>
      <c r="MO8" s="874"/>
      <c r="MP8" s="874"/>
      <c r="MQ8" s="874"/>
      <c r="MR8" s="874"/>
      <c r="MS8" s="874"/>
      <c r="MT8" s="874"/>
      <c r="MU8" s="874"/>
      <c r="MV8" s="874"/>
      <c r="MW8" s="874"/>
      <c r="MX8" s="874"/>
      <c r="MY8" s="874"/>
      <c r="MZ8" s="874"/>
      <c r="NA8" s="874"/>
      <c r="NB8" s="874"/>
      <c r="NC8" s="874"/>
      <c r="ND8" s="874"/>
      <c r="NE8" s="874"/>
      <c r="NF8" s="874"/>
      <c r="NG8" s="874"/>
      <c r="NH8" s="874"/>
      <c r="NI8" s="874"/>
      <c r="NJ8" s="874"/>
      <c r="NK8" s="874"/>
      <c r="NL8" s="874"/>
      <c r="NM8" s="874"/>
      <c r="NN8" s="874"/>
      <c r="NO8" s="874"/>
      <c r="NP8" s="874"/>
      <c r="NQ8" s="874"/>
      <c r="NR8" s="874"/>
      <c r="NS8" s="874"/>
      <c r="NT8" s="874"/>
      <c r="NU8" s="874"/>
      <c r="NV8" s="874"/>
      <c r="NW8" s="874"/>
    </row>
    <row r="9" spans="1:387" ht="15.65">
      <c r="A9" s="874"/>
      <c r="B9" s="939"/>
      <c r="C9" s="938"/>
      <c r="D9" s="874"/>
      <c r="E9" s="874"/>
      <c r="F9" s="874"/>
      <c r="G9" s="810"/>
      <c r="H9" s="874"/>
      <c r="I9" s="874"/>
      <c r="J9" s="874"/>
      <c r="K9" s="810"/>
      <c r="L9" s="810"/>
      <c r="M9" s="810"/>
      <c r="N9" s="810"/>
      <c r="O9" s="810"/>
      <c r="P9" s="939"/>
      <c r="R9" s="938"/>
      <c r="S9" s="874"/>
      <c r="T9" s="874"/>
      <c r="U9" s="874"/>
      <c r="V9" s="874"/>
      <c r="W9" s="874"/>
      <c r="X9" s="874"/>
      <c r="Y9" s="874"/>
      <c r="Z9" s="874"/>
      <c r="AA9" s="874"/>
      <c r="AB9" s="874"/>
      <c r="AC9" s="874"/>
      <c r="AD9" s="810"/>
      <c r="AE9" s="874"/>
      <c r="AF9" s="874"/>
      <c r="AG9" s="874"/>
      <c r="AH9" s="874"/>
      <c r="AI9" s="874"/>
      <c r="AJ9" s="874"/>
      <c r="AK9" s="874"/>
      <c r="AL9" s="874"/>
      <c r="AM9" s="874"/>
      <c r="AN9" s="874"/>
      <c r="AO9" s="874"/>
      <c r="AP9" s="874"/>
      <c r="AQ9" s="874"/>
      <c r="AR9" s="874"/>
      <c r="AS9" s="874"/>
      <c r="AT9" s="874"/>
      <c r="AU9" s="874"/>
      <c r="AV9" s="874"/>
      <c r="AW9" s="874"/>
      <c r="AX9" s="874"/>
      <c r="AY9" s="874"/>
      <c r="AZ9" s="874"/>
      <c r="BA9" s="874"/>
      <c r="BB9" s="874"/>
      <c r="BC9" s="874"/>
      <c r="BD9" s="874"/>
      <c r="BE9" s="874"/>
      <c r="BF9" s="874"/>
      <c r="BG9" s="874"/>
      <c r="BH9" s="874"/>
      <c r="BI9" s="874"/>
      <c r="BJ9" s="874"/>
      <c r="BK9" s="874"/>
      <c r="BL9" s="874"/>
      <c r="BM9" s="874"/>
      <c r="BN9" s="874"/>
      <c r="BO9" s="874"/>
      <c r="BP9" s="874"/>
      <c r="BQ9" s="874"/>
      <c r="BR9" s="874"/>
      <c r="BS9" s="874"/>
      <c r="BT9" s="874"/>
      <c r="BU9" s="874"/>
      <c r="BV9" s="874"/>
      <c r="BW9" s="874"/>
      <c r="BX9" s="874"/>
      <c r="BY9" s="874"/>
      <c r="BZ9" s="874"/>
      <c r="CA9" s="874"/>
      <c r="CB9" s="874"/>
      <c r="CC9" s="874"/>
      <c r="CD9" s="874"/>
      <c r="CE9" s="874"/>
      <c r="CF9" s="874"/>
      <c r="CG9" s="874"/>
      <c r="CH9" s="874"/>
      <c r="CI9" s="874"/>
      <c r="CJ9" s="874"/>
      <c r="CK9" s="874"/>
      <c r="CL9" s="874"/>
      <c r="CM9" s="874"/>
      <c r="CN9" s="874"/>
      <c r="CO9" s="874"/>
      <c r="CP9" s="874"/>
      <c r="CQ9" s="874"/>
      <c r="CR9" s="874"/>
      <c r="CS9" s="874"/>
      <c r="CT9" s="874"/>
      <c r="CU9" s="874"/>
      <c r="CV9" s="874"/>
      <c r="CW9" s="874"/>
      <c r="CX9" s="874"/>
      <c r="CY9" s="874"/>
      <c r="CZ9" s="874"/>
      <c r="DA9" s="874"/>
      <c r="DB9" s="874"/>
      <c r="DC9" s="874"/>
      <c r="DD9" s="874"/>
      <c r="DE9" s="874"/>
      <c r="DF9" s="874"/>
      <c r="DG9" s="874"/>
      <c r="DH9" s="874"/>
      <c r="DI9" s="874"/>
      <c r="DJ9" s="874"/>
      <c r="DK9" s="874"/>
      <c r="DL9" s="874"/>
      <c r="DM9" s="874"/>
      <c r="DN9" s="874"/>
      <c r="DO9" s="874"/>
      <c r="DP9" s="874"/>
      <c r="DQ9" s="874"/>
      <c r="DR9" s="874"/>
      <c r="DS9" s="874"/>
      <c r="DT9" s="874"/>
      <c r="DU9" s="874"/>
      <c r="DV9" s="874"/>
      <c r="DW9" s="874"/>
      <c r="DX9" s="874"/>
      <c r="DY9" s="874"/>
      <c r="DZ9" s="874"/>
      <c r="EA9" s="874"/>
      <c r="EB9" s="874"/>
      <c r="EC9" s="874"/>
      <c r="ED9" s="874"/>
      <c r="EE9" s="874"/>
      <c r="EF9" s="874"/>
      <c r="EG9" s="874"/>
      <c r="EH9" s="874"/>
      <c r="EI9" s="874"/>
      <c r="EJ9" s="874"/>
      <c r="EK9" s="874"/>
      <c r="EL9" s="874"/>
      <c r="EM9" s="874"/>
      <c r="EN9" s="874"/>
      <c r="EO9" s="874"/>
      <c r="EP9" s="874"/>
      <c r="EQ9" s="874"/>
      <c r="ER9" s="874"/>
      <c r="ES9" s="874"/>
      <c r="ET9" s="874"/>
      <c r="EU9" s="874"/>
      <c r="EV9" s="874"/>
      <c r="EW9" s="874"/>
      <c r="EX9" s="874"/>
      <c r="EY9" s="874"/>
      <c r="EZ9" s="874"/>
      <c r="FA9" s="874"/>
      <c r="FB9" s="874"/>
      <c r="FC9" s="874"/>
      <c r="FD9" s="874"/>
      <c r="FE9" s="874"/>
      <c r="FF9" s="874"/>
      <c r="FG9" s="874"/>
      <c r="FH9" s="874"/>
      <c r="FI9" s="874"/>
      <c r="FJ9" s="874"/>
      <c r="FK9" s="874"/>
      <c r="FL9" s="874"/>
      <c r="FM9" s="874"/>
      <c r="FN9" s="874"/>
      <c r="FO9" s="874"/>
      <c r="FP9" s="874"/>
      <c r="FQ9" s="874"/>
      <c r="FR9" s="874"/>
      <c r="FS9" s="874"/>
      <c r="FT9" s="874"/>
      <c r="FU9" s="874"/>
      <c r="FV9" s="874"/>
      <c r="FW9" s="874"/>
      <c r="FX9" s="874"/>
      <c r="FY9" s="874"/>
      <c r="FZ9" s="874"/>
      <c r="GA9" s="874"/>
      <c r="GB9" s="874"/>
      <c r="GC9" s="874"/>
      <c r="GD9" s="874"/>
      <c r="GE9" s="874"/>
      <c r="GF9" s="874"/>
      <c r="GG9" s="874"/>
      <c r="GH9" s="874"/>
      <c r="GI9" s="874"/>
      <c r="GJ9" s="874"/>
      <c r="GK9" s="874"/>
      <c r="GL9" s="874"/>
      <c r="GM9" s="874"/>
      <c r="GN9" s="874"/>
      <c r="GO9" s="874"/>
      <c r="GP9" s="874"/>
      <c r="GQ9" s="874"/>
      <c r="GR9" s="874"/>
      <c r="GS9" s="874"/>
      <c r="GT9" s="874"/>
      <c r="GU9" s="874"/>
      <c r="GV9" s="874"/>
      <c r="GW9" s="874"/>
      <c r="GX9" s="874"/>
      <c r="GY9" s="874"/>
      <c r="GZ9" s="874"/>
      <c r="HA9" s="874"/>
      <c r="HB9" s="874"/>
      <c r="HC9" s="874"/>
      <c r="HD9" s="874"/>
      <c r="HE9" s="874"/>
      <c r="HF9" s="874"/>
      <c r="HG9" s="874"/>
      <c r="HH9" s="874"/>
      <c r="HI9" s="874"/>
      <c r="HJ9" s="874"/>
      <c r="HK9" s="874"/>
      <c r="HL9" s="874"/>
      <c r="HM9" s="874"/>
      <c r="HN9" s="874"/>
      <c r="HO9" s="874"/>
      <c r="HP9" s="874"/>
      <c r="HQ9" s="874"/>
      <c r="HR9" s="874"/>
      <c r="HS9" s="874"/>
      <c r="HT9" s="874"/>
      <c r="HU9" s="874"/>
      <c r="HV9" s="874"/>
      <c r="HW9" s="874"/>
      <c r="HX9" s="874"/>
      <c r="HY9" s="874"/>
      <c r="HZ9" s="874"/>
      <c r="IA9" s="874"/>
      <c r="IB9" s="874"/>
      <c r="IC9" s="874"/>
      <c r="ID9" s="874"/>
      <c r="IE9" s="874"/>
      <c r="IF9" s="874"/>
      <c r="IG9" s="874"/>
      <c r="IH9" s="874"/>
      <c r="II9" s="874"/>
      <c r="IJ9" s="874"/>
      <c r="IK9" s="874"/>
      <c r="IL9" s="874"/>
      <c r="IM9" s="874"/>
      <c r="IN9" s="874"/>
      <c r="IO9" s="874"/>
      <c r="IP9" s="874"/>
      <c r="IQ9" s="874"/>
      <c r="IR9" s="874"/>
      <c r="IS9" s="874"/>
      <c r="IT9" s="874"/>
      <c r="IU9" s="874"/>
      <c r="IV9" s="874"/>
      <c r="IW9" s="874"/>
      <c r="IX9" s="874"/>
      <c r="IY9" s="874"/>
      <c r="IZ9" s="874"/>
      <c r="JA9" s="874"/>
      <c r="JB9" s="874"/>
      <c r="JC9" s="874"/>
      <c r="JD9" s="874"/>
      <c r="JE9" s="874"/>
      <c r="JF9" s="874"/>
      <c r="JG9" s="874"/>
      <c r="JH9" s="874"/>
      <c r="JI9" s="874"/>
      <c r="JJ9" s="874"/>
      <c r="JK9" s="874"/>
      <c r="JL9" s="874"/>
      <c r="JM9" s="874"/>
      <c r="JN9" s="874"/>
      <c r="JO9" s="874"/>
      <c r="JP9" s="874"/>
      <c r="JQ9" s="874"/>
      <c r="JR9" s="874"/>
      <c r="JS9" s="874"/>
      <c r="JT9" s="874"/>
      <c r="JU9" s="874"/>
      <c r="JV9" s="874"/>
      <c r="JW9" s="874"/>
      <c r="JX9" s="874"/>
      <c r="JY9" s="874"/>
      <c r="JZ9" s="874"/>
      <c r="KA9" s="874"/>
      <c r="KB9" s="874"/>
      <c r="KC9" s="874"/>
      <c r="KD9" s="874"/>
      <c r="KE9" s="874"/>
      <c r="KF9" s="874"/>
      <c r="KG9" s="874"/>
      <c r="KH9" s="874"/>
      <c r="KI9" s="874"/>
      <c r="KJ9" s="874"/>
      <c r="KK9" s="874"/>
      <c r="KL9" s="874"/>
      <c r="KM9" s="874"/>
      <c r="KN9" s="874"/>
      <c r="KO9" s="874"/>
      <c r="KP9" s="874"/>
      <c r="KQ9" s="874"/>
      <c r="KR9" s="874"/>
      <c r="KS9" s="874"/>
      <c r="KT9" s="874"/>
      <c r="KU9" s="874"/>
      <c r="KV9" s="874"/>
      <c r="KW9" s="874"/>
      <c r="KX9" s="874"/>
      <c r="KY9" s="874"/>
      <c r="KZ9" s="874"/>
      <c r="LA9" s="874"/>
      <c r="LB9" s="874"/>
      <c r="LC9" s="874"/>
      <c r="LD9" s="874"/>
      <c r="LE9" s="874"/>
      <c r="LF9" s="874"/>
      <c r="LG9" s="874"/>
      <c r="LH9" s="874"/>
      <c r="LI9" s="874"/>
      <c r="LJ9" s="874"/>
      <c r="LK9" s="874"/>
      <c r="LL9" s="874"/>
      <c r="LM9" s="874"/>
      <c r="LN9" s="874"/>
      <c r="LO9" s="874"/>
      <c r="LP9" s="874"/>
      <c r="LQ9" s="874"/>
      <c r="LR9" s="874"/>
      <c r="LS9" s="874"/>
      <c r="LT9" s="874"/>
      <c r="LU9" s="874"/>
      <c r="LV9" s="874"/>
      <c r="LW9" s="874"/>
      <c r="LX9" s="874"/>
      <c r="LY9" s="874"/>
      <c r="LZ9" s="874"/>
      <c r="MA9" s="874"/>
      <c r="MB9" s="874"/>
      <c r="MC9" s="874"/>
      <c r="MD9" s="874"/>
      <c r="ME9" s="874"/>
      <c r="MF9" s="874"/>
      <c r="MG9" s="874"/>
      <c r="MH9" s="874"/>
      <c r="MI9" s="874"/>
      <c r="MJ9" s="874"/>
      <c r="MK9" s="874"/>
      <c r="ML9" s="874"/>
      <c r="MM9" s="874"/>
      <c r="MN9" s="874"/>
      <c r="MO9" s="874"/>
      <c r="MP9" s="874"/>
      <c r="MQ9" s="874"/>
      <c r="MR9" s="874"/>
      <c r="MS9" s="874"/>
      <c r="MT9" s="874"/>
      <c r="MU9" s="874"/>
      <c r="MV9" s="874"/>
      <c r="MW9" s="874"/>
      <c r="MX9" s="874"/>
      <c r="MY9" s="874"/>
      <c r="MZ9" s="874"/>
      <c r="NA9" s="874"/>
      <c r="NB9" s="874"/>
      <c r="NC9" s="874"/>
      <c r="ND9" s="874"/>
      <c r="NE9" s="874"/>
      <c r="NF9" s="874"/>
      <c r="NG9" s="874"/>
      <c r="NH9" s="874"/>
      <c r="NI9" s="874"/>
      <c r="NJ9" s="874"/>
      <c r="NK9" s="874"/>
      <c r="NL9" s="874"/>
      <c r="NM9" s="874"/>
      <c r="NN9" s="874"/>
      <c r="NO9" s="874"/>
      <c r="NP9" s="874"/>
      <c r="NQ9" s="874"/>
      <c r="NR9" s="874"/>
      <c r="NS9" s="874"/>
    </row>
    <row r="10" spans="1:387" ht="15.65">
      <c r="A10" s="874"/>
      <c r="B10" s="940" t="s">
        <v>1010</v>
      </c>
      <c r="C10" s="938"/>
      <c r="D10" s="874"/>
      <c r="E10" s="874"/>
      <c r="F10" s="874"/>
      <c r="G10" s="810"/>
      <c r="H10" s="874"/>
      <c r="I10" s="874"/>
      <c r="J10" s="874"/>
      <c r="K10" s="810"/>
      <c r="L10" s="810"/>
      <c r="M10" s="810"/>
      <c r="N10" s="810"/>
      <c r="O10" s="810"/>
      <c r="P10" s="939"/>
      <c r="R10" s="938"/>
      <c r="S10" s="874"/>
      <c r="T10" s="874"/>
      <c r="U10" s="874"/>
      <c r="V10" s="874"/>
      <c r="W10" s="874"/>
      <c r="X10" s="874"/>
      <c r="Y10" s="874"/>
      <c r="Z10" s="874"/>
      <c r="AA10" s="874"/>
      <c r="AB10" s="874"/>
      <c r="AC10" s="874"/>
      <c r="AD10" s="810"/>
      <c r="AE10" s="874"/>
      <c r="AF10" s="874"/>
      <c r="AG10" s="874"/>
      <c r="AH10" s="874"/>
      <c r="AI10" s="874"/>
      <c r="AJ10" s="874"/>
      <c r="AK10" s="874"/>
      <c r="AL10" s="874"/>
      <c r="AM10" s="874"/>
      <c r="AN10" s="874"/>
      <c r="AO10" s="874"/>
      <c r="AP10" s="874"/>
      <c r="AQ10" s="874"/>
      <c r="AR10" s="874"/>
      <c r="AS10" s="874"/>
      <c r="AT10" s="874"/>
      <c r="AU10" s="874"/>
      <c r="AV10" s="874"/>
      <c r="AW10" s="874"/>
      <c r="AX10" s="874"/>
      <c r="AY10" s="874"/>
      <c r="AZ10" s="874"/>
      <c r="BA10" s="874"/>
      <c r="BB10" s="874"/>
      <c r="BC10" s="874"/>
      <c r="BD10" s="874"/>
      <c r="BE10" s="874"/>
      <c r="BF10" s="874"/>
      <c r="BG10" s="874"/>
      <c r="BH10" s="874"/>
      <c r="BI10" s="874"/>
      <c r="BJ10" s="874"/>
      <c r="BK10" s="874"/>
      <c r="BL10" s="874"/>
      <c r="BM10" s="874"/>
      <c r="BN10" s="874"/>
      <c r="BO10" s="874"/>
      <c r="BP10" s="874"/>
      <c r="BQ10" s="874"/>
      <c r="BR10" s="874"/>
      <c r="BS10" s="874"/>
      <c r="BT10" s="874"/>
      <c r="BU10" s="874"/>
      <c r="BV10" s="874"/>
      <c r="BW10" s="874"/>
      <c r="BX10" s="874"/>
      <c r="BY10" s="874"/>
      <c r="BZ10" s="874"/>
      <c r="CA10" s="874"/>
      <c r="CB10" s="874"/>
      <c r="CC10" s="874"/>
      <c r="CD10" s="874"/>
      <c r="CE10" s="874"/>
      <c r="CF10" s="874"/>
      <c r="CG10" s="874"/>
      <c r="CH10" s="874"/>
      <c r="CI10" s="874"/>
      <c r="CJ10" s="874"/>
      <c r="CK10" s="874"/>
      <c r="CL10" s="874"/>
      <c r="CM10" s="874"/>
      <c r="CN10" s="874"/>
      <c r="CO10" s="874"/>
      <c r="CP10" s="874"/>
      <c r="CQ10" s="874"/>
      <c r="CR10" s="874"/>
      <c r="CS10" s="874"/>
      <c r="CT10" s="874"/>
      <c r="CU10" s="874"/>
      <c r="CV10" s="874"/>
      <c r="CW10" s="874"/>
      <c r="CX10" s="874"/>
      <c r="CY10" s="874"/>
      <c r="CZ10" s="874"/>
      <c r="DA10" s="874"/>
      <c r="DB10" s="874"/>
      <c r="DC10" s="874"/>
      <c r="DD10" s="874"/>
      <c r="DE10" s="874"/>
      <c r="DF10" s="874"/>
      <c r="DG10" s="874"/>
      <c r="DH10" s="874"/>
      <c r="DI10" s="874"/>
      <c r="DJ10" s="874"/>
      <c r="DK10" s="874"/>
      <c r="DL10" s="874"/>
      <c r="DM10" s="874"/>
      <c r="DN10" s="874"/>
      <c r="DO10" s="874"/>
      <c r="DP10" s="874"/>
      <c r="DQ10" s="874"/>
      <c r="DR10" s="874"/>
      <c r="DS10" s="874"/>
      <c r="DT10" s="874"/>
      <c r="DU10" s="874"/>
      <c r="DV10" s="874"/>
      <c r="DW10" s="874"/>
      <c r="DX10" s="874"/>
      <c r="DY10" s="874"/>
      <c r="DZ10" s="874"/>
      <c r="EA10" s="874"/>
      <c r="EB10" s="874"/>
      <c r="EC10" s="874"/>
      <c r="ED10" s="874"/>
      <c r="EE10" s="874"/>
      <c r="EF10" s="874"/>
      <c r="EG10" s="874"/>
      <c r="EH10" s="874"/>
      <c r="EI10" s="874"/>
      <c r="EJ10" s="874"/>
      <c r="EK10" s="874"/>
      <c r="EL10" s="874"/>
      <c r="EM10" s="874"/>
      <c r="EN10" s="874"/>
      <c r="EO10" s="874"/>
      <c r="EP10" s="874"/>
      <c r="EQ10" s="874"/>
      <c r="ER10" s="874"/>
      <c r="ES10" s="874"/>
      <c r="ET10" s="874"/>
      <c r="EU10" s="874"/>
      <c r="EV10" s="874"/>
      <c r="EW10" s="874"/>
      <c r="EX10" s="874"/>
      <c r="EY10" s="874"/>
      <c r="EZ10" s="874"/>
      <c r="FA10" s="874"/>
      <c r="FB10" s="874"/>
      <c r="FC10" s="874"/>
      <c r="FD10" s="874"/>
      <c r="FE10" s="874"/>
      <c r="FF10" s="874"/>
      <c r="FG10" s="874"/>
      <c r="FH10" s="874"/>
      <c r="FI10" s="874"/>
      <c r="FJ10" s="874"/>
      <c r="FK10" s="874"/>
      <c r="FL10" s="874"/>
      <c r="FM10" s="874"/>
      <c r="FN10" s="874"/>
      <c r="FO10" s="874"/>
      <c r="FP10" s="874"/>
      <c r="FQ10" s="874"/>
      <c r="FR10" s="874"/>
      <c r="FS10" s="874"/>
      <c r="FT10" s="874"/>
      <c r="FU10" s="874"/>
      <c r="FV10" s="874"/>
      <c r="FW10" s="874"/>
      <c r="FX10" s="874"/>
      <c r="FY10" s="874"/>
      <c r="FZ10" s="874"/>
      <c r="GA10" s="874"/>
      <c r="GB10" s="874"/>
      <c r="GC10" s="874"/>
      <c r="GD10" s="874"/>
      <c r="GE10" s="874"/>
      <c r="GF10" s="874"/>
      <c r="GG10" s="874"/>
      <c r="GH10" s="874"/>
      <c r="GI10" s="874"/>
      <c r="GJ10" s="874"/>
      <c r="GK10" s="874"/>
      <c r="GL10" s="874"/>
      <c r="GM10" s="874"/>
      <c r="GN10" s="874"/>
      <c r="GO10" s="874"/>
      <c r="GP10" s="874"/>
      <c r="GQ10" s="874"/>
      <c r="GR10" s="874"/>
      <c r="GS10" s="874"/>
      <c r="GT10" s="874"/>
      <c r="GU10" s="874"/>
      <c r="GV10" s="874"/>
      <c r="GW10" s="874"/>
      <c r="GX10" s="874"/>
      <c r="GY10" s="874"/>
      <c r="GZ10" s="874"/>
      <c r="HA10" s="874"/>
      <c r="HB10" s="874"/>
      <c r="HC10" s="874"/>
      <c r="HD10" s="874"/>
      <c r="HE10" s="874"/>
      <c r="HF10" s="874"/>
      <c r="HG10" s="874"/>
      <c r="HH10" s="874"/>
      <c r="HI10" s="874"/>
      <c r="HJ10" s="874"/>
      <c r="HK10" s="874"/>
      <c r="HL10" s="874"/>
      <c r="HM10" s="874"/>
      <c r="HN10" s="874"/>
      <c r="HO10" s="874"/>
      <c r="HP10" s="874"/>
      <c r="HQ10" s="874"/>
      <c r="HR10" s="874"/>
      <c r="HS10" s="874"/>
      <c r="HT10" s="874"/>
      <c r="HU10" s="874"/>
      <c r="HV10" s="874"/>
      <c r="HW10" s="874"/>
      <c r="HX10" s="874"/>
      <c r="HY10" s="874"/>
      <c r="HZ10" s="874"/>
      <c r="IA10" s="874"/>
      <c r="IB10" s="874"/>
      <c r="IC10" s="874"/>
      <c r="ID10" s="874"/>
      <c r="IE10" s="874"/>
      <c r="IF10" s="874"/>
      <c r="IG10" s="874"/>
      <c r="IH10" s="874"/>
      <c r="II10" s="874"/>
      <c r="IJ10" s="874"/>
      <c r="IK10" s="874"/>
      <c r="IL10" s="874"/>
      <c r="IM10" s="874"/>
      <c r="IN10" s="874"/>
      <c r="IO10" s="874"/>
      <c r="IP10" s="874"/>
      <c r="IQ10" s="874"/>
      <c r="IR10" s="874"/>
      <c r="IS10" s="874"/>
      <c r="IT10" s="874"/>
      <c r="IU10" s="874"/>
      <c r="IV10" s="874"/>
      <c r="IW10" s="874"/>
      <c r="IX10" s="874"/>
      <c r="IY10" s="874"/>
      <c r="IZ10" s="874"/>
      <c r="JA10" s="874"/>
      <c r="JB10" s="874"/>
      <c r="JC10" s="874"/>
      <c r="JD10" s="874"/>
      <c r="JE10" s="874"/>
      <c r="JF10" s="874"/>
      <c r="JG10" s="874"/>
      <c r="JH10" s="874"/>
      <c r="JI10" s="874"/>
      <c r="JJ10" s="874"/>
      <c r="JK10" s="874"/>
      <c r="JL10" s="874"/>
      <c r="JM10" s="874"/>
      <c r="JN10" s="874"/>
      <c r="JO10" s="874"/>
      <c r="JP10" s="874"/>
      <c r="JQ10" s="874"/>
      <c r="JR10" s="874"/>
      <c r="JS10" s="874"/>
      <c r="JT10" s="874"/>
      <c r="JU10" s="874"/>
      <c r="JV10" s="874"/>
      <c r="JW10" s="874"/>
      <c r="JX10" s="874"/>
      <c r="JY10" s="874"/>
      <c r="JZ10" s="874"/>
      <c r="KA10" s="874"/>
      <c r="KB10" s="874"/>
      <c r="KC10" s="874"/>
      <c r="KD10" s="874"/>
      <c r="KE10" s="874"/>
      <c r="KF10" s="874"/>
      <c r="KG10" s="874"/>
      <c r="KH10" s="874"/>
      <c r="KI10" s="874"/>
      <c r="KJ10" s="874"/>
      <c r="KK10" s="874"/>
      <c r="KL10" s="874"/>
      <c r="KM10" s="874"/>
      <c r="KN10" s="874"/>
      <c r="KO10" s="874"/>
      <c r="KP10" s="874"/>
      <c r="KQ10" s="874"/>
      <c r="KR10" s="874"/>
      <c r="KS10" s="874"/>
      <c r="KT10" s="874"/>
      <c r="KU10" s="874"/>
      <c r="KV10" s="874"/>
      <c r="KW10" s="874"/>
      <c r="KX10" s="874"/>
      <c r="KY10" s="874"/>
      <c r="KZ10" s="874"/>
      <c r="LA10" s="874"/>
      <c r="LB10" s="874"/>
      <c r="LC10" s="874"/>
      <c r="LD10" s="874"/>
      <c r="LE10" s="874"/>
      <c r="LF10" s="874"/>
      <c r="LG10" s="874"/>
      <c r="LH10" s="874"/>
      <c r="LI10" s="874"/>
      <c r="LJ10" s="874"/>
      <c r="LK10" s="874"/>
      <c r="LL10" s="874"/>
      <c r="LM10" s="874"/>
      <c r="LN10" s="874"/>
      <c r="LO10" s="874"/>
      <c r="LP10" s="874"/>
      <c r="LQ10" s="874"/>
      <c r="LR10" s="874"/>
      <c r="LS10" s="874"/>
      <c r="LT10" s="874"/>
      <c r="LU10" s="874"/>
      <c r="LV10" s="874"/>
      <c r="LW10" s="874"/>
      <c r="LX10" s="874"/>
      <c r="LY10" s="874"/>
      <c r="LZ10" s="874"/>
      <c r="MA10" s="874"/>
      <c r="MB10" s="874"/>
      <c r="MC10" s="874"/>
      <c r="MD10" s="874"/>
      <c r="ME10" s="874"/>
      <c r="MF10" s="874"/>
      <c r="MG10" s="874"/>
      <c r="MH10" s="874"/>
      <c r="MI10" s="874"/>
      <c r="MJ10" s="874"/>
      <c r="MK10" s="874"/>
      <c r="ML10" s="874"/>
      <c r="MM10" s="874"/>
      <c r="MN10" s="874"/>
      <c r="MO10" s="874"/>
      <c r="MP10" s="874"/>
      <c r="MQ10" s="874"/>
      <c r="MR10" s="874"/>
      <c r="MS10" s="874"/>
      <c r="MT10" s="874"/>
      <c r="MU10" s="874"/>
      <c r="MV10" s="874"/>
      <c r="MW10" s="874"/>
      <c r="MX10" s="874"/>
      <c r="MY10" s="874"/>
      <c r="MZ10" s="874"/>
      <c r="NA10" s="874"/>
      <c r="NB10" s="874"/>
      <c r="NC10" s="874"/>
      <c r="ND10" s="874"/>
      <c r="NE10" s="874"/>
      <c r="NF10" s="874"/>
      <c r="NG10" s="874"/>
      <c r="NH10" s="874"/>
      <c r="NI10" s="874"/>
      <c r="NJ10" s="874"/>
      <c r="NK10" s="874"/>
      <c r="NL10" s="874"/>
      <c r="NM10" s="874"/>
      <c r="NN10" s="874"/>
      <c r="NO10" s="874"/>
      <c r="NP10" s="874"/>
      <c r="NQ10" s="874"/>
      <c r="NR10" s="874"/>
      <c r="NS10" s="874"/>
    </row>
    <row r="11" spans="1:387" ht="15.65">
      <c r="A11" s="874"/>
      <c r="B11" s="940" t="s">
        <v>1011</v>
      </c>
      <c r="C11" s="938"/>
      <c r="D11" s="874"/>
      <c r="E11" s="874"/>
      <c r="F11" s="874"/>
      <c r="G11" s="810"/>
      <c r="H11" s="874"/>
      <c r="I11" s="874"/>
      <c r="J11" s="874"/>
      <c r="K11" s="810"/>
      <c r="L11" s="810"/>
      <c r="M11" s="810"/>
      <c r="N11" s="810"/>
      <c r="O11" s="810"/>
      <c r="P11" s="939"/>
      <c r="R11" s="938"/>
      <c r="S11" s="874"/>
      <c r="T11" s="874"/>
      <c r="U11" s="874"/>
      <c r="V11" s="874"/>
      <c r="W11" s="874"/>
      <c r="X11" s="874"/>
      <c r="Y11" s="874"/>
      <c r="Z11" s="874"/>
      <c r="AA11" s="874"/>
      <c r="AB11" s="874"/>
      <c r="AC11" s="874"/>
      <c r="AD11" s="810"/>
      <c r="AE11" s="874"/>
      <c r="AF11" s="874"/>
      <c r="AG11" s="874"/>
      <c r="AH11" s="874"/>
      <c r="AI11" s="874"/>
      <c r="AJ11" s="874"/>
      <c r="AK11" s="874"/>
      <c r="AL11" s="874"/>
      <c r="AM11" s="874"/>
      <c r="AN11" s="874"/>
      <c r="AO11" s="874"/>
      <c r="AP11" s="874"/>
      <c r="AQ11" s="874"/>
      <c r="AR11" s="874"/>
      <c r="AS11" s="874"/>
      <c r="AT11" s="874"/>
      <c r="AU11" s="874"/>
      <c r="AV11" s="874"/>
      <c r="AW11" s="874"/>
      <c r="AX11" s="874"/>
      <c r="AY11" s="874"/>
      <c r="AZ11" s="874"/>
      <c r="BA11" s="874"/>
      <c r="BB11" s="874"/>
      <c r="BC11" s="874"/>
      <c r="BD11" s="874"/>
      <c r="BE11" s="874"/>
      <c r="BF11" s="874"/>
      <c r="BG11" s="874"/>
      <c r="BH11" s="874"/>
      <c r="BI11" s="874"/>
      <c r="BJ11" s="874"/>
      <c r="BK11" s="874"/>
      <c r="BL11" s="874"/>
      <c r="BM11" s="874"/>
      <c r="BN11" s="874"/>
      <c r="BO11" s="874"/>
      <c r="BP11" s="874"/>
      <c r="BQ11" s="874"/>
      <c r="BR11" s="874"/>
      <c r="BS11" s="874"/>
      <c r="BT11" s="874"/>
      <c r="BU11" s="874"/>
      <c r="BV11" s="874"/>
      <c r="BW11" s="874"/>
      <c r="BX11" s="874"/>
      <c r="BY11" s="874"/>
      <c r="BZ11" s="874"/>
      <c r="CA11" s="874"/>
      <c r="CB11" s="874"/>
      <c r="CC11" s="874"/>
      <c r="CD11" s="874"/>
      <c r="CE11" s="874"/>
      <c r="CF11" s="874"/>
      <c r="CG11" s="874"/>
      <c r="CH11" s="874"/>
      <c r="CI11" s="874"/>
      <c r="CJ11" s="874"/>
      <c r="CK11" s="874"/>
      <c r="CL11" s="874"/>
      <c r="CM11" s="874"/>
      <c r="CN11" s="874"/>
      <c r="CO11" s="874"/>
      <c r="CP11" s="874"/>
      <c r="CQ11" s="874"/>
      <c r="CR11" s="874"/>
      <c r="CS11" s="874"/>
      <c r="CT11" s="874"/>
      <c r="CU11" s="874"/>
      <c r="CV11" s="874"/>
      <c r="CW11" s="874"/>
      <c r="CX11" s="874"/>
      <c r="CY11" s="874"/>
      <c r="CZ11" s="874"/>
      <c r="DA11" s="874"/>
      <c r="DB11" s="874"/>
      <c r="DC11" s="874"/>
      <c r="DD11" s="874"/>
      <c r="DE11" s="874"/>
      <c r="DF11" s="874"/>
      <c r="DG11" s="874"/>
      <c r="DH11" s="874"/>
      <c r="DI11" s="874"/>
      <c r="DJ11" s="874"/>
      <c r="DK11" s="874"/>
      <c r="DL11" s="874"/>
      <c r="DM11" s="874"/>
      <c r="DN11" s="874"/>
      <c r="DO11" s="874"/>
      <c r="DP11" s="874"/>
      <c r="DQ11" s="874"/>
      <c r="DR11" s="874"/>
      <c r="DS11" s="874"/>
      <c r="DT11" s="874"/>
      <c r="DU11" s="874"/>
      <c r="DV11" s="874"/>
      <c r="DW11" s="874"/>
      <c r="DX11" s="874"/>
      <c r="DY11" s="874"/>
      <c r="DZ11" s="874"/>
      <c r="EA11" s="874"/>
      <c r="EB11" s="874"/>
      <c r="EC11" s="874"/>
      <c r="ED11" s="874"/>
      <c r="EE11" s="874"/>
      <c r="EF11" s="874"/>
      <c r="EG11" s="874"/>
      <c r="EH11" s="874"/>
      <c r="EI11" s="874"/>
      <c r="EJ11" s="874"/>
      <c r="EK11" s="874"/>
      <c r="EL11" s="874"/>
      <c r="EM11" s="874"/>
      <c r="EN11" s="874"/>
      <c r="EO11" s="874"/>
      <c r="EP11" s="874"/>
      <c r="EQ11" s="874"/>
      <c r="ER11" s="874"/>
      <c r="ES11" s="874"/>
      <c r="ET11" s="874"/>
      <c r="EU11" s="874"/>
      <c r="EV11" s="874"/>
      <c r="EW11" s="874"/>
      <c r="EX11" s="874"/>
      <c r="EY11" s="874"/>
      <c r="EZ11" s="874"/>
      <c r="FA11" s="874"/>
      <c r="FB11" s="874"/>
      <c r="FC11" s="874"/>
      <c r="FD11" s="874"/>
      <c r="FE11" s="874"/>
      <c r="FF11" s="874"/>
      <c r="FG11" s="874"/>
      <c r="FH11" s="874"/>
      <c r="FI11" s="874"/>
      <c r="FJ11" s="874"/>
      <c r="FK11" s="874"/>
      <c r="FL11" s="874"/>
      <c r="FM11" s="874"/>
      <c r="FN11" s="874"/>
      <c r="FO11" s="874"/>
      <c r="FP11" s="874"/>
      <c r="FQ11" s="874"/>
      <c r="FR11" s="874"/>
      <c r="FS11" s="874"/>
      <c r="FT11" s="874"/>
      <c r="FU11" s="874"/>
      <c r="FV11" s="874"/>
      <c r="FW11" s="874"/>
      <c r="FX11" s="874"/>
      <c r="FY11" s="874"/>
      <c r="FZ11" s="874"/>
      <c r="GA11" s="874"/>
      <c r="GB11" s="874"/>
      <c r="GC11" s="874"/>
      <c r="GD11" s="874"/>
      <c r="GE11" s="874"/>
      <c r="GF11" s="874"/>
      <c r="GG11" s="874"/>
      <c r="GH11" s="874"/>
      <c r="GI11" s="874"/>
      <c r="GJ11" s="874"/>
      <c r="GK11" s="874"/>
      <c r="GL11" s="874"/>
      <c r="GM11" s="874"/>
      <c r="GN11" s="874"/>
      <c r="GO11" s="874"/>
      <c r="GP11" s="874"/>
      <c r="GQ11" s="874"/>
      <c r="GR11" s="874"/>
      <c r="GS11" s="874"/>
      <c r="GT11" s="874"/>
      <c r="GU11" s="874"/>
      <c r="GV11" s="874"/>
      <c r="GW11" s="874"/>
      <c r="GX11" s="874"/>
      <c r="GY11" s="874"/>
      <c r="GZ11" s="874"/>
      <c r="HA11" s="874"/>
      <c r="HB11" s="874"/>
      <c r="HC11" s="874"/>
      <c r="HD11" s="874"/>
      <c r="HE11" s="874"/>
      <c r="HF11" s="874"/>
      <c r="HG11" s="874"/>
      <c r="HH11" s="874"/>
      <c r="HI11" s="874"/>
      <c r="HJ11" s="874"/>
      <c r="HK11" s="874"/>
      <c r="HL11" s="874"/>
      <c r="HM11" s="874"/>
      <c r="HN11" s="874"/>
      <c r="HO11" s="874"/>
      <c r="HP11" s="874"/>
      <c r="HQ11" s="874"/>
      <c r="HR11" s="874"/>
      <c r="HS11" s="874"/>
      <c r="HT11" s="874"/>
      <c r="HU11" s="874"/>
      <c r="HV11" s="874"/>
      <c r="HW11" s="874"/>
      <c r="HX11" s="874"/>
      <c r="HY11" s="874"/>
      <c r="HZ11" s="874"/>
      <c r="IA11" s="874"/>
      <c r="IB11" s="874"/>
      <c r="IC11" s="874"/>
      <c r="ID11" s="874"/>
      <c r="IE11" s="874"/>
      <c r="IF11" s="874"/>
      <c r="IG11" s="874"/>
      <c r="IH11" s="874"/>
      <c r="II11" s="874"/>
      <c r="IJ11" s="874"/>
      <c r="IK11" s="874"/>
      <c r="IL11" s="874"/>
      <c r="IM11" s="874"/>
      <c r="IN11" s="874"/>
      <c r="IO11" s="874"/>
      <c r="IP11" s="874"/>
      <c r="IQ11" s="874"/>
      <c r="IR11" s="874"/>
      <c r="IS11" s="874"/>
      <c r="IT11" s="874"/>
      <c r="IU11" s="874"/>
      <c r="IV11" s="874"/>
      <c r="IW11" s="874"/>
      <c r="IX11" s="874"/>
      <c r="IY11" s="874"/>
      <c r="IZ11" s="874"/>
      <c r="JA11" s="874"/>
      <c r="JB11" s="874"/>
      <c r="JC11" s="874"/>
      <c r="JD11" s="874"/>
      <c r="JE11" s="874"/>
      <c r="JF11" s="874"/>
      <c r="JG11" s="874"/>
      <c r="JH11" s="874"/>
      <c r="JI11" s="874"/>
      <c r="JJ11" s="874"/>
      <c r="JK11" s="874"/>
      <c r="JL11" s="874"/>
      <c r="JM11" s="874"/>
      <c r="JN11" s="874"/>
      <c r="JO11" s="874"/>
      <c r="JP11" s="874"/>
      <c r="JQ11" s="874"/>
      <c r="JR11" s="874"/>
      <c r="JS11" s="874"/>
      <c r="JT11" s="874"/>
      <c r="JU11" s="874"/>
      <c r="JV11" s="874"/>
      <c r="JW11" s="874"/>
      <c r="JX11" s="874"/>
      <c r="JY11" s="874"/>
      <c r="JZ11" s="874"/>
      <c r="KA11" s="874"/>
      <c r="KB11" s="874"/>
      <c r="KC11" s="874"/>
      <c r="KD11" s="874"/>
      <c r="KE11" s="874"/>
      <c r="KF11" s="874"/>
      <c r="KG11" s="874"/>
      <c r="KH11" s="874"/>
      <c r="KI11" s="874"/>
      <c r="KJ11" s="874"/>
      <c r="KK11" s="874"/>
      <c r="KL11" s="874"/>
      <c r="KM11" s="874"/>
      <c r="KN11" s="874"/>
      <c r="KO11" s="874"/>
      <c r="KP11" s="874"/>
      <c r="KQ11" s="874"/>
      <c r="KR11" s="874"/>
      <c r="KS11" s="874"/>
      <c r="KT11" s="874"/>
      <c r="KU11" s="874"/>
      <c r="KV11" s="874"/>
      <c r="KW11" s="874"/>
      <c r="KX11" s="874"/>
      <c r="KY11" s="874"/>
      <c r="KZ11" s="874"/>
      <c r="LA11" s="874"/>
      <c r="LB11" s="874"/>
      <c r="LC11" s="874"/>
      <c r="LD11" s="874"/>
      <c r="LE11" s="874"/>
      <c r="LF11" s="874"/>
      <c r="LG11" s="874"/>
      <c r="LH11" s="874"/>
      <c r="LI11" s="874"/>
      <c r="LJ11" s="874"/>
      <c r="LK11" s="874"/>
      <c r="LL11" s="874"/>
      <c r="LM11" s="874"/>
      <c r="LN11" s="874"/>
      <c r="LO11" s="874"/>
      <c r="LP11" s="874"/>
      <c r="LQ11" s="874"/>
      <c r="LR11" s="874"/>
      <c r="LS11" s="874"/>
      <c r="LT11" s="874"/>
      <c r="LU11" s="874"/>
      <c r="LV11" s="874"/>
      <c r="LW11" s="874"/>
      <c r="LX11" s="874"/>
      <c r="LY11" s="874"/>
      <c r="LZ11" s="874"/>
      <c r="MA11" s="874"/>
      <c r="MB11" s="874"/>
      <c r="MC11" s="874"/>
      <c r="MD11" s="874"/>
      <c r="ME11" s="874"/>
      <c r="MF11" s="874"/>
      <c r="MG11" s="874"/>
      <c r="MH11" s="874"/>
      <c r="MI11" s="874"/>
      <c r="MJ11" s="874"/>
      <c r="MK11" s="874"/>
      <c r="ML11" s="874"/>
      <c r="MM11" s="874"/>
      <c r="MN11" s="874"/>
      <c r="MO11" s="874"/>
      <c r="MP11" s="874"/>
      <c r="MQ11" s="874"/>
      <c r="MR11" s="874"/>
      <c r="MS11" s="874"/>
      <c r="MT11" s="874"/>
      <c r="MU11" s="874"/>
      <c r="MV11" s="874"/>
      <c r="MW11" s="874"/>
      <c r="MX11" s="874"/>
      <c r="MY11" s="874"/>
      <c r="MZ11" s="874"/>
      <c r="NA11" s="874"/>
      <c r="NB11" s="874"/>
      <c r="NC11" s="874"/>
      <c r="ND11" s="874"/>
      <c r="NE11" s="874"/>
      <c r="NF11" s="874"/>
      <c r="NG11" s="874"/>
      <c r="NH11" s="874"/>
      <c r="NI11" s="874"/>
      <c r="NJ11" s="874"/>
      <c r="NK11" s="874"/>
      <c r="NL11" s="874"/>
      <c r="NM11" s="874"/>
    </row>
    <row r="12" spans="1:387" ht="15.65">
      <c r="A12" s="874"/>
      <c r="B12" s="940" t="s">
        <v>1012</v>
      </c>
      <c r="C12" s="938"/>
      <c r="D12" s="874"/>
      <c r="E12" s="874"/>
      <c r="F12" s="874"/>
      <c r="G12" s="810"/>
      <c r="H12" s="874"/>
      <c r="I12" s="874"/>
      <c r="J12" s="874"/>
      <c r="K12" s="810"/>
      <c r="L12" s="810"/>
      <c r="M12" s="810"/>
      <c r="N12" s="810"/>
      <c r="O12" s="810"/>
      <c r="P12" s="939"/>
      <c r="R12" s="938"/>
      <c r="S12" s="874"/>
      <c r="T12" s="874"/>
      <c r="U12" s="874"/>
      <c r="V12" s="874"/>
      <c r="W12" s="874"/>
      <c r="X12" s="874"/>
      <c r="Y12" s="874"/>
      <c r="Z12" s="874"/>
      <c r="AA12" s="874"/>
      <c r="AB12" s="874"/>
      <c r="AC12" s="874"/>
      <c r="AD12" s="810"/>
      <c r="AE12" s="874"/>
      <c r="AF12" s="874"/>
      <c r="AG12" s="874"/>
      <c r="AH12" s="874"/>
      <c r="AI12" s="874"/>
      <c r="AJ12" s="874"/>
      <c r="AK12" s="874"/>
      <c r="AL12" s="874"/>
      <c r="AM12" s="874"/>
      <c r="AN12" s="874"/>
      <c r="AO12" s="874"/>
      <c r="AP12" s="874"/>
      <c r="AQ12" s="874"/>
      <c r="AR12" s="874"/>
      <c r="AS12" s="874"/>
      <c r="AT12" s="874"/>
      <c r="AU12" s="874"/>
      <c r="AV12" s="874"/>
      <c r="AW12" s="874"/>
      <c r="AX12" s="874"/>
      <c r="AY12" s="874"/>
      <c r="AZ12" s="874"/>
      <c r="BA12" s="874"/>
      <c r="BB12" s="874"/>
      <c r="BC12" s="874"/>
      <c r="BD12" s="874"/>
      <c r="BE12" s="874"/>
      <c r="BF12" s="874"/>
      <c r="BG12" s="874"/>
      <c r="BH12" s="874"/>
      <c r="BI12" s="874"/>
      <c r="BJ12" s="874"/>
      <c r="BK12" s="874"/>
      <c r="BL12" s="874"/>
      <c r="BM12" s="874"/>
      <c r="BN12" s="874"/>
      <c r="BO12" s="874"/>
      <c r="BP12" s="874"/>
      <c r="BQ12" s="874"/>
      <c r="BR12" s="874"/>
      <c r="BS12" s="874"/>
      <c r="BT12" s="874"/>
      <c r="BU12" s="874"/>
      <c r="BV12" s="874"/>
      <c r="BW12" s="874"/>
      <c r="BX12" s="874"/>
      <c r="BY12" s="874"/>
      <c r="BZ12" s="874"/>
      <c r="CA12" s="874"/>
      <c r="CB12" s="874"/>
      <c r="CC12" s="874"/>
      <c r="CD12" s="874"/>
      <c r="CE12" s="874"/>
      <c r="CF12" s="874"/>
      <c r="CG12" s="874"/>
      <c r="CH12" s="874"/>
      <c r="CI12" s="874"/>
      <c r="CJ12" s="874"/>
      <c r="CK12" s="874"/>
      <c r="CL12" s="874"/>
      <c r="CM12" s="874"/>
      <c r="CN12" s="874"/>
      <c r="CO12" s="874"/>
      <c r="CP12" s="874"/>
      <c r="CQ12" s="874"/>
      <c r="CR12" s="874"/>
      <c r="CS12" s="874"/>
      <c r="CT12" s="874"/>
      <c r="CU12" s="874"/>
      <c r="CV12" s="874"/>
      <c r="CW12" s="874"/>
      <c r="CX12" s="874"/>
      <c r="CY12" s="874"/>
      <c r="CZ12" s="874"/>
      <c r="DA12" s="874"/>
      <c r="DB12" s="874"/>
      <c r="DC12" s="874"/>
      <c r="DD12" s="874"/>
      <c r="DE12" s="874"/>
      <c r="DF12" s="874"/>
      <c r="DG12" s="874"/>
      <c r="DH12" s="874"/>
      <c r="DI12" s="874"/>
      <c r="DJ12" s="874"/>
      <c r="DK12" s="874"/>
      <c r="DL12" s="874"/>
      <c r="DM12" s="874"/>
      <c r="DN12" s="874"/>
      <c r="DO12" s="874"/>
      <c r="DP12" s="874"/>
      <c r="DQ12" s="874"/>
      <c r="DR12" s="874"/>
      <c r="DS12" s="874"/>
      <c r="DT12" s="874"/>
      <c r="DU12" s="874"/>
      <c r="DV12" s="874"/>
      <c r="DW12" s="874"/>
      <c r="DX12" s="874"/>
      <c r="DY12" s="874"/>
      <c r="DZ12" s="874"/>
      <c r="EA12" s="874"/>
      <c r="EB12" s="874"/>
      <c r="EC12" s="874"/>
      <c r="ED12" s="874"/>
      <c r="EE12" s="874"/>
      <c r="EF12" s="874"/>
      <c r="EG12" s="874"/>
      <c r="EH12" s="874"/>
      <c r="EI12" s="874"/>
      <c r="EJ12" s="874"/>
      <c r="EK12" s="874"/>
      <c r="EL12" s="874"/>
      <c r="EM12" s="874"/>
      <c r="EN12" s="874"/>
      <c r="EO12" s="874"/>
      <c r="EP12" s="874"/>
      <c r="EQ12" s="874"/>
      <c r="ER12" s="874"/>
      <c r="ES12" s="874"/>
      <c r="ET12" s="874"/>
      <c r="EU12" s="874"/>
      <c r="EV12" s="874"/>
      <c r="EW12" s="874"/>
      <c r="EX12" s="874"/>
      <c r="EY12" s="874"/>
      <c r="EZ12" s="874"/>
      <c r="FA12" s="874"/>
      <c r="FB12" s="874"/>
      <c r="FC12" s="874"/>
      <c r="FD12" s="874"/>
      <c r="FE12" s="874"/>
      <c r="FF12" s="874"/>
      <c r="FG12" s="874"/>
      <c r="FH12" s="874"/>
      <c r="FI12" s="874"/>
      <c r="FJ12" s="874"/>
      <c r="FK12" s="874"/>
      <c r="FL12" s="874"/>
      <c r="FM12" s="874"/>
      <c r="FN12" s="874"/>
      <c r="FO12" s="874"/>
      <c r="FP12" s="874"/>
      <c r="FQ12" s="874"/>
      <c r="FR12" s="874"/>
      <c r="FS12" s="874"/>
      <c r="FT12" s="874"/>
      <c r="FU12" s="874"/>
      <c r="FV12" s="874"/>
      <c r="FW12" s="874"/>
      <c r="FX12" s="874"/>
      <c r="FY12" s="874"/>
      <c r="FZ12" s="874"/>
      <c r="GA12" s="874"/>
      <c r="GB12" s="874"/>
      <c r="GC12" s="874"/>
      <c r="GD12" s="874"/>
      <c r="GE12" s="874"/>
      <c r="GF12" s="874"/>
      <c r="GG12" s="874"/>
      <c r="GH12" s="874"/>
      <c r="GI12" s="874"/>
      <c r="GJ12" s="874"/>
      <c r="GK12" s="874"/>
      <c r="GL12" s="874"/>
      <c r="GM12" s="874"/>
      <c r="GN12" s="874"/>
      <c r="GO12" s="874"/>
      <c r="GP12" s="874"/>
      <c r="GQ12" s="874"/>
      <c r="GR12" s="874"/>
      <c r="GS12" s="874"/>
      <c r="GT12" s="874"/>
      <c r="GU12" s="874"/>
      <c r="GV12" s="874"/>
      <c r="GW12" s="874"/>
      <c r="GX12" s="874"/>
      <c r="GY12" s="874"/>
      <c r="GZ12" s="874"/>
      <c r="HA12" s="874"/>
      <c r="HB12" s="874"/>
      <c r="HC12" s="874"/>
      <c r="HD12" s="874"/>
      <c r="HE12" s="874"/>
      <c r="HF12" s="874"/>
      <c r="HG12" s="874"/>
      <c r="HH12" s="874"/>
      <c r="HI12" s="874"/>
      <c r="HJ12" s="874"/>
      <c r="HK12" s="874"/>
      <c r="HL12" s="874"/>
      <c r="HM12" s="874"/>
      <c r="HN12" s="874"/>
      <c r="HO12" s="874"/>
      <c r="HP12" s="874"/>
      <c r="HQ12" s="874"/>
      <c r="HR12" s="874"/>
      <c r="HS12" s="874"/>
      <c r="HT12" s="874"/>
      <c r="HU12" s="874"/>
      <c r="HV12" s="874"/>
      <c r="HW12" s="874"/>
      <c r="HX12" s="874"/>
      <c r="HY12" s="874"/>
      <c r="HZ12" s="874"/>
      <c r="IA12" s="874"/>
      <c r="IB12" s="874"/>
      <c r="IC12" s="874"/>
      <c r="ID12" s="874"/>
      <c r="IE12" s="874"/>
      <c r="IF12" s="874"/>
      <c r="IG12" s="874"/>
      <c r="IH12" s="874"/>
      <c r="II12" s="874"/>
      <c r="IJ12" s="874"/>
      <c r="IK12" s="874"/>
      <c r="IL12" s="874"/>
      <c r="IM12" s="874"/>
      <c r="IN12" s="874"/>
      <c r="IO12" s="874"/>
      <c r="IP12" s="874"/>
      <c r="IQ12" s="874"/>
      <c r="IR12" s="874"/>
      <c r="IS12" s="874"/>
      <c r="IT12" s="874"/>
      <c r="IU12" s="874"/>
      <c r="IV12" s="874"/>
      <c r="IW12" s="874"/>
      <c r="IX12" s="874"/>
      <c r="IY12" s="874"/>
      <c r="IZ12" s="874"/>
      <c r="JA12" s="874"/>
      <c r="JB12" s="874"/>
      <c r="JC12" s="874"/>
      <c r="JD12" s="874"/>
      <c r="JE12" s="874"/>
      <c r="JF12" s="874"/>
      <c r="JG12" s="874"/>
      <c r="JH12" s="874"/>
      <c r="JI12" s="874"/>
      <c r="JJ12" s="874"/>
      <c r="JK12" s="874"/>
      <c r="JL12" s="874"/>
      <c r="JM12" s="874"/>
      <c r="JN12" s="874"/>
      <c r="JO12" s="874"/>
      <c r="JP12" s="874"/>
      <c r="JQ12" s="874"/>
      <c r="JR12" s="874"/>
      <c r="JS12" s="874"/>
      <c r="JT12" s="874"/>
      <c r="JU12" s="874"/>
      <c r="JV12" s="874"/>
      <c r="JW12" s="874"/>
      <c r="JX12" s="874"/>
      <c r="JY12" s="874"/>
      <c r="JZ12" s="874"/>
      <c r="KA12" s="874"/>
      <c r="KB12" s="874"/>
      <c r="KC12" s="874"/>
      <c r="KD12" s="874"/>
      <c r="KE12" s="874"/>
      <c r="KF12" s="874"/>
      <c r="KG12" s="874"/>
      <c r="KH12" s="874"/>
      <c r="KI12" s="874"/>
      <c r="KJ12" s="874"/>
      <c r="KK12" s="874"/>
      <c r="KL12" s="874"/>
      <c r="KM12" s="874"/>
      <c r="KN12" s="874"/>
      <c r="KO12" s="874"/>
      <c r="KP12" s="874"/>
      <c r="KQ12" s="874"/>
      <c r="KR12" s="874"/>
      <c r="KS12" s="874"/>
      <c r="KT12" s="874"/>
      <c r="KU12" s="874"/>
      <c r="KV12" s="874"/>
      <c r="KW12" s="874"/>
      <c r="KX12" s="874"/>
      <c r="KY12" s="874"/>
      <c r="KZ12" s="874"/>
      <c r="LA12" s="874"/>
      <c r="LB12" s="874"/>
      <c r="LC12" s="874"/>
      <c r="LD12" s="874"/>
      <c r="LE12" s="874"/>
      <c r="LF12" s="874"/>
      <c r="LG12" s="874"/>
      <c r="LH12" s="874"/>
      <c r="LI12" s="874"/>
      <c r="LJ12" s="874"/>
      <c r="LK12" s="874"/>
      <c r="LL12" s="874"/>
      <c r="LM12" s="874"/>
      <c r="LN12" s="874"/>
      <c r="LO12" s="874"/>
      <c r="LP12" s="874"/>
      <c r="LQ12" s="874"/>
      <c r="LR12" s="874"/>
      <c r="LS12" s="874"/>
      <c r="LT12" s="874"/>
      <c r="LU12" s="874"/>
      <c r="LV12" s="874"/>
      <c r="LW12" s="874"/>
      <c r="LX12" s="874"/>
      <c r="LY12" s="874"/>
      <c r="LZ12" s="874"/>
      <c r="MA12" s="874"/>
      <c r="MB12" s="874"/>
      <c r="MC12" s="874"/>
      <c r="MD12" s="874"/>
      <c r="ME12" s="874"/>
      <c r="MF12" s="874"/>
      <c r="MG12" s="874"/>
      <c r="MH12" s="874"/>
      <c r="MI12" s="874"/>
      <c r="MJ12" s="874"/>
      <c r="MK12" s="874"/>
      <c r="ML12" s="874"/>
      <c r="MM12" s="874"/>
      <c r="MN12" s="874"/>
      <c r="MO12" s="874"/>
      <c r="MP12" s="874"/>
      <c r="MQ12" s="874"/>
      <c r="MR12" s="874"/>
      <c r="MS12" s="874"/>
      <c r="MT12" s="874"/>
      <c r="MU12" s="874"/>
      <c r="MV12" s="874"/>
      <c r="MW12" s="874"/>
      <c r="MX12" s="874"/>
      <c r="MY12" s="874"/>
      <c r="MZ12" s="874"/>
      <c r="NA12" s="874"/>
      <c r="NB12" s="874"/>
      <c r="NC12" s="874"/>
      <c r="ND12" s="874"/>
      <c r="NE12" s="874"/>
      <c r="NF12" s="874"/>
      <c r="NG12" s="874"/>
      <c r="NH12" s="874"/>
      <c r="NI12" s="874"/>
      <c r="NJ12" s="874"/>
      <c r="NK12" s="874"/>
      <c r="NL12" s="874"/>
      <c r="NM12" s="874"/>
    </row>
    <row r="13" spans="1:387">
      <c r="A13" s="874"/>
      <c r="B13" s="940" t="s">
        <v>1013</v>
      </c>
      <c r="C13" s="938"/>
      <c r="D13" s="874"/>
      <c r="E13" s="874"/>
      <c r="F13" s="874"/>
      <c r="G13" s="810"/>
      <c r="H13" s="874"/>
      <c r="I13" s="874"/>
      <c r="J13" s="874"/>
      <c r="K13" s="810"/>
      <c r="L13" s="810"/>
      <c r="M13" s="810"/>
      <c r="N13" s="810"/>
      <c r="O13" s="810"/>
      <c r="P13" s="874"/>
      <c r="Q13" s="874"/>
      <c r="R13" s="874"/>
      <c r="S13" s="874"/>
      <c r="T13" s="874"/>
      <c r="U13" s="874"/>
      <c r="V13" s="874"/>
      <c r="W13" s="874"/>
      <c r="X13" s="874"/>
      <c r="Y13" s="874"/>
      <c r="Z13" s="874"/>
      <c r="AA13" s="874"/>
      <c r="AB13" s="874"/>
      <c r="AC13" s="874"/>
      <c r="AD13" s="874"/>
      <c r="AE13" s="874"/>
      <c r="AF13" s="874"/>
      <c r="AG13" s="874"/>
      <c r="AH13" s="874"/>
      <c r="AI13" s="874"/>
      <c r="AJ13" s="874"/>
      <c r="AK13" s="874"/>
      <c r="AL13" s="874"/>
      <c r="AM13" s="874"/>
      <c r="AN13" s="874"/>
      <c r="AO13" s="874"/>
      <c r="AP13" s="874"/>
      <c r="AQ13" s="874"/>
      <c r="AR13" s="874"/>
      <c r="AS13" s="874"/>
      <c r="AT13" s="874"/>
      <c r="AU13" s="874"/>
      <c r="AV13" s="874"/>
      <c r="AW13" s="874"/>
      <c r="AX13" s="874"/>
      <c r="AY13" s="874"/>
      <c r="AZ13" s="874"/>
      <c r="BA13" s="874"/>
      <c r="BB13" s="874"/>
      <c r="BC13" s="874"/>
      <c r="BD13" s="874"/>
      <c r="BE13" s="874"/>
      <c r="BF13" s="874"/>
      <c r="BG13" s="874"/>
      <c r="BH13" s="874"/>
      <c r="BI13" s="874"/>
      <c r="BJ13" s="874"/>
      <c r="BK13" s="874"/>
      <c r="BL13" s="874"/>
      <c r="BM13" s="874"/>
      <c r="BN13" s="874"/>
      <c r="BO13" s="874"/>
      <c r="BP13" s="874"/>
      <c r="BQ13" s="874"/>
      <c r="BR13" s="874"/>
      <c r="BS13" s="874"/>
      <c r="BT13" s="874"/>
      <c r="BU13" s="874"/>
      <c r="BV13" s="874"/>
      <c r="BW13" s="874"/>
      <c r="BX13" s="874"/>
      <c r="BY13" s="874"/>
      <c r="BZ13" s="874"/>
      <c r="CA13" s="874"/>
      <c r="CB13" s="874"/>
      <c r="CC13" s="874"/>
      <c r="CD13" s="874"/>
      <c r="CE13" s="874"/>
      <c r="CF13" s="874"/>
      <c r="CG13" s="874"/>
      <c r="CH13" s="874"/>
      <c r="CI13" s="874"/>
      <c r="CJ13" s="874"/>
      <c r="CK13" s="874"/>
      <c r="CL13" s="874"/>
      <c r="CM13" s="874"/>
      <c r="CN13" s="874"/>
      <c r="CO13" s="874"/>
      <c r="CP13" s="874"/>
      <c r="CQ13" s="874"/>
      <c r="CR13" s="874"/>
      <c r="CS13" s="874"/>
      <c r="CT13" s="874"/>
      <c r="CU13" s="874"/>
      <c r="CV13" s="874"/>
      <c r="CW13" s="874"/>
      <c r="CX13" s="874"/>
      <c r="CY13" s="874"/>
      <c r="CZ13" s="874"/>
      <c r="DA13" s="874"/>
      <c r="DB13" s="874"/>
      <c r="DC13" s="874"/>
      <c r="DD13" s="874"/>
      <c r="DE13" s="874"/>
      <c r="DF13" s="874"/>
      <c r="DG13" s="874"/>
      <c r="DH13" s="874"/>
      <c r="DI13" s="874"/>
      <c r="DJ13" s="874"/>
      <c r="DK13" s="874"/>
      <c r="DL13" s="874"/>
      <c r="DM13" s="874"/>
      <c r="DN13" s="874"/>
      <c r="DO13" s="874"/>
      <c r="DP13" s="874"/>
      <c r="DQ13" s="874"/>
      <c r="DR13" s="874"/>
      <c r="DS13" s="874"/>
      <c r="DT13" s="874"/>
      <c r="DU13" s="874"/>
      <c r="DV13" s="874"/>
      <c r="DW13" s="874"/>
      <c r="DX13" s="874"/>
      <c r="DY13" s="874"/>
      <c r="DZ13" s="874"/>
      <c r="EA13" s="874"/>
      <c r="EB13" s="874"/>
      <c r="EC13" s="874"/>
      <c r="ED13" s="874"/>
      <c r="EE13" s="874"/>
      <c r="EF13" s="874"/>
      <c r="EG13" s="874"/>
      <c r="EH13" s="874"/>
      <c r="EI13" s="874"/>
      <c r="EJ13" s="874"/>
      <c r="EK13" s="874"/>
      <c r="EL13" s="874"/>
      <c r="EM13" s="874"/>
      <c r="EN13" s="874"/>
      <c r="EO13" s="874"/>
      <c r="EP13" s="874"/>
      <c r="EQ13" s="874"/>
      <c r="ER13" s="874"/>
      <c r="ES13" s="874"/>
      <c r="ET13" s="874"/>
      <c r="EU13" s="874"/>
      <c r="EV13" s="874"/>
      <c r="EW13" s="874"/>
      <c r="EX13" s="874"/>
      <c r="EY13" s="874"/>
      <c r="EZ13" s="874"/>
      <c r="FA13" s="874"/>
      <c r="FB13" s="874"/>
      <c r="FC13" s="874"/>
      <c r="FD13" s="874"/>
      <c r="FE13" s="874"/>
      <c r="FF13" s="874"/>
      <c r="FG13" s="874"/>
      <c r="FH13" s="874"/>
      <c r="FI13" s="874"/>
      <c r="FJ13" s="874"/>
      <c r="FK13" s="874"/>
      <c r="FL13" s="874"/>
      <c r="FM13" s="874"/>
      <c r="FN13" s="874"/>
      <c r="FO13" s="874"/>
      <c r="FP13" s="874"/>
      <c r="FQ13" s="874"/>
      <c r="FR13" s="874"/>
      <c r="FS13" s="874"/>
    </row>
    <row r="14" spans="1:387">
      <c r="A14" s="874"/>
      <c r="B14" s="940"/>
      <c r="C14" s="938"/>
      <c r="D14" s="874"/>
      <c r="E14" s="874"/>
      <c r="F14" s="874"/>
      <c r="G14" s="810"/>
      <c r="H14" s="874"/>
      <c r="I14" s="874"/>
      <c r="J14" s="874"/>
      <c r="K14" s="810"/>
      <c r="L14" s="810"/>
      <c r="M14" s="810"/>
      <c r="N14" s="810"/>
      <c r="O14" s="810"/>
      <c r="P14" s="874"/>
      <c r="Q14" s="874"/>
      <c r="R14" s="874"/>
      <c r="S14" s="874"/>
      <c r="T14" s="874"/>
      <c r="U14" s="874"/>
      <c r="V14" s="874"/>
      <c r="W14" s="874"/>
      <c r="X14" s="874"/>
      <c r="Y14" s="874"/>
      <c r="Z14" s="874"/>
      <c r="AA14" s="874"/>
      <c r="AB14" s="874"/>
      <c r="AC14" s="874"/>
      <c r="AD14" s="874"/>
      <c r="AE14" s="874"/>
      <c r="AF14" s="874"/>
      <c r="AG14" s="874"/>
      <c r="AH14" s="874"/>
      <c r="AI14" s="874"/>
      <c r="AJ14" s="874"/>
      <c r="AK14" s="874"/>
      <c r="AL14" s="874"/>
      <c r="AM14" s="874"/>
      <c r="AN14" s="874"/>
      <c r="AO14" s="874"/>
      <c r="AP14" s="874"/>
      <c r="AQ14" s="874"/>
      <c r="AR14" s="874"/>
      <c r="AS14" s="874"/>
      <c r="AT14" s="874"/>
      <c r="AU14" s="874"/>
      <c r="AV14" s="874"/>
      <c r="AW14" s="874"/>
      <c r="AX14" s="874"/>
      <c r="AY14" s="874"/>
      <c r="AZ14" s="874"/>
      <c r="BA14" s="874"/>
      <c r="BB14" s="874"/>
      <c r="BC14" s="874"/>
      <c r="BD14" s="874"/>
      <c r="BE14" s="874"/>
      <c r="BF14" s="874"/>
      <c r="BG14" s="874"/>
      <c r="BH14" s="874"/>
      <c r="BI14" s="874"/>
      <c r="BJ14" s="874"/>
      <c r="BK14" s="874"/>
      <c r="BL14" s="874"/>
      <c r="BM14" s="874"/>
      <c r="BN14" s="874"/>
      <c r="BO14" s="874"/>
      <c r="BP14" s="874"/>
      <c r="BQ14" s="874"/>
      <c r="BR14" s="874"/>
      <c r="BS14" s="874"/>
      <c r="BT14" s="874"/>
      <c r="BU14" s="874"/>
      <c r="BV14" s="874"/>
      <c r="BW14" s="874"/>
      <c r="BX14" s="874"/>
      <c r="BY14" s="874"/>
      <c r="BZ14" s="874"/>
      <c r="CA14" s="874"/>
      <c r="CB14" s="874"/>
      <c r="CC14" s="874"/>
      <c r="CD14" s="874"/>
      <c r="CE14" s="874"/>
      <c r="CF14" s="874"/>
      <c r="CG14" s="874"/>
      <c r="CH14" s="874"/>
      <c r="CI14" s="874"/>
      <c r="CJ14" s="874"/>
      <c r="CK14" s="874"/>
      <c r="CL14" s="874"/>
      <c r="CM14" s="874"/>
      <c r="CN14" s="874"/>
      <c r="CO14" s="874"/>
      <c r="CP14" s="874"/>
      <c r="CQ14" s="874"/>
      <c r="CR14" s="874"/>
      <c r="CS14" s="874"/>
      <c r="CT14" s="874"/>
      <c r="CU14" s="874"/>
      <c r="CV14" s="874"/>
      <c r="CW14" s="874"/>
      <c r="CX14" s="874"/>
      <c r="CY14" s="874"/>
      <c r="CZ14" s="874"/>
      <c r="DA14" s="874"/>
      <c r="DB14" s="874"/>
      <c r="DC14" s="874"/>
      <c r="DD14" s="874"/>
      <c r="DE14" s="874"/>
      <c r="DF14" s="874"/>
      <c r="DG14" s="874"/>
      <c r="DH14" s="874"/>
      <c r="DI14" s="874"/>
      <c r="DJ14" s="874"/>
      <c r="DK14" s="874"/>
      <c r="DL14" s="874"/>
      <c r="DM14" s="874"/>
      <c r="DN14" s="874"/>
      <c r="DO14" s="874"/>
      <c r="DP14" s="874"/>
      <c r="DQ14" s="874"/>
      <c r="DR14" s="874"/>
      <c r="DS14" s="874"/>
      <c r="DT14" s="874"/>
      <c r="DU14" s="874"/>
      <c r="DV14" s="874"/>
      <c r="DW14" s="874"/>
      <c r="DX14" s="874"/>
      <c r="DY14" s="874"/>
      <c r="DZ14" s="874"/>
      <c r="EA14" s="874"/>
      <c r="EB14" s="874"/>
      <c r="EC14" s="874"/>
      <c r="ED14" s="874"/>
      <c r="EE14" s="874"/>
      <c r="EF14" s="874"/>
      <c r="EG14" s="874"/>
      <c r="EH14" s="874"/>
      <c r="EI14" s="874"/>
      <c r="EJ14" s="874"/>
      <c r="EK14" s="874"/>
      <c r="EL14" s="874"/>
      <c r="EM14" s="874"/>
      <c r="EN14" s="874"/>
      <c r="EO14" s="874"/>
      <c r="EP14" s="874"/>
      <c r="EQ14" s="874"/>
      <c r="ER14" s="874"/>
      <c r="ES14" s="874"/>
      <c r="ET14" s="874"/>
      <c r="EU14" s="874"/>
      <c r="EV14" s="874"/>
      <c r="EW14" s="874"/>
      <c r="EX14" s="874"/>
      <c r="EY14" s="874"/>
      <c r="EZ14" s="874"/>
      <c r="FA14" s="874"/>
      <c r="FB14" s="874"/>
      <c r="FC14" s="874"/>
      <c r="FD14" s="874"/>
      <c r="FE14" s="874"/>
      <c r="FF14" s="874"/>
      <c r="FG14" s="874"/>
      <c r="FH14" s="874"/>
      <c r="FI14" s="874"/>
      <c r="FJ14" s="874"/>
      <c r="FK14" s="874"/>
      <c r="FL14" s="874"/>
      <c r="FM14" s="874"/>
      <c r="FN14" s="874"/>
      <c r="FO14" s="874"/>
      <c r="FP14" s="874"/>
      <c r="FQ14" s="874"/>
      <c r="FR14" s="874"/>
      <c r="FS14" s="874"/>
    </row>
    <row r="15" spans="1:387">
      <c r="A15" s="874">
        <v>1</v>
      </c>
      <c r="B15" s="874" t="s">
        <v>78</v>
      </c>
      <c r="C15" s="938"/>
      <c r="D15" s="874"/>
      <c r="E15" s="874"/>
      <c r="F15" s="874"/>
      <c r="G15" s="811"/>
      <c r="H15" s="874"/>
      <c r="I15" s="874"/>
      <c r="J15" s="874"/>
      <c r="K15" s="811"/>
      <c r="L15" s="811"/>
      <c r="M15" s="811"/>
      <c r="N15" s="811"/>
      <c r="O15" s="811"/>
      <c r="P15" s="874"/>
      <c r="Q15" s="874"/>
      <c r="R15" s="874"/>
      <c r="S15" s="874"/>
      <c r="T15" s="874"/>
      <c r="U15" s="874"/>
      <c r="V15" s="874"/>
      <c r="W15" s="874"/>
      <c r="X15" s="874"/>
      <c r="Y15" s="874"/>
      <c r="Z15" s="874"/>
      <c r="AA15" s="874"/>
      <c r="AB15" s="874"/>
      <c r="AC15" s="874"/>
      <c r="AD15" s="874"/>
      <c r="AE15" s="874"/>
      <c r="AF15" s="874"/>
      <c r="AG15" s="874"/>
      <c r="AH15" s="874"/>
      <c r="AI15" s="874"/>
      <c r="AJ15" s="874"/>
      <c r="AK15" s="874"/>
      <c r="AL15" s="874"/>
      <c r="AM15" s="874"/>
      <c r="AN15" s="874"/>
      <c r="AO15" s="874"/>
      <c r="AP15" s="874"/>
      <c r="AQ15" s="874"/>
      <c r="AR15" s="874"/>
      <c r="AS15" s="874"/>
      <c r="AT15" s="874"/>
      <c r="AU15" s="874"/>
      <c r="AV15" s="874"/>
      <c r="AW15" s="874"/>
      <c r="AX15" s="874"/>
      <c r="AY15" s="874"/>
      <c r="AZ15" s="874"/>
      <c r="BA15" s="874"/>
      <c r="BB15" s="874"/>
      <c r="BC15" s="874"/>
      <c r="BD15" s="874"/>
      <c r="BE15" s="874"/>
      <c r="BF15" s="874"/>
      <c r="BG15" s="874"/>
      <c r="BH15" s="874"/>
      <c r="BI15" s="874"/>
      <c r="BJ15" s="874"/>
      <c r="BK15" s="874"/>
      <c r="BL15" s="874"/>
      <c r="BM15" s="874"/>
      <c r="BN15" s="874"/>
      <c r="BO15" s="874"/>
      <c r="BP15" s="874"/>
      <c r="BQ15" s="874"/>
      <c r="BR15" s="874"/>
      <c r="BS15" s="874"/>
      <c r="BT15" s="874"/>
      <c r="BU15" s="874"/>
      <c r="BV15" s="874"/>
      <c r="BW15" s="874"/>
      <c r="BX15" s="874"/>
      <c r="BY15" s="874"/>
      <c r="BZ15" s="874"/>
      <c r="CA15" s="874"/>
      <c r="CB15" s="874"/>
      <c r="CC15" s="874"/>
      <c r="CD15" s="874"/>
      <c r="CE15" s="874"/>
      <c r="CF15" s="874"/>
      <c r="CG15" s="874"/>
      <c r="CH15" s="874"/>
      <c r="CI15" s="874"/>
      <c r="CJ15" s="874"/>
      <c r="CK15" s="874"/>
      <c r="CL15" s="874"/>
      <c r="CM15" s="874"/>
      <c r="CN15" s="874"/>
      <c r="CO15" s="874"/>
      <c r="CP15" s="874"/>
      <c r="CQ15" s="874"/>
      <c r="CR15" s="874"/>
      <c r="CS15" s="874"/>
      <c r="CT15" s="874"/>
      <c r="CU15" s="874"/>
      <c r="CV15" s="874"/>
      <c r="CW15" s="874"/>
      <c r="CX15" s="874"/>
      <c r="CY15" s="874"/>
      <c r="CZ15" s="874"/>
      <c r="DA15" s="874"/>
      <c r="DB15" s="874"/>
      <c r="DC15" s="874"/>
      <c r="DD15" s="874"/>
      <c r="DE15" s="874"/>
      <c r="DF15" s="874"/>
      <c r="DG15" s="874"/>
      <c r="DH15" s="874"/>
      <c r="DI15" s="874"/>
      <c r="DJ15" s="874"/>
      <c r="DK15" s="874"/>
      <c r="DL15" s="874"/>
      <c r="DM15" s="874"/>
      <c r="DN15" s="874"/>
      <c r="DO15" s="874"/>
      <c r="DP15" s="874"/>
      <c r="DQ15" s="874"/>
      <c r="DR15" s="874"/>
      <c r="DS15" s="874"/>
      <c r="DT15" s="874"/>
      <c r="DU15" s="874"/>
      <c r="DV15" s="874"/>
      <c r="DW15" s="874"/>
      <c r="DX15" s="874"/>
      <c r="DY15" s="874"/>
      <c r="DZ15" s="874"/>
      <c r="EA15" s="874"/>
      <c r="EB15" s="874"/>
      <c r="EC15" s="874"/>
      <c r="ED15" s="874"/>
      <c r="EE15" s="874"/>
      <c r="EF15" s="874"/>
      <c r="EG15" s="874"/>
      <c r="EH15" s="874"/>
      <c r="EI15" s="874"/>
      <c r="EJ15" s="874"/>
      <c r="EK15" s="874"/>
      <c r="EL15" s="874"/>
      <c r="EM15" s="874"/>
      <c r="EN15" s="874"/>
      <c r="EO15" s="874"/>
      <c r="EP15" s="874"/>
      <c r="EQ15" s="874"/>
      <c r="ER15" s="874"/>
      <c r="ES15" s="874"/>
      <c r="ET15" s="874"/>
      <c r="EU15" s="874"/>
      <c r="EV15" s="874"/>
      <c r="EW15" s="874"/>
      <c r="EX15" s="874"/>
      <c r="EY15" s="874"/>
      <c r="EZ15" s="874"/>
      <c r="FA15" s="874"/>
      <c r="FB15" s="874"/>
      <c r="FC15" s="874"/>
      <c r="FD15" s="874"/>
      <c r="FE15" s="874"/>
      <c r="FF15" s="874"/>
      <c r="FG15" s="874"/>
      <c r="FH15" s="874"/>
      <c r="FI15" s="874"/>
      <c r="FJ15" s="874"/>
      <c r="FK15" s="874"/>
      <c r="FL15" s="874"/>
      <c r="FM15" s="874"/>
      <c r="FN15" s="874"/>
      <c r="FO15" s="874"/>
      <c r="FP15" s="874"/>
      <c r="FQ15" s="874"/>
      <c r="FR15" s="874"/>
      <c r="FS15" s="874"/>
    </row>
    <row r="16" spans="1:387">
      <c r="A16" s="874"/>
      <c r="B16" s="874"/>
      <c r="C16" s="938"/>
      <c r="D16" s="874"/>
      <c r="E16" s="874"/>
      <c r="F16" s="874"/>
      <c r="G16" s="811"/>
      <c r="H16" s="874"/>
      <c r="I16" s="874"/>
      <c r="J16" s="874"/>
      <c r="K16" s="811"/>
      <c r="L16" s="811"/>
      <c r="M16" s="811"/>
      <c r="N16" s="811"/>
      <c r="O16" s="811"/>
      <c r="P16" s="874"/>
      <c r="Q16" s="874"/>
      <c r="R16" s="874"/>
      <c r="S16" s="874"/>
      <c r="T16" s="874"/>
      <c r="U16" s="874"/>
      <c r="V16" s="874"/>
      <c r="W16" s="874"/>
      <c r="X16" s="874"/>
      <c r="Y16" s="874"/>
      <c r="Z16" s="874"/>
      <c r="AA16" s="874"/>
      <c r="AB16" s="874"/>
      <c r="AC16" s="874"/>
      <c r="AD16" s="874"/>
      <c r="AE16" s="874"/>
      <c r="AF16" s="874"/>
      <c r="AG16" s="874"/>
      <c r="AH16" s="874"/>
      <c r="AI16" s="874"/>
      <c r="AJ16" s="874"/>
      <c r="AK16" s="874"/>
      <c r="AL16" s="874"/>
      <c r="AM16" s="874"/>
      <c r="AN16" s="874"/>
      <c r="AO16" s="874"/>
      <c r="AP16" s="874"/>
      <c r="AQ16" s="874"/>
      <c r="AR16" s="874"/>
      <c r="AS16" s="874"/>
      <c r="AT16" s="874"/>
      <c r="AU16" s="874"/>
      <c r="AV16" s="874"/>
      <c r="AW16" s="874"/>
      <c r="AX16" s="874"/>
      <c r="AY16" s="874"/>
      <c r="AZ16" s="874"/>
      <c r="BA16" s="874"/>
      <c r="BB16" s="874"/>
      <c r="BC16" s="874"/>
      <c r="BD16" s="874"/>
      <c r="BE16" s="874"/>
      <c r="BF16" s="874"/>
      <c r="BG16" s="874"/>
      <c r="BH16" s="874"/>
      <c r="BI16" s="874"/>
      <c r="BJ16" s="874"/>
      <c r="BK16" s="874"/>
      <c r="BL16" s="874"/>
      <c r="BM16" s="874"/>
      <c r="BN16" s="874"/>
      <c r="BO16" s="874"/>
      <c r="BP16" s="874"/>
      <c r="BQ16" s="874"/>
      <c r="BR16" s="874"/>
      <c r="BS16" s="874"/>
      <c r="BT16" s="874"/>
      <c r="BU16" s="874"/>
      <c r="BV16" s="874"/>
      <c r="BW16" s="874"/>
      <c r="BX16" s="874"/>
      <c r="BY16" s="874"/>
      <c r="BZ16" s="874"/>
      <c r="CA16" s="874"/>
      <c r="CB16" s="874"/>
      <c r="CC16" s="874"/>
      <c r="CD16" s="874"/>
      <c r="CE16" s="874"/>
      <c r="CF16" s="874"/>
      <c r="CG16" s="874"/>
      <c r="CH16" s="874"/>
      <c r="CI16" s="874"/>
      <c r="CJ16" s="874"/>
      <c r="CK16" s="874"/>
      <c r="CL16" s="874"/>
      <c r="CM16" s="874"/>
      <c r="CN16" s="874"/>
      <c r="CO16" s="874"/>
      <c r="CP16" s="874"/>
      <c r="CQ16" s="874"/>
      <c r="CR16" s="874"/>
      <c r="CS16" s="874"/>
      <c r="CT16" s="874"/>
      <c r="CU16" s="874"/>
      <c r="CV16" s="874"/>
      <c r="CW16" s="874"/>
      <c r="CX16" s="874"/>
      <c r="CY16" s="874"/>
      <c r="CZ16" s="874"/>
      <c r="DA16" s="874"/>
      <c r="DB16" s="874"/>
      <c r="DC16" s="874"/>
      <c r="DD16" s="874"/>
      <c r="DE16" s="874"/>
      <c r="DF16" s="874"/>
      <c r="DG16" s="874"/>
      <c r="DH16" s="874"/>
      <c r="DI16" s="874"/>
      <c r="DJ16" s="874"/>
      <c r="DK16" s="874"/>
      <c r="DL16" s="874"/>
      <c r="DM16" s="874"/>
      <c r="DN16" s="874"/>
      <c r="DO16" s="874"/>
      <c r="DP16" s="874"/>
      <c r="DQ16" s="874"/>
      <c r="DR16" s="874"/>
      <c r="DS16" s="874"/>
      <c r="DT16" s="874"/>
      <c r="DU16" s="874"/>
      <c r="DV16" s="874"/>
      <c r="DW16" s="874"/>
      <c r="DX16" s="874"/>
      <c r="DY16" s="874"/>
      <c r="DZ16" s="874"/>
      <c r="EA16" s="874"/>
      <c r="EB16" s="874"/>
      <c r="EC16" s="874"/>
      <c r="ED16" s="874"/>
      <c r="EE16" s="874"/>
      <c r="EF16" s="874"/>
      <c r="EG16" s="874"/>
      <c r="EH16" s="874"/>
      <c r="EI16" s="874"/>
      <c r="EJ16" s="874"/>
      <c r="EK16" s="874"/>
      <c r="EL16" s="874"/>
      <c r="EM16" s="874"/>
      <c r="EN16" s="874"/>
      <c r="EO16" s="874"/>
      <c r="EP16" s="874"/>
      <c r="EQ16" s="874"/>
      <c r="ER16" s="874"/>
      <c r="ES16" s="874"/>
      <c r="ET16" s="874"/>
      <c r="EU16" s="874"/>
      <c r="EV16" s="874"/>
      <c r="EW16" s="874"/>
      <c r="EX16" s="874"/>
      <c r="EY16" s="874"/>
      <c r="EZ16" s="874"/>
      <c r="FA16" s="874"/>
      <c r="FB16" s="874"/>
      <c r="FC16" s="874"/>
      <c r="FD16" s="874"/>
      <c r="FE16" s="874"/>
      <c r="FF16" s="874"/>
      <c r="FG16" s="874"/>
      <c r="FH16" s="874"/>
      <c r="FI16" s="874"/>
      <c r="FJ16" s="874"/>
      <c r="FK16" s="874"/>
      <c r="FL16" s="874"/>
      <c r="FM16" s="874"/>
      <c r="FN16" s="874"/>
      <c r="FO16" s="874"/>
      <c r="FP16" s="874"/>
      <c r="FQ16" s="874"/>
      <c r="FR16" s="874"/>
      <c r="FS16" s="874"/>
    </row>
    <row r="17" spans="1:374" ht="13.6">
      <c r="A17" s="874">
        <v>2</v>
      </c>
      <c r="B17" s="941" t="s">
        <v>79</v>
      </c>
      <c r="C17" s="938"/>
      <c r="D17" s="874"/>
      <c r="E17" s="874"/>
      <c r="F17" s="874"/>
      <c r="G17" s="811"/>
      <c r="H17" s="874"/>
      <c r="I17" s="874"/>
      <c r="J17" s="874"/>
      <c r="K17" s="811"/>
      <c r="L17" s="811"/>
      <c r="M17" s="811"/>
      <c r="N17" s="811"/>
      <c r="O17" s="811"/>
      <c r="P17" s="874"/>
      <c r="Q17" s="874"/>
      <c r="R17" s="874"/>
      <c r="S17" s="874"/>
      <c r="T17" s="874"/>
      <c r="U17" s="874"/>
      <c r="V17" s="874"/>
      <c r="W17" s="874"/>
      <c r="X17" s="874"/>
      <c r="Y17" s="874"/>
      <c r="Z17" s="874"/>
      <c r="AA17" s="874"/>
      <c r="AB17" s="874"/>
      <c r="AC17" s="874"/>
      <c r="AD17" s="874"/>
      <c r="AE17" s="874"/>
      <c r="AF17" s="874"/>
      <c r="AG17" s="874"/>
      <c r="AH17" s="874"/>
      <c r="AI17" s="874"/>
      <c r="AJ17" s="874"/>
      <c r="AK17" s="874"/>
      <c r="AL17" s="874"/>
      <c r="AM17" s="874"/>
      <c r="AN17" s="874"/>
      <c r="AO17" s="874"/>
      <c r="AP17" s="874"/>
      <c r="AQ17" s="874"/>
      <c r="AR17" s="874"/>
      <c r="AS17" s="874"/>
      <c r="AT17" s="874"/>
      <c r="AU17" s="874"/>
      <c r="AV17" s="874"/>
      <c r="AW17" s="874"/>
      <c r="AX17" s="874"/>
      <c r="AY17" s="874"/>
      <c r="AZ17" s="874"/>
      <c r="BA17" s="874"/>
      <c r="BB17" s="874"/>
      <c r="BC17" s="874"/>
      <c r="BD17" s="874"/>
      <c r="BE17" s="874"/>
      <c r="BF17" s="874"/>
      <c r="BG17" s="874"/>
      <c r="BH17" s="874"/>
      <c r="BI17" s="874"/>
      <c r="BJ17" s="874"/>
      <c r="BK17" s="874"/>
      <c r="BL17" s="874"/>
      <c r="BM17" s="874"/>
      <c r="BN17" s="874"/>
      <c r="BO17" s="874"/>
      <c r="BP17" s="874"/>
      <c r="BQ17" s="874"/>
      <c r="BR17" s="874"/>
      <c r="BS17" s="874"/>
      <c r="BT17" s="874"/>
      <c r="BU17" s="874"/>
      <c r="BV17" s="874"/>
      <c r="BW17" s="874"/>
      <c r="BX17" s="874"/>
      <c r="BY17" s="874"/>
      <c r="BZ17" s="874"/>
      <c r="CA17" s="874"/>
      <c r="CB17" s="874"/>
      <c r="CC17" s="874"/>
      <c r="CD17" s="874"/>
      <c r="CE17" s="874"/>
      <c r="CF17" s="874"/>
      <c r="CG17" s="874"/>
      <c r="CH17" s="874"/>
      <c r="CI17" s="874"/>
      <c r="CJ17" s="874"/>
      <c r="CK17" s="874"/>
      <c r="CL17" s="874"/>
      <c r="CM17" s="874"/>
      <c r="CN17" s="874"/>
      <c r="CO17" s="874"/>
      <c r="CP17" s="874"/>
      <c r="CQ17" s="874"/>
      <c r="CR17" s="874"/>
      <c r="CS17" s="874"/>
      <c r="CT17" s="874"/>
      <c r="CU17" s="874"/>
      <c r="CV17" s="874"/>
      <c r="CW17" s="874"/>
      <c r="CX17" s="874"/>
      <c r="CY17" s="874"/>
      <c r="CZ17" s="874"/>
      <c r="DA17" s="874"/>
      <c r="DB17" s="874"/>
      <c r="DC17" s="874"/>
      <c r="DD17" s="874"/>
      <c r="DE17" s="874"/>
      <c r="DF17" s="874"/>
      <c r="DG17" s="874"/>
      <c r="DH17" s="874"/>
      <c r="DI17" s="874"/>
      <c r="DJ17" s="874"/>
      <c r="DK17" s="874"/>
      <c r="DL17" s="874"/>
      <c r="DM17" s="874"/>
      <c r="DN17" s="874"/>
      <c r="DO17" s="874"/>
      <c r="DP17" s="874"/>
      <c r="DQ17" s="874"/>
      <c r="DR17" s="874"/>
      <c r="DS17" s="874"/>
      <c r="DT17" s="874"/>
      <c r="DU17" s="874"/>
      <c r="DV17" s="874"/>
      <c r="DW17" s="874"/>
      <c r="DX17" s="874"/>
      <c r="DY17" s="874"/>
      <c r="DZ17" s="874"/>
      <c r="EA17" s="874"/>
      <c r="EB17" s="874"/>
      <c r="EC17" s="874"/>
      <c r="ED17" s="874"/>
      <c r="EE17" s="874"/>
      <c r="EF17" s="874"/>
      <c r="EG17" s="874"/>
      <c r="EH17" s="874"/>
      <c r="EI17" s="874"/>
      <c r="EJ17" s="874"/>
      <c r="EK17" s="874"/>
      <c r="EL17" s="874"/>
      <c r="EM17" s="874"/>
      <c r="EN17" s="874"/>
      <c r="EO17" s="874"/>
      <c r="EP17" s="874"/>
      <c r="EQ17" s="874"/>
      <c r="ER17" s="874"/>
      <c r="ES17" s="874"/>
      <c r="ET17" s="874"/>
      <c r="EU17" s="874"/>
      <c r="EV17" s="874"/>
      <c r="EW17" s="874"/>
      <c r="EX17" s="874"/>
      <c r="EY17" s="874"/>
      <c r="EZ17" s="874"/>
      <c r="FA17" s="874"/>
      <c r="FB17" s="874"/>
      <c r="FC17" s="874"/>
      <c r="FD17" s="874"/>
      <c r="FE17" s="874"/>
      <c r="FF17" s="874"/>
      <c r="FG17" s="874"/>
      <c r="FH17" s="874"/>
      <c r="FI17" s="874"/>
      <c r="FJ17" s="874"/>
      <c r="FK17" s="874"/>
      <c r="FL17" s="874"/>
      <c r="FM17" s="874"/>
      <c r="FN17" s="874"/>
      <c r="FO17" s="874"/>
      <c r="FP17" s="874"/>
      <c r="FQ17" s="874"/>
      <c r="FR17" s="874"/>
      <c r="FS17" s="874"/>
    </row>
    <row r="18" spans="1:374" ht="13.6">
      <c r="A18" s="874"/>
      <c r="B18" s="941"/>
      <c r="C18" s="938" t="s">
        <v>80</v>
      </c>
      <c r="D18" s="874"/>
      <c r="E18" s="874"/>
      <c r="F18" s="874"/>
      <c r="G18" s="811"/>
      <c r="H18" s="874"/>
      <c r="I18" s="874"/>
      <c r="J18" s="874"/>
      <c r="K18" s="811"/>
      <c r="L18" s="811"/>
      <c r="M18" s="811"/>
      <c r="N18" s="811"/>
      <c r="O18" s="811"/>
      <c r="P18" s="874"/>
      <c r="Q18" s="874"/>
      <c r="R18" s="874"/>
      <c r="S18" s="874"/>
      <c r="T18" s="874"/>
      <c r="U18" s="874"/>
      <c r="V18" s="874"/>
      <c r="W18" s="874"/>
      <c r="X18" s="874"/>
      <c r="Y18" s="874"/>
      <c r="Z18" s="874"/>
      <c r="AA18" s="874"/>
      <c r="AB18" s="874"/>
      <c r="AC18" s="874"/>
      <c r="AD18" s="874"/>
      <c r="AE18" s="874"/>
      <c r="AF18" s="874"/>
      <c r="AG18" s="874"/>
      <c r="AH18" s="874"/>
      <c r="AI18" s="874"/>
      <c r="AJ18" s="874"/>
      <c r="AK18" s="874"/>
      <c r="AL18" s="874"/>
      <c r="AM18" s="874"/>
      <c r="AN18" s="874"/>
      <c r="AO18" s="874"/>
      <c r="AP18" s="874"/>
      <c r="AQ18" s="874"/>
      <c r="AR18" s="874"/>
      <c r="AS18" s="874"/>
      <c r="AT18" s="874"/>
      <c r="AU18" s="874"/>
      <c r="AV18" s="874"/>
      <c r="AW18" s="874"/>
      <c r="AX18" s="874"/>
      <c r="AY18" s="874"/>
      <c r="AZ18" s="874"/>
      <c r="BA18" s="874"/>
      <c r="BB18" s="874"/>
      <c r="BC18" s="874"/>
      <c r="BD18" s="874"/>
      <c r="BE18" s="874"/>
      <c r="BF18" s="874"/>
      <c r="BG18" s="874"/>
      <c r="BH18" s="874"/>
      <c r="BI18" s="874"/>
      <c r="BJ18" s="874"/>
      <c r="BK18" s="874"/>
      <c r="BL18" s="874"/>
      <c r="BM18" s="874"/>
      <c r="BN18" s="874"/>
      <c r="BO18" s="874"/>
      <c r="BP18" s="874"/>
      <c r="BQ18" s="874"/>
      <c r="BR18" s="874"/>
      <c r="BS18" s="874"/>
      <c r="BT18" s="874"/>
      <c r="BU18" s="874"/>
      <c r="BV18" s="874"/>
      <c r="BW18" s="874"/>
      <c r="BX18" s="874"/>
      <c r="BY18" s="874"/>
      <c r="BZ18" s="874"/>
      <c r="CA18" s="874"/>
      <c r="CB18" s="874"/>
      <c r="CC18" s="874"/>
      <c r="CD18" s="874"/>
      <c r="CE18" s="874"/>
      <c r="CF18" s="874"/>
      <c r="CG18" s="874"/>
      <c r="CH18" s="874"/>
      <c r="CI18" s="874"/>
      <c r="CJ18" s="874"/>
      <c r="CK18" s="874"/>
      <c r="CL18" s="874"/>
      <c r="CM18" s="874"/>
      <c r="CN18" s="874"/>
      <c r="CO18" s="874"/>
      <c r="CP18" s="874"/>
      <c r="CQ18" s="874"/>
      <c r="CR18" s="874"/>
      <c r="CS18" s="874"/>
      <c r="CT18" s="874"/>
      <c r="CU18" s="874"/>
      <c r="CV18" s="874"/>
      <c r="CW18" s="874"/>
      <c r="CX18" s="874"/>
      <c r="CY18" s="874"/>
      <c r="CZ18" s="874"/>
      <c r="DA18" s="874"/>
      <c r="DB18" s="874"/>
      <c r="DC18" s="874"/>
      <c r="DD18" s="874"/>
      <c r="DE18" s="874"/>
      <c r="DF18" s="874"/>
      <c r="DG18" s="874"/>
      <c r="DH18" s="874"/>
      <c r="DI18" s="874"/>
      <c r="DJ18" s="874"/>
      <c r="DK18" s="874"/>
      <c r="DL18" s="874"/>
      <c r="DM18" s="874"/>
      <c r="DN18" s="874"/>
      <c r="DO18" s="874"/>
      <c r="DP18" s="874"/>
      <c r="DQ18" s="874"/>
      <c r="DR18" s="874"/>
      <c r="DS18" s="874"/>
      <c r="DT18" s="874"/>
      <c r="DU18" s="874"/>
      <c r="DV18" s="874"/>
      <c r="DW18" s="874"/>
      <c r="DX18" s="874"/>
      <c r="DY18" s="874"/>
      <c r="DZ18" s="874"/>
      <c r="EA18" s="874"/>
      <c r="EB18" s="874"/>
      <c r="EC18" s="874"/>
      <c r="ED18" s="874"/>
      <c r="EE18" s="874"/>
      <c r="EF18" s="874"/>
      <c r="EG18" s="874"/>
      <c r="EH18" s="874"/>
      <c r="EI18" s="874"/>
      <c r="EJ18" s="874"/>
      <c r="EK18" s="874"/>
      <c r="EL18" s="874"/>
      <c r="EM18" s="874"/>
      <c r="EN18" s="874"/>
      <c r="EO18" s="874"/>
      <c r="EP18" s="874"/>
      <c r="EQ18" s="874"/>
      <c r="ER18" s="874"/>
      <c r="ES18" s="874"/>
      <c r="ET18" s="874"/>
      <c r="EU18" s="874"/>
      <c r="EV18" s="874"/>
      <c r="EW18" s="874"/>
      <c r="EX18" s="874"/>
      <c r="EY18" s="874"/>
      <c r="EZ18" s="874"/>
      <c r="FA18" s="874"/>
      <c r="FB18" s="874"/>
      <c r="FC18" s="874"/>
      <c r="FD18" s="874"/>
      <c r="FE18" s="874"/>
      <c r="FF18" s="874"/>
      <c r="FG18" s="874"/>
      <c r="FH18" s="874"/>
      <c r="FI18" s="874"/>
      <c r="FJ18" s="874"/>
      <c r="FK18" s="874"/>
      <c r="FL18" s="874"/>
      <c r="FM18" s="874"/>
      <c r="FN18" s="874"/>
      <c r="FO18" s="874"/>
      <c r="FP18" s="874"/>
      <c r="FQ18" s="874"/>
      <c r="FR18" s="874"/>
      <c r="FS18" s="874"/>
    </row>
    <row r="19" spans="1:374">
      <c r="A19" s="874">
        <v>3</v>
      </c>
      <c r="B19" s="938" t="s">
        <v>632</v>
      </c>
      <c r="C19" s="938">
        <v>154</v>
      </c>
      <c r="D19" s="940" t="s">
        <v>104</v>
      </c>
      <c r="E19" s="874"/>
      <c r="F19" s="874"/>
      <c r="G19" s="812"/>
      <c r="H19" s="874"/>
      <c r="I19" s="874"/>
      <c r="J19" s="874"/>
      <c r="K19" s="792">
        <f>'Appendix A'!H251</f>
        <v>0.13697777270881656</v>
      </c>
      <c r="L19" s="792"/>
      <c r="M19" s="792"/>
      <c r="N19" s="792"/>
      <c r="O19" s="792"/>
      <c r="P19" s="873"/>
      <c r="Q19" s="874"/>
      <c r="R19" s="874"/>
      <c r="S19" s="874"/>
      <c r="T19" s="874"/>
      <c r="U19" s="874"/>
      <c r="V19" s="874"/>
      <c r="W19" s="874"/>
      <c r="X19" s="874"/>
      <c r="Y19" s="874"/>
      <c r="Z19" s="874"/>
      <c r="AA19" s="874"/>
      <c r="AB19" s="874"/>
      <c r="AC19" s="874"/>
      <c r="AD19" s="874"/>
      <c r="AE19" s="874"/>
      <c r="AF19" s="874"/>
      <c r="AG19" s="874"/>
      <c r="AH19" s="874"/>
      <c r="AI19" s="874"/>
      <c r="AJ19" s="874"/>
      <c r="AK19" s="874"/>
      <c r="AL19" s="874"/>
      <c r="AM19" s="874"/>
      <c r="AN19" s="874"/>
      <c r="AO19" s="874"/>
      <c r="AP19" s="874"/>
      <c r="AQ19" s="874"/>
      <c r="AR19" s="874"/>
      <c r="AS19" s="874"/>
      <c r="AT19" s="874"/>
      <c r="AU19" s="874"/>
      <c r="AV19" s="874"/>
      <c r="AW19" s="874"/>
      <c r="AX19" s="874"/>
      <c r="AY19" s="874"/>
      <c r="AZ19" s="874"/>
      <c r="BA19" s="874"/>
      <c r="BB19" s="874"/>
      <c r="BC19" s="874"/>
      <c r="BD19" s="874"/>
      <c r="BE19" s="874"/>
      <c r="BF19" s="874"/>
      <c r="BG19" s="874"/>
      <c r="BH19" s="874"/>
      <c r="BI19" s="874"/>
      <c r="BJ19" s="874"/>
      <c r="BK19" s="874"/>
      <c r="BL19" s="874"/>
      <c r="BM19" s="874"/>
      <c r="BN19" s="874"/>
      <c r="BO19" s="874"/>
      <c r="BP19" s="874"/>
      <c r="BQ19" s="874"/>
      <c r="BR19" s="874"/>
      <c r="BS19" s="874"/>
      <c r="BT19" s="874"/>
      <c r="BU19" s="874"/>
      <c r="BV19" s="874"/>
      <c r="BW19" s="874"/>
      <c r="BX19" s="874"/>
      <c r="BY19" s="874"/>
      <c r="BZ19" s="874"/>
      <c r="CA19" s="874"/>
      <c r="CB19" s="874"/>
      <c r="CC19" s="874"/>
      <c r="CD19" s="874"/>
      <c r="CE19" s="874"/>
      <c r="CF19" s="874"/>
      <c r="CG19" s="874"/>
      <c r="CH19" s="874"/>
      <c r="CI19" s="874"/>
      <c r="CJ19" s="874"/>
      <c r="CK19" s="874"/>
      <c r="CL19" s="874"/>
      <c r="CM19" s="874"/>
      <c r="CN19" s="874"/>
      <c r="CO19" s="874"/>
      <c r="CP19" s="874"/>
      <c r="CQ19" s="874"/>
      <c r="CR19" s="874"/>
      <c r="CS19" s="874"/>
      <c r="CT19" s="874"/>
      <c r="CU19" s="874"/>
      <c r="CV19" s="874"/>
      <c r="CW19" s="874"/>
      <c r="CX19" s="874"/>
      <c r="CY19" s="874"/>
      <c r="CZ19" s="874"/>
      <c r="DA19" s="874"/>
      <c r="DB19" s="874"/>
      <c r="DC19" s="874"/>
      <c r="DD19" s="874"/>
      <c r="DE19" s="874"/>
      <c r="DF19" s="874"/>
      <c r="DG19" s="874"/>
      <c r="DH19" s="874"/>
      <c r="DI19" s="874"/>
      <c r="DJ19" s="874"/>
      <c r="DK19" s="874"/>
      <c r="DL19" s="874"/>
      <c r="DM19" s="874"/>
      <c r="DN19" s="874"/>
      <c r="DO19" s="874"/>
      <c r="DP19" s="874"/>
      <c r="DQ19" s="874"/>
      <c r="DR19" s="874"/>
      <c r="DS19" s="874"/>
      <c r="DT19" s="874"/>
      <c r="DU19" s="874"/>
      <c r="DV19" s="874"/>
      <c r="DW19" s="874"/>
      <c r="DX19" s="874"/>
      <c r="DY19" s="874"/>
      <c r="DZ19" s="874"/>
      <c r="EA19" s="874"/>
      <c r="EB19" s="874"/>
      <c r="EC19" s="874"/>
      <c r="ED19" s="874"/>
      <c r="EE19" s="874"/>
      <c r="EF19" s="874"/>
      <c r="EG19" s="874"/>
      <c r="EH19" s="874"/>
      <c r="EI19" s="874"/>
      <c r="EJ19" s="874"/>
      <c r="EK19" s="874"/>
      <c r="EL19" s="874"/>
      <c r="EM19" s="874"/>
      <c r="EN19" s="874"/>
      <c r="EO19" s="874"/>
      <c r="EP19" s="874"/>
      <c r="EQ19" s="874"/>
      <c r="ER19" s="874"/>
      <c r="ES19" s="874"/>
      <c r="ET19" s="874"/>
      <c r="EU19" s="874"/>
      <c r="EV19" s="874"/>
      <c r="EW19" s="874"/>
      <c r="EX19" s="874"/>
      <c r="EY19" s="874"/>
      <c r="EZ19" s="874"/>
      <c r="FA19" s="874"/>
      <c r="FB19" s="874"/>
      <c r="FC19" s="874"/>
      <c r="FD19" s="874"/>
      <c r="FE19" s="874"/>
      <c r="FF19" s="874"/>
      <c r="FG19" s="874"/>
      <c r="FH19" s="874"/>
      <c r="FI19" s="874"/>
      <c r="FJ19" s="874"/>
      <c r="FK19" s="874"/>
      <c r="FL19" s="874"/>
      <c r="FM19" s="874"/>
      <c r="FN19" s="874"/>
      <c r="FO19" s="874"/>
      <c r="FP19" s="874"/>
      <c r="FQ19" s="874"/>
      <c r="FR19" s="874"/>
      <c r="FS19" s="874"/>
    </row>
    <row r="20" spans="1:374">
      <c r="A20" s="874">
        <v>4</v>
      </c>
      <c r="B20" s="938" t="s">
        <v>814</v>
      </c>
      <c r="C20" s="938">
        <v>161</v>
      </c>
      <c r="D20" s="940" t="s">
        <v>999</v>
      </c>
      <c r="E20" s="874"/>
      <c r="F20" s="874"/>
      <c r="G20" s="812"/>
      <c r="H20" s="874"/>
      <c r="I20" s="874"/>
      <c r="J20" s="874"/>
      <c r="K20" s="792">
        <f>'Appendix A'!H261</f>
        <v>0.1446401288121904</v>
      </c>
      <c r="L20" s="792"/>
      <c r="M20" s="792"/>
      <c r="N20" s="792"/>
      <c r="O20" s="792"/>
      <c r="P20" s="873"/>
      <c r="Q20" s="874"/>
      <c r="R20" s="874"/>
      <c r="S20" s="874"/>
      <c r="T20" s="874"/>
      <c r="U20" s="874"/>
      <c r="V20" s="874"/>
      <c r="W20" s="874"/>
      <c r="X20" s="874"/>
      <c r="Y20" s="874"/>
      <c r="Z20" s="874"/>
      <c r="AA20" s="874"/>
      <c r="AB20" s="874"/>
      <c r="AC20" s="874"/>
      <c r="AD20" s="874"/>
      <c r="AE20" s="874"/>
      <c r="AF20" s="874"/>
      <c r="AG20" s="874"/>
      <c r="AH20" s="874"/>
      <c r="AI20" s="874"/>
      <c r="AJ20" s="874"/>
      <c r="AK20" s="874"/>
      <c r="AL20" s="874"/>
      <c r="AM20" s="874"/>
      <c r="AN20" s="874"/>
      <c r="AO20" s="874"/>
      <c r="AP20" s="874"/>
      <c r="AQ20" s="874"/>
      <c r="AR20" s="874"/>
      <c r="AS20" s="874"/>
      <c r="AT20" s="874"/>
      <c r="AU20" s="874"/>
      <c r="AV20" s="874"/>
      <c r="AW20" s="874"/>
      <c r="AX20" s="874"/>
      <c r="AY20" s="874"/>
      <c r="AZ20" s="874"/>
      <c r="BA20" s="874"/>
      <c r="BB20" s="874"/>
      <c r="BC20" s="874"/>
      <c r="BD20" s="874"/>
      <c r="BE20" s="874"/>
      <c r="BF20" s="874"/>
      <c r="BG20" s="874"/>
      <c r="BH20" s="874"/>
      <c r="BI20" s="874"/>
      <c r="BJ20" s="874"/>
      <c r="BK20" s="874"/>
      <c r="BL20" s="874"/>
      <c r="BM20" s="874"/>
      <c r="BN20" s="874"/>
      <c r="BO20" s="874"/>
      <c r="BP20" s="874"/>
      <c r="BQ20" s="874"/>
      <c r="BR20" s="874"/>
      <c r="BS20" s="874"/>
      <c r="BT20" s="874"/>
      <c r="BU20" s="874"/>
      <c r="BV20" s="874"/>
      <c r="BW20" s="874"/>
      <c r="BX20" s="874"/>
      <c r="BY20" s="874"/>
      <c r="BZ20" s="874"/>
      <c r="CA20" s="874"/>
      <c r="CB20" s="874"/>
      <c r="CC20" s="874"/>
      <c r="CD20" s="874"/>
      <c r="CE20" s="874"/>
      <c r="CF20" s="874"/>
      <c r="CG20" s="874"/>
      <c r="CH20" s="874"/>
      <c r="CI20" s="874"/>
      <c r="CJ20" s="874"/>
      <c r="CK20" s="874"/>
      <c r="CL20" s="874"/>
      <c r="CM20" s="874"/>
      <c r="CN20" s="874"/>
      <c r="CO20" s="874"/>
      <c r="CP20" s="874"/>
      <c r="CQ20" s="874"/>
      <c r="CR20" s="874"/>
      <c r="CS20" s="874"/>
      <c r="CT20" s="874"/>
      <c r="CU20" s="874"/>
      <c r="CV20" s="874"/>
      <c r="CW20" s="874"/>
      <c r="CX20" s="874"/>
      <c r="CY20" s="874"/>
      <c r="CZ20" s="874"/>
      <c r="DA20" s="874"/>
      <c r="DB20" s="874"/>
      <c r="DC20" s="874"/>
      <c r="DD20" s="874"/>
      <c r="DE20" s="874"/>
      <c r="DF20" s="874"/>
      <c r="DG20" s="874"/>
      <c r="DH20" s="874"/>
      <c r="DI20" s="874"/>
      <c r="DJ20" s="874"/>
      <c r="DK20" s="874"/>
      <c r="DL20" s="874"/>
      <c r="DM20" s="874"/>
      <c r="DN20" s="874"/>
      <c r="DO20" s="874"/>
      <c r="DP20" s="874"/>
      <c r="DQ20" s="874"/>
      <c r="DR20" s="874"/>
      <c r="DS20" s="874"/>
      <c r="DT20" s="874"/>
      <c r="DU20" s="874"/>
      <c r="DV20" s="874"/>
      <c r="DW20" s="874"/>
      <c r="DX20" s="874"/>
      <c r="DY20" s="874"/>
      <c r="DZ20" s="874"/>
      <c r="EA20" s="874"/>
      <c r="EB20" s="874"/>
      <c r="EC20" s="874"/>
      <c r="ED20" s="874"/>
      <c r="EE20" s="874"/>
      <c r="EF20" s="874"/>
      <c r="EG20" s="874"/>
      <c r="EH20" s="874"/>
      <c r="EI20" s="874"/>
      <c r="EJ20" s="874"/>
      <c r="EK20" s="874"/>
      <c r="EL20" s="874"/>
      <c r="EM20" s="874"/>
      <c r="EN20" s="874"/>
      <c r="EO20" s="874"/>
      <c r="EP20" s="874"/>
      <c r="EQ20" s="874"/>
      <c r="ER20" s="874"/>
      <c r="ES20" s="874"/>
      <c r="ET20" s="874"/>
      <c r="EU20" s="874"/>
      <c r="EV20" s="874"/>
      <c r="EW20" s="874"/>
      <c r="EX20" s="874"/>
      <c r="EY20" s="874"/>
      <c r="EZ20" s="874"/>
      <c r="FA20" s="874"/>
      <c r="FB20" s="874"/>
      <c r="FC20" s="874"/>
      <c r="FD20" s="874"/>
      <c r="FE20" s="874"/>
      <c r="FF20" s="874"/>
      <c r="FG20" s="874"/>
      <c r="FH20" s="874"/>
      <c r="FI20" s="874"/>
      <c r="FJ20" s="874"/>
      <c r="FK20" s="874"/>
      <c r="FL20" s="874"/>
      <c r="FM20" s="874"/>
      <c r="FN20" s="874"/>
      <c r="FO20" s="874"/>
      <c r="FP20" s="874"/>
      <c r="FQ20" s="874"/>
      <c r="FR20" s="874"/>
      <c r="FS20" s="874"/>
    </row>
    <row r="21" spans="1:374">
      <c r="A21" s="874">
        <v>5</v>
      </c>
      <c r="B21" s="938" t="s">
        <v>610</v>
      </c>
      <c r="C21" s="938"/>
      <c r="D21" s="874" t="s">
        <v>81</v>
      </c>
      <c r="E21" s="874"/>
      <c r="F21" s="874"/>
      <c r="G21" s="874"/>
      <c r="H21" s="874"/>
      <c r="I21" s="874"/>
      <c r="J21" s="874"/>
      <c r="K21" s="792">
        <f>K20-K19</f>
        <v>7.6623561033738463E-3</v>
      </c>
      <c r="L21" s="792"/>
      <c r="M21" s="792"/>
      <c r="N21" s="792"/>
      <c r="O21" s="792"/>
      <c r="P21" s="873"/>
      <c r="Q21" s="874"/>
      <c r="R21" s="874"/>
      <c r="S21" s="874"/>
      <c r="T21" s="874"/>
      <c r="U21" s="874"/>
      <c r="V21" s="874"/>
      <c r="W21" s="874"/>
      <c r="X21" s="874"/>
      <c r="Y21" s="874"/>
      <c r="Z21" s="874"/>
      <c r="AA21" s="874"/>
      <c r="AB21" s="874"/>
      <c r="AC21" s="874"/>
      <c r="AD21" s="874"/>
      <c r="AE21" s="874"/>
      <c r="AF21" s="874"/>
      <c r="AG21" s="874"/>
      <c r="AH21" s="874"/>
      <c r="AI21" s="874"/>
      <c r="AJ21" s="874"/>
      <c r="AK21" s="874"/>
      <c r="AL21" s="874"/>
      <c r="AM21" s="874"/>
      <c r="AN21" s="874"/>
      <c r="AO21" s="874"/>
      <c r="AP21" s="874"/>
      <c r="AQ21" s="874"/>
      <c r="AR21" s="874"/>
      <c r="AS21" s="874"/>
      <c r="AT21" s="874"/>
      <c r="AU21" s="874"/>
      <c r="AV21" s="874"/>
      <c r="AW21" s="874"/>
      <c r="AX21" s="874"/>
      <c r="AY21" s="874"/>
      <c r="AZ21" s="874"/>
      <c r="BA21" s="874"/>
      <c r="BB21" s="874"/>
      <c r="BC21" s="874"/>
      <c r="BD21" s="874"/>
      <c r="BE21" s="874"/>
      <c r="BF21" s="874"/>
      <c r="BG21" s="874"/>
      <c r="BH21" s="874"/>
      <c r="BI21" s="874"/>
      <c r="BJ21" s="874"/>
      <c r="BK21" s="874"/>
      <c r="BL21" s="874"/>
      <c r="BM21" s="874"/>
      <c r="BN21" s="874"/>
      <c r="BO21" s="874"/>
      <c r="BP21" s="874"/>
      <c r="BQ21" s="874"/>
      <c r="BR21" s="874"/>
      <c r="BS21" s="874"/>
      <c r="BT21" s="874"/>
      <c r="BU21" s="874"/>
      <c r="BV21" s="874"/>
      <c r="BW21" s="874"/>
      <c r="BX21" s="874"/>
      <c r="BY21" s="874"/>
      <c r="BZ21" s="874"/>
      <c r="CA21" s="874"/>
      <c r="CB21" s="874"/>
      <c r="CC21" s="874"/>
      <c r="CD21" s="874"/>
      <c r="CE21" s="874"/>
      <c r="CF21" s="874"/>
      <c r="CG21" s="874"/>
      <c r="CH21" s="874"/>
      <c r="CI21" s="874"/>
      <c r="CJ21" s="874"/>
      <c r="CK21" s="874"/>
      <c r="CL21" s="874"/>
      <c r="CM21" s="874"/>
      <c r="CN21" s="874"/>
      <c r="CO21" s="874"/>
      <c r="CP21" s="874"/>
      <c r="CQ21" s="874"/>
      <c r="CR21" s="874"/>
      <c r="CS21" s="874"/>
      <c r="CT21" s="874"/>
      <c r="CU21" s="874"/>
      <c r="CV21" s="874"/>
      <c r="CW21" s="874"/>
      <c r="CX21" s="874"/>
      <c r="CY21" s="874"/>
      <c r="CZ21" s="874"/>
      <c r="DA21" s="874"/>
      <c r="DB21" s="874"/>
      <c r="DC21" s="874"/>
      <c r="DD21" s="874"/>
      <c r="DE21" s="874"/>
      <c r="DF21" s="874"/>
      <c r="DG21" s="874"/>
      <c r="DH21" s="874"/>
      <c r="DI21" s="874"/>
      <c r="DJ21" s="874"/>
      <c r="DK21" s="874"/>
      <c r="DL21" s="874"/>
      <c r="DM21" s="874"/>
      <c r="DN21" s="874"/>
      <c r="DO21" s="874"/>
      <c r="DP21" s="874"/>
      <c r="DQ21" s="874"/>
      <c r="DR21" s="874"/>
      <c r="DS21" s="874"/>
      <c r="DT21" s="874"/>
      <c r="DU21" s="874"/>
      <c r="DV21" s="874"/>
      <c r="DW21" s="874"/>
      <c r="DX21" s="874"/>
      <c r="DY21" s="874"/>
      <c r="DZ21" s="874"/>
      <c r="EA21" s="874"/>
      <c r="EB21" s="874"/>
      <c r="EC21" s="874"/>
      <c r="ED21" s="874"/>
      <c r="EE21" s="874"/>
      <c r="EF21" s="874"/>
      <c r="EG21" s="874"/>
      <c r="EH21" s="874"/>
      <c r="EI21" s="874"/>
      <c r="EJ21" s="874"/>
      <c r="EK21" s="874"/>
      <c r="EL21" s="874"/>
      <c r="EM21" s="874"/>
      <c r="EN21" s="874"/>
      <c r="EO21" s="874"/>
      <c r="EP21" s="874"/>
      <c r="EQ21" s="874"/>
      <c r="ER21" s="874"/>
      <c r="ES21" s="874"/>
      <c r="ET21" s="874"/>
      <c r="EU21" s="874"/>
      <c r="EV21" s="874"/>
      <c r="EW21" s="874"/>
      <c r="EX21" s="874"/>
      <c r="EY21" s="874"/>
      <c r="EZ21" s="874"/>
      <c r="FA21" s="874"/>
      <c r="FB21" s="874"/>
      <c r="FC21" s="874"/>
      <c r="FD21" s="874"/>
      <c r="FE21" s="874"/>
      <c r="FF21" s="874"/>
      <c r="FG21" s="874"/>
      <c r="FH21" s="874"/>
      <c r="FI21" s="874"/>
      <c r="FJ21" s="874"/>
      <c r="FK21" s="874"/>
      <c r="FL21" s="874"/>
      <c r="FM21" s="874"/>
      <c r="FN21" s="874"/>
      <c r="FO21" s="874"/>
      <c r="FP21" s="874"/>
      <c r="FQ21" s="874"/>
      <c r="FR21" s="874"/>
      <c r="FS21" s="874"/>
    </row>
    <row r="22" spans="1:374">
      <c r="A22" s="874"/>
      <c r="B22" s="874"/>
      <c r="C22" s="938"/>
      <c r="D22" s="874"/>
      <c r="E22" s="874"/>
      <c r="F22" s="874"/>
      <c r="G22" s="874"/>
      <c r="H22" s="874"/>
      <c r="I22" s="874"/>
      <c r="J22" s="874"/>
      <c r="K22" s="792"/>
      <c r="L22" s="792"/>
      <c r="M22" s="792"/>
      <c r="N22" s="792"/>
      <c r="O22" s="792"/>
      <c r="P22" s="873"/>
      <c r="Q22" s="874"/>
      <c r="R22" s="874"/>
      <c r="S22" s="874"/>
      <c r="T22" s="874"/>
      <c r="U22" s="874"/>
      <c r="V22" s="874"/>
      <c r="W22" s="874"/>
      <c r="X22" s="874"/>
      <c r="Y22" s="874"/>
      <c r="Z22" s="874"/>
      <c r="AA22" s="874"/>
      <c r="AB22" s="874"/>
      <c r="AC22" s="874"/>
      <c r="AD22" s="874"/>
      <c r="AE22" s="874"/>
      <c r="AF22" s="874"/>
      <c r="AG22" s="874"/>
      <c r="AH22" s="874"/>
      <c r="AI22" s="874"/>
      <c r="AJ22" s="874"/>
      <c r="AK22" s="874"/>
      <c r="AL22" s="874"/>
      <c r="AM22" s="874"/>
      <c r="AN22" s="874"/>
      <c r="AO22" s="874"/>
      <c r="AP22" s="874"/>
      <c r="AQ22" s="874"/>
      <c r="AR22" s="874"/>
      <c r="AS22" s="874"/>
      <c r="AT22" s="874"/>
      <c r="AU22" s="874"/>
      <c r="AV22" s="874"/>
      <c r="AW22" s="874"/>
      <c r="AX22" s="874"/>
      <c r="AY22" s="874"/>
      <c r="AZ22" s="874"/>
      <c r="BA22" s="874"/>
      <c r="BB22" s="874"/>
      <c r="BC22" s="874"/>
      <c r="BD22" s="874"/>
      <c r="BE22" s="874"/>
      <c r="BF22" s="874"/>
      <c r="BG22" s="874"/>
      <c r="BH22" s="874"/>
      <c r="BI22" s="874"/>
      <c r="BJ22" s="874"/>
      <c r="BK22" s="874"/>
      <c r="BL22" s="874"/>
      <c r="BM22" s="874"/>
      <c r="BN22" s="874"/>
      <c r="BO22" s="874"/>
      <c r="BP22" s="874"/>
      <c r="BQ22" s="874"/>
      <c r="BR22" s="874"/>
      <c r="BS22" s="874"/>
      <c r="BT22" s="874"/>
      <c r="BU22" s="874"/>
      <c r="BV22" s="874"/>
      <c r="BW22" s="874"/>
      <c r="BX22" s="874"/>
      <c r="BY22" s="874"/>
      <c r="BZ22" s="874"/>
      <c r="CA22" s="874"/>
      <c r="CB22" s="874"/>
      <c r="CC22" s="874"/>
      <c r="CD22" s="874"/>
      <c r="CE22" s="874"/>
      <c r="CF22" s="874"/>
      <c r="CG22" s="874"/>
      <c r="CH22" s="874"/>
      <c r="CI22" s="874"/>
      <c r="CJ22" s="874"/>
      <c r="CK22" s="874"/>
      <c r="CL22" s="874"/>
      <c r="CM22" s="874"/>
      <c r="CN22" s="874"/>
      <c r="CO22" s="874"/>
      <c r="CP22" s="874"/>
      <c r="CQ22" s="874"/>
      <c r="CR22" s="874"/>
      <c r="CS22" s="874"/>
      <c r="CT22" s="874"/>
      <c r="CU22" s="874"/>
      <c r="CV22" s="874"/>
      <c r="CW22" s="874"/>
      <c r="CX22" s="874"/>
      <c r="CY22" s="874"/>
      <c r="CZ22" s="874"/>
      <c r="DA22" s="874"/>
      <c r="DB22" s="874"/>
      <c r="DC22" s="874"/>
      <c r="DD22" s="874"/>
      <c r="DE22" s="874"/>
      <c r="DF22" s="874"/>
      <c r="DG22" s="874"/>
      <c r="DH22" s="874"/>
      <c r="DI22" s="874"/>
      <c r="DJ22" s="874"/>
      <c r="DK22" s="874"/>
      <c r="DL22" s="874"/>
      <c r="DM22" s="874"/>
      <c r="DN22" s="874"/>
      <c r="DO22" s="874"/>
      <c r="DP22" s="874"/>
      <c r="DQ22" s="874"/>
      <c r="DR22" s="874"/>
      <c r="DS22" s="874"/>
      <c r="DT22" s="874"/>
      <c r="DU22" s="874"/>
      <c r="DV22" s="874"/>
      <c r="DW22" s="874"/>
      <c r="DX22" s="874"/>
      <c r="DY22" s="874"/>
      <c r="DZ22" s="874"/>
      <c r="EA22" s="874"/>
      <c r="EB22" s="874"/>
      <c r="EC22" s="874"/>
      <c r="ED22" s="874"/>
      <c r="EE22" s="874"/>
      <c r="EF22" s="874"/>
      <c r="EG22" s="874"/>
      <c r="EH22" s="874"/>
      <c r="EI22" s="874"/>
      <c r="EJ22" s="874"/>
      <c r="EK22" s="874"/>
      <c r="EL22" s="874"/>
      <c r="EM22" s="874"/>
      <c r="EN22" s="874"/>
      <c r="EO22" s="874"/>
      <c r="EP22" s="874"/>
      <c r="EQ22" s="874"/>
      <c r="ER22" s="874"/>
      <c r="ES22" s="874"/>
      <c r="ET22" s="874"/>
      <c r="EU22" s="874"/>
      <c r="EV22" s="874"/>
      <c r="EW22" s="874"/>
      <c r="EX22" s="874"/>
      <c r="EY22" s="874"/>
      <c r="EZ22" s="874"/>
      <c r="FA22" s="874"/>
      <c r="FB22" s="874"/>
      <c r="FC22" s="874"/>
      <c r="FD22" s="874"/>
      <c r="FE22" s="874"/>
      <c r="FF22" s="874"/>
      <c r="FG22" s="874"/>
      <c r="FH22" s="874"/>
      <c r="FI22" s="874"/>
      <c r="FJ22" s="874"/>
      <c r="FK22" s="874"/>
      <c r="FL22" s="874"/>
      <c r="FM22" s="874"/>
      <c r="FN22" s="874"/>
      <c r="FO22" s="874"/>
      <c r="FP22" s="874"/>
      <c r="FQ22" s="874"/>
      <c r="FR22" s="874"/>
      <c r="FS22" s="874"/>
    </row>
    <row r="23" spans="1:374" ht="13.6">
      <c r="A23" s="874">
        <v>6</v>
      </c>
      <c r="B23" s="941" t="s">
        <v>82</v>
      </c>
      <c r="C23" s="938"/>
      <c r="D23" s="874"/>
      <c r="E23" s="874"/>
      <c r="F23" s="874"/>
      <c r="G23" s="812"/>
      <c r="H23" s="874"/>
      <c r="I23" s="874"/>
      <c r="J23" s="874"/>
      <c r="K23" s="792"/>
      <c r="L23" s="792"/>
      <c r="M23" s="792"/>
      <c r="N23" s="792"/>
      <c r="O23" s="792"/>
      <c r="P23" s="873"/>
      <c r="Q23" s="874"/>
      <c r="R23" s="874"/>
      <c r="S23" s="874"/>
      <c r="T23" s="874"/>
      <c r="U23" s="874"/>
      <c r="V23" s="874"/>
      <c r="W23" s="874"/>
      <c r="X23" s="874"/>
      <c r="Y23" s="874"/>
      <c r="Z23" s="874"/>
      <c r="AA23" s="874"/>
      <c r="AB23" s="874"/>
      <c r="AC23" s="874"/>
      <c r="AD23" s="874"/>
      <c r="AE23" s="874"/>
      <c r="AF23" s="874"/>
      <c r="AG23" s="874"/>
      <c r="AH23" s="874"/>
      <c r="AI23" s="874"/>
      <c r="AJ23" s="874"/>
      <c r="AK23" s="874"/>
      <c r="AL23" s="874"/>
      <c r="AM23" s="874"/>
      <c r="AN23" s="874"/>
      <c r="AO23" s="874"/>
      <c r="AP23" s="874"/>
      <c r="AQ23" s="874"/>
      <c r="AR23" s="874"/>
      <c r="AS23" s="874"/>
      <c r="AT23" s="874"/>
      <c r="AU23" s="874"/>
      <c r="AV23" s="874"/>
      <c r="AW23" s="874"/>
      <c r="AX23" s="874"/>
      <c r="AY23" s="874"/>
      <c r="AZ23" s="874"/>
      <c r="BA23" s="874"/>
      <c r="BB23" s="874"/>
      <c r="BC23" s="874"/>
      <c r="BD23" s="874"/>
      <c r="BE23" s="874"/>
      <c r="BF23" s="874"/>
      <c r="BG23" s="874"/>
      <c r="BH23" s="874"/>
      <c r="BI23" s="874"/>
      <c r="BJ23" s="874"/>
      <c r="BK23" s="874"/>
      <c r="BL23" s="874"/>
      <c r="BM23" s="874"/>
      <c r="BN23" s="874"/>
      <c r="BO23" s="874"/>
      <c r="BP23" s="874"/>
      <c r="BQ23" s="874"/>
      <c r="BR23" s="874"/>
      <c r="BS23" s="874"/>
      <c r="BT23" s="874"/>
      <c r="BU23" s="874"/>
      <c r="BV23" s="874"/>
      <c r="BW23" s="874"/>
      <c r="BX23" s="874"/>
      <c r="BY23" s="874"/>
      <c r="BZ23" s="874"/>
      <c r="CA23" s="874"/>
      <c r="CB23" s="874"/>
      <c r="CC23" s="874"/>
      <c r="CD23" s="874"/>
      <c r="CE23" s="874"/>
      <c r="CF23" s="874"/>
      <c r="CG23" s="874"/>
      <c r="CH23" s="874"/>
      <c r="CI23" s="874"/>
      <c r="CJ23" s="874"/>
      <c r="CK23" s="874"/>
      <c r="CL23" s="874"/>
      <c r="CM23" s="874"/>
      <c r="CN23" s="874"/>
      <c r="CO23" s="874"/>
      <c r="CP23" s="874"/>
      <c r="CQ23" s="874"/>
      <c r="CR23" s="874"/>
      <c r="CS23" s="874"/>
      <c r="CT23" s="874"/>
      <c r="CU23" s="874"/>
      <c r="CV23" s="874"/>
      <c r="CW23" s="874"/>
      <c r="CX23" s="874"/>
      <c r="CY23" s="874"/>
      <c r="CZ23" s="874"/>
      <c r="DA23" s="874"/>
      <c r="DB23" s="874"/>
      <c r="DC23" s="874"/>
      <c r="DD23" s="874"/>
      <c r="DE23" s="874"/>
      <c r="DF23" s="874"/>
      <c r="DG23" s="874"/>
      <c r="DH23" s="874"/>
      <c r="DI23" s="874"/>
      <c r="DJ23" s="874"/>
      <c r="DK23" s="874"/>
      <c r="DL23" s="874"/>
      <c r="DM23" s="874"/>
      <c r="DN23" s="874"/>
      <c r="DO23" s="874"/>
      <c r="DP23" s="874"/>
      <c r="DQ23" s="874"/>
      <c r="DR23" s="874"/>
      <c r="DS23" s="874"/>
      <c r="DT23" s="874"/>
      <c r="DU23" s="874"/>
      <c r="DV23" s="874"/>
      <c r="DW23" s="874"/>
      <c r="DX23" s="874"/>
      <c r="DY23" s="874"/>
      <c r="DZ23" s="874"/>
      <c r="EA23" s="874"/>
      <c r="EB23" s="874"/>
      <c r="EC23" s="874"/>
      <c r="ED23" s="874"/>
      <c r="EE23" s="874"/>
      <c r="EF23" s="874"/>
      <c r="EG23" s="874"/>
      <c r="EH23" s="874"/>
      <c r="EI23" s="874"/>
      <c r="EJ23" s="874"/>
      <c r="EK23" s="874"/>
      <c r="EL23" s="874"/>
      <c r="EM23" s="874"/>
      <c r="EN23" s="874"/>
      <c r="EO23" s="874"/>
      <c r="EP23" s="874"/>
      <c r="EQ23" s="874"/>
      <c r="ER23" s="874"/>
      <c r="ES23" s="874"/>
      <c r="ET23" s="874"/>
      <c r="EU23" s="874"/>
      <c r="EV23" s="874"/>
      <c r="EW23" s="874"/>
      <c r="EX23" s="874"/>
      <c r="EY23" s="874"/>
      <c r="EZ23" s="874"/>
      <c r="FA23" s="874"/>
      <c r="FB23" s="874"/>
      <c r="FC23" s="874"/>
      <c r="FD23" s="874"/>
      <c r="FE23" s="874"/>
      <c r="FF23" s="874"/>
      <c r="FG23" s="874"/>
      <c r="FH23" s="874"/>
      <c r="FI23" s="874"/>
      <c r="FJ23" s="874"/>
      <c r="FK23" s="874"/>
      <c r="FL23" s="874"/>
      <c r="FM23" s="874"/>
      <c r="FN23" s="874"/>
      <c r="FO23" s="874"/>
      <c r="FP23" s="874"/>
      <c r="FQ23" s="874"/>
      <c r="FR23" s="874"/>
      <c r="FS23" s="874"/>
      <c r="HA23" s="873"/>
    </row>
    <row r="24" spans="1:374" ht="13.6">
      <c r="A24" s="874"/>
      <c r="B24" s="941"/>
      <c r="C24" s="938"/>
      <c r="D24" s="874"/>
      <c r="E24" s="874"/>
      <c r="F24" s="874"/>
      <c r="G24" s="812"/>
      <c r="H24" s="874"/>
      <c r="I24" s="874"/>
      <c r="J24" s="874"/>
      <c r="K24" s="792"/>
      <c r="L24" s="792"/>
      <c r="M24" s="792"/>
      <c r="N24" s="792"/>
      <c r="O24" s="792"/>
      <c r="P24" s="873"/>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4"/>
      <c r="AP24" s="874"/>
      <c r="AQ24" s="874"/>
      <c r="AR24" s="874"/>
      <c r="AS24" s="874"/>
      <c r="AT24" s="874"/>
      <c r="AU24" s="874"/>
      <c r="AV24" s="874"/>
      <c r="AW24" s="874"/>
      <c r="AX24" s="874"/>
      <c r="AY24" s="874"/>
      <c r="AZ24" s="874"/>
      <c r="BA24" s="874"/>
      <c r="BB24" s="874"/>
      <c r="BC24" s="874"/>
      <c r="BD24" s="874"/>
      <c r="BE24" s="874"/>
      <c r="BF24" s="874"/>
      <c r="BG24" s="874"/>
      <c r="BH24" s="874"/>
      <c r="BI24" s="874"/>
      <c r="BJ24" s="874"/>
      <c r="BK24" s="874"/>
      <c r="BL24" s="874"/>
      <c r="BM24" s="874"/>
      <c r="BN24" s="874"/>
      <c r="BO24" s="874"/>
      <c r="BP24" s="874"/>
      <c r="BQ24" s="874"/>
      <c r="BR24" s="874"/>
      <c r="BS24" s="874"/>
      <c r="BT24" s="874"/>
      <c r="BU24" s="874"/>
      <c r="BV24" s="874"/>
      <c r="BW24" s="874"/>
      <c r="BX24" s="874"/>
      <c r="BY24" s="874"/>
      <c r="BZ24" s="874"/>
      <c r="CA24" s="874"/>
      <c r="CB24" s="874"/>
      <c r="CC24" s="874"/>
      <c r="CD24" s="874"/>
      <c r="CE24" s="874"/>
      <c r="CF24" s="874"/>
      <c r="CG24" s="874"/>
      <c r="CH24" s="874"/>
      <c r="CI24" s="874"/>
      <c r="CJ24" s="874"/>
      <c r="CK24" s="874"/>
      <c r="CL24" s="874"/>
      <c r="CM24" s="874"/>
      <c r="CN24" s="874"/>
      <c r="CO24" s="874"/>
      <c r="CP24" s="874"/>
      <c r="CQ24" s="874"/>
      <c r="CR24" s="874"/>
      <c r="CS24" s="874"/>
      <c r="CT24" s="874"/>
      <c r="CU24" s="874"/>
      <c r="CV24" s="874"/>
      <c r="CW24" s="874"/>
      <c r="CX24" s="874"/>
      <c r="CY24" s="874"/>
      <c r="CZ24" s="874"/>
      <c r="DA24" s="874"/>
      <c r="DB24" s="874"/>
      <c r="DC24" s="874"/>
      <c r="DD24" s="874"/>
      <c r="DE24" s="874"/>
      <c r="DF24" s="874"/>
      <c r="DG24" s="874"/>
      <c r="DH24" s="874"/>
      <c r="DI24" s="874"/>
      <c r="DJ24" s="874"/>
      <c r="DK24" s="874"/>
      <c r="DL24" s="874"/>
      <c r="DM24" s="874"/>
      <c r="DN24" s="874"/>
      <c r="DO24" s="874"/>
      <c r="DP24" s="874"/>
      <c r="DQ24" s="874"/>
      <c r="DR24" s="874"/>
      <c r="DS24" s="874"/>
      <c r="DT24" s="874"/>
      <c r="DU24" s="874"/>
      <c r="DV24" s="874"/>
      <c r="DW24" s="874"/>
      <c r="DX24" s="874"/>
      <c r="DY24" s="874"/>
      <c r="DZ24" s="874"/>
      <c r="EA24" s="874"/>
      <c r="EB24" s="874"/>
      <c r="EC24" s="874"/>
      <c r="ED24" s="874"/>
      <c r="EE24" s="874"/>
      <c r="EF24" s="874"/>
      <c r="EG24" s="874"/>
      <c r="EH24" s="874"/>
      <c r="EI24" s="874"/>
      <c r="EJ24" s="874"/>
      <c r="EK24" s="874"/>
      <c r="EL24" s="874"/>
      <c r="EM24" s="874"/>
      <c r="EN24" s="874"/>
      <c r="EO24" s="874"/>
      <c r="EP24" s="874"/>
      <c r="EQ24" s="874"/>
      <c r="ER24" s="874"/>
      <c r="ES24" s="874"/>
      <c r="ET24" s="874"/>
      <c r="EU24" s="874"/>
      <c r="EV24" s="874"/>
      <c r="EW24" s="874"/>
      <c r="EX24" s="874"/>
      <c r="EY24" s="874"/>
      <c r="EZ24" s="874"/>
      <c r="FA24" s="874"/>
      <c r="FB24" s="874"/>
      <c r="FC24" s="874"/>
      <c r="FD24" s="874"/>
      <c r="FE24" s="874"/>
      <c r="FF24" s="874"/>
      <c r="FG24" s="874"/>
      <c r="FH24" s="874"/>
      <c r="FI24" s="874"/>
      <c r="FJ24" s="874"/>
      <c r="FK24" s="874"/>
      <c r="FL24" s="874"/>
      <c r="FM24" s="874"/>
      <c r="FN24" s="874"/>
      <c r="FO24" s="874"/>
      <c r="FP24" s="874"/>
      <c r="FQ24" s="874"/>
      <c r="FR24" s="874"/>
      <c r="FS24" s="874"/>
    </row>
    <row r="25" spans="1:374">
      <c r="A25" s="874">
        <v>7</v>
      </c>
      <c r="B25" s="938" t="s">
        <v>633</v>
      </c>
      <c r="C25" s="938">
        <v>155</v>
      </c>
      <c r="D25" s="940" t="s">
        <v>495</v>
      </c>
      <c r="E25" s="874"/>
      <c r="F25" s="874"/>
      <c r="G25" s="812"/>
      <c r="H25" s="874"/>
      <c r="I25" s="874"/>
      <c r="J25" s="874"/>
      <c r="K25" s="792">
        <f>'Appendix A'!H252</f>
        <v>2.9207795866229607E-2</v>
      </c>
      <c r="L25" s="792"/>
      <c r="M25" s="792"/>
      <c r="N25" s="792"/>
      <c r="O25" s="792"/>
      <c r="P25" s="873"/>
      <c r="Q25" s="874"/>
      <c r="R25" s="874"/>
      <c r="S25" s="874"/>
      <c r="T25" s="874"/>
      <c r="U25" s="874"/>
      <c r="V25" s="874"/>
      <c r="W25" s="874"/>
      <c r="X25" s="874"/>
      <c r="Y25" s="874"/>
      <c r="Z25" s="874"/>
      <c r="AA25" s="874"/>
      <c r="AB25" s="874"/>
      <c r="AC25" s="874"/>
      <c r="AD25" s="874"/>
      <c r="AE25" s="874"/>
      <c r="AF25" s="874"/>
      <c r="AG25" s="874"/>
      <c r="AH25" s="874"/>
      <c r="AI25" s="874"/>
      <c r="AJ25" s="874"/>
      <c r="AK25" s="874"/>
      <c r="AL25" s="874"/>
      <c r="AM25" s="874"/>
      <c r="AN25" s="874"/>
      <c r="AO25" s="874"/>
      <c r="AP25" s="874"/>
      <c r="AQ25" s="874"/>
      <c r="AR25" s="874"/>
      <c r="AS25" s="874"/>
      <c r="AT25" s="874"/>
      <c r="AU25" s="874"/>
      <c r="AV25" s="874"/>
      <c r="AW25" s="874"/>
      <c r="AX25" s="874"/>
      <c r="AY25" s="874"/>
      <c r="AZ25" s="874"/>
      <c r="BA25" s="874"/>
      <c r="BB25" s="874"/>
      <c r="BC25" s="874"/>
      <c r="BD25" s="874"/>
      <c r="BE25" s="874"/>
      <c r="BF25" s="874"/>
      <c r="BG25" s="874"/>
      <c r="BH25" s="874"/>
      <c r="BI25" s="874"/>
      <c r="BJ25" s="874"/>
      <c r="BK25" s="874"/>
      <c r="BL25" s="874"/>
      <c r="BM25" s="874"/>
      <c r="BN25" s="874"/>
      <c r="BO25" s="874"/>
      <c r="BP25" s="874"/>
      <c r="BQ25" s="874"/>
      <c r="BR25" s="874"/>
      <c r="BS25" s="874"/>
      <c r="BT25" s="874"/>
      <c r="BU25" s="874"/>
      <c r="BV25" s="874"/>
      <c r="BW25" s="874"/>
      <c r="BX25" s="874"/>
      <c r="BY25" s="874"/>
      <c r="BZ25" s="874"/>
      <c r="CA25" s="874"/>
      <c r="CB25" s="874"/>
      <c r="CC25" s="874"/>
      <c r="CD25" s="874"/>
      <c r="CE25" s="874"/>
      <c r="CF25" s="874"/>
      <c r="CG25" s="874"/>
      <c r="CH25" s="874"/>
      <c r="CI25" s="874"/>
      <c r="CJ25" s="874"/>
      <c r="CK25" s="874"/>
      <c r="CL25" s="874"/>
      <c r="CM25" s="874"/>
      <c r="CN25" s="874"/>
      <c r="CO25" s="874"/>
      <c r="CP25" s="874"/>
      <c r="CQ25" s="874"/>
      <c r="CR25" s="874"/>
      <c r="CS25" s="874"/>
      <c r="CT25" s="874"/>
      <c r="CU25" s="874"/>
      <c r="CV25" s="874"/>
      <c r="CW25" s="874"/>
      <c r="CX25" s="874"/>
      <c r="CY25" s="874"/>
      <c r="CZ25" s="874"/>
      <c r="DA25" s="874"/>
      <c r="DB25" s="874"/>
      <c r="DC25" s="874"/>
      <c r="DD25" s="874"/>
      <c r="DE25" s="874"/>
      <c r="DF25" s="874"/>
      <c r="DG25" s="874"/>
      <c r="DH25" s="874"/>
      <c r="DI25" s="874"/>
      <c r="DJ25" s="874"/>
      <c r="DK25" s="874"/>
      <c r="DL25" s="874"/>
      <c r="DM25" s="874"/>
      <c r="DN25" s="874"/>
      <c r="DO25" s="874"/>
      <c r="DP25" s="874"/>
      <c r="DQ25" s="874"/>
      <c r="DR25" s="874"/>
      <c r="DS25" s="874"/>
      <c r="DT25" s="874"/>
      <c r="DU25" s="874"/>
      <c r="DV25" s="874"/>
      <c r="DW25" s="874"/>
      <c r="DX25" s="874"/>
      <c r="DY25" s="874"/>
      <c r="DZ25" s="874"/>
      <c r="EA25" s="874"/>
      <c r="EB25" s="874"/>
      <c r="EC25" s="874"/>
      <c r="ED25" s="874"/>
      <c r="EE25" s="874"/>
      <c r="EF25" s="874"/>
      <c r="EG25" s="874"/>
      <c r="EH25" s="874"/>
      <c r="EI25" s="874"/>
      <c r="EJ25" s="874"/>
      <c r="EK25" s="874"/>
      <c r="EL25" s="874"/>
      <c r="EM25" s="874"/>
      <c r="EN25" s="874"/>
      <c r="EO25" s="874"/>
      <c r="EP25" s="874"/>
      <c r="EQ25" s="874"/>
      <c r="ER25" s="874"/>
      <c r="ES25" s="874"/>
      <c r="ET25" s="874"/>
      <c r="EU25" s="874"/>
      <c r="EV25" s="874"/>
      <c r="EW25" s="874"/>
      <c r="EX25" s="874"/>
      <c r="EY25" s="874"/>
      <c r="EZ25" s="874"/>
      <c r="FA25" s="874"/>
      <c r="FB25" s="874"/>
      <c r="FC25" s="874"/>
      <c r="FD25" s="874"/>
      <c r="FE25" s="874"/>
      <c r="FF25" s="874"/>
      <c r="FG25" s="874"/>
      <c r="FH25" s="874"/>
      <c r="FI25" s="874"/>
      <c r="FJ25" s="874"/>
      <c r="FK25" s="874"/>
      <c r="FL25" s="874"/>
      <c r="FM25" s="874"/>
      <c r="FN25" s="874"/>
      <c r="FO25" s="874"/>
      <c r="FP25" s="874"/>
      <c r="FQ25" s="874"/>
      <c r="FR25" s="874"/>
      <c r="FS25" s="874"/>
      <c r="JH25" s="876"/>
      <c r="JI25" s="876"/>
      <c r="JJ25" s="876"/>
      <c r="JK25" s="876"/>
      <c r="JL25" s="876"/>
      <c r="JM25" s="876"/>
      <c r="JN25" s="876"/>
      <c r="JO25" s="876"/>
      <c r="JP25" s="876"/>
      <c r="JQ25" s="876"/>
      <c r="JR25" s="876"/>
      <c r="JS25" s="876"/>
      <c r="JT25" s="876"/>
      <c r="JU25" s="876"/>
      <c r="JV25" s="876"/>
      <c r="JW25" s="876"/>
      <c r="JX25" s="876"/>
      <c r="JY25" s="876"/>
      <c r="JZ25" s="876"/>
      <c r="KA25" s="876"/>
      <c r="KB25" s="876"/>
      <c r="KC25" s="876"/>
      <c r="KD25" s="876"/>
      <c r="KE25" s="876"/>
      <c r="KF25" s="876"/>
      <c r="KG25" s="876"/>
      <c r="KH25" s="876"/>
      <c r="KI25" s="876"/>
      <c r="KJ25" s="876"/>
      <c r="KK25" s="876"/>
      <c r="KL25" s="876"/>
      <c r="KM25" s="876"/>
      <c r="KN25" s="876"/>
      <c r="KO25" s="876"/>
      <c r="KP25" s="876"/>
      <c r="KQ25" s="876"/>
      <c r="KR25" s="876"/>
      <c r="KS25" s="876"/>
      <c r="KT25" s="876"/>
      <c r="KU25" s="876"/>
      <c r="KV25" s="876"/>
      <c r="KW25" s="876"/>
      <c r="KX25" s="876"/>
      <c r="KY25" s="876"/>
      <c r="KZ25" s="876"/>
      <c r="LA25" s="876"/>
      <c r="LB25" s="876"/>
      <c r="LC25" s="876"/>
      <c r="LD25" s="876"/>
      <c r="LE25" s="876"/>
      <c r="LF25" s="876"/>
      <c r="LG25" s="876"/>
      <c r="LH25" s="876"/>
      <c r="LI25" s="876"/>
      <c r="LJ25" s="876"/>
      <c r="LK25" s="876"/>
      <c r="LL25" s="876"/>
      <c r="LM25" s="876"/>
      <c r="LN25" s="876"/>
      <c r="LO25" s="876"/>
      <c r="LP25" s="876"/>
      <c r="LQ25" s="876"/>
      <c r="LR25" s="876"/>
      <c r="LS25" s="876"/>
      <c r="LT25" s="876"/>
      <c r="LU25" s="876"/>
      <c r="LV25" s="876"/>
      <c r="LW25" s="876"/>
      <c r="LX25" s="876"/>
      <c r="LY25" s="876"/>
      <c r="LZ25" s="876"/>
      <c r="MA25" s="876"/>
      <c r="MB25" s="876"/>
      <c r="MC25" s="876"/>
      <c r="MD25" s="876"/>
      <c r="ME25" s="876"/>
      <c r="MF25" s="876"/>
      <c r="MG25" s="876"/>
      <c r="MH25" s="876"/>
      <c r="MI25" s="876"/>
      <c r="MJ25" s="876"/>
      <c r="MK25" s="876"/>
      <c r="ML25" s="876"/>
      <c r="MM25" s="876"/>
      <c r="MN25" s="876"/>
      <c r="MO25" s="876"/>
      <c r="MP25" s="876"/>
      <c r="MQ25" s="876"/>
      <c r="MR25" s="876"/>
      <c r="MS25" s="876"/>
      <c r="MT25" s="876"/>
      <c r="MU25" s="876"/>
      <c r="MV25" s="876"/>
      <c r="MW25" s="876"/>
      <c r="MX25" s="876"/>
      <c r="MY25" s="876"/>
      <c r="MZ25" s="876"/>
      <c r="NA25" s="876"/>
      <c r="NB25" s="876"/>
      <c r="NC25" s="876"/>
      <c r="ND25" s="876"/>
      <c r="NE25" s="876"/>
      <c r="NF25" s="876"/>
      <c r="NG25" s="876"/>
    </row>
    <row r="26" spans="1:374">
      <c r="A26" s="874"/>
      <c r="B26" s="938"/>
      <c r="C26" s="938"/>
      <c r="D26" s="940"/>
      <c r="E26" s="874"/>
      <c r="F26" s="874"/>
      <c r="G26" s="812"/>
      <c r="H26" s="874"/>
      <c r="I26" s="874"/>
      <c r="J26" s="874"/>
      <c r="K26" s="811"/>
      <c r="L26" s="811"/>
      <c r="M26" s="811"/>
      <c r="N26" s="811"/>
      <c r="O26" s="811"/>
      <c r="P26" s="874"/>
      <c r="Q26" s="874"/>
      <c r="R26" s="874"/>
      <c r="S26" s="874"/>
      <c r="T26" s="874"/>
      <c r="U26" s="874"/>
      <c r="V26" s="874"/>
      <c r="W26" s="874"/>
      <c r="X26" s="874"/>
      <c r="Y26" s="874"/>
      <c r="Z26" s="874"/>
      <c r="AA26" s="874"/>
      <c r="AB26" s="874"/>
      <c r="AC26" s="874"/>
      <c r="AD26" s="874"/>
      <c r="AE26" s="874"/>
      <c r="AF26" s="874"/>
      <c r="AG26" s="874"/>
      <c r="AH26" s="874"/>
      <c r="AI26" s="874"/>
      <c r="AJ26" s="874"/>
      <c r="AK26" s="874"/>
      <c r="AL26" s="874"/>
      <c r="AM26" s="874"/>
      <c r="AN26" s="874"/>
      <c r="AO26" s="874"/>
      <c r="AP26" s="874"/>
      <c r="AQ26" s="874"/>
      <c r="AR26" s="874"/>
      <c r="AS26" s="874"/>
      <c r="AT26" s="874"/>
      <c r="AU26" s="874"/>
      <c r="AV26" s="874"/>
      <c r="AW26" s="874"/>
      <c r="AX26" s="874"/>
      <c r="AY26" s="874"/>
      <c r="AZ26" s="874"/>
      <c r="BA26" s="874"/>
      <c r="BB26" s="874"/>
      <c r="BC26" s="874"/>
      <c r="BD26" s="874"/>
      <c r="BE26" s="874"/>
      <c r="BF26" s="874"/>
      <c r="BG26" s="874"/>
      <c r="BH26" s="874"/>
      <c r="BI26" s="874"/>
      <c r="BJ26" s="874"/>
      <c r="BK26" s="874"/>
      <c r="BL26" s="874"/>
      <c r="BM26" s="874"/>
      <c r="BN26" s="874"/>
      <c r="BO26" s="874"/>
      <c r="BP26" s="874"/>
      <c r="BQ26" s="874"/>
      <c r="BR26" s="874"/>
      <c r="BS26" s="874"/>
      <c r="BT26" s="874"/>
      <c r="BU26" s="874"/>
      <c r="BV26" s="874"/>
      <c r="BW26" s="874"/>
      <c r="BX26" s="874"/>
      <c r="BY26" s="874"/>
      <c r="BZ26" s="874"/>
      <c r="CA26" s="874"/>
      <c r="CB26" s="874"/>
      <c r="CC26" s="874"/>
      <c r="CD26" s="874"/>
      <c r="CE26" s="874"/>
      <c r="CF26" s="874"/>
      <c r="CG26" s="874"/>
      <c r="CH26" s="874"/>
      <c r="CI26" s="874"/>
      <c r="CJ26" s="874"/>
      <c r="CK26" s="874"/>
      <c r="CL26" s="874"/>
      <c r="CM26" s="874"/>
      <c r="CN26" s="874"/>
      <c r="CO26" s="874"/>
      <c r="CP26" s="874"/>
      <c r="CQ26" s="874"/>
      <c r="CR26" s="874"/>
      <c r="CS26" s="874"/>
      <c r="CT26" s="874"/>
      <c r="CU26" s="874"/>
      <c r="CV26" s="874"/>
      <c r="CW26" s="874"/>
      <c r="CX26" s="874"/>
      <c r="CY26" s="874"/>
      <c r="CZ26" s="874"/>
      <c r="DA26" s="874"/>
      <c r="DB26" s="874"/>
      <c r="DC26" s="874"/>
      <c r="DD26" s="874"/>
      <c r="DE26" s="874"/>
      <c r="DF26" s="874"/>
      <c r="DG26" s="874"/>
      <c r="DH26" s="874"/>
      <c r="DI26" s="874"/>
      <c r="DJ26" s="874"/>
      <c r="DK26" s="874"/>
      <c r="DL26" s="874"/>
      <c r="DM26" s="874"/>
      <c r="DN26" s="874"/>
      <c r="DO26" s="874"/>
      <c r="DP26" s="874"/>
      <c r="DQ26" s="874"/>
      <c r="DR26" s="874"/>
      <c r="DS26" s="874"/>
      <c r="DT26" s="874"/>
      <c r="DU26" s="874"/>
      <c r="DV26" s="874"/>
      <c r="DW26" s="874"/>
      <c r="DX26" s="874"/>
      <c r="DY26" s="874"/>
      <c r="DZ26" s="874"/>
      <c r="EA26" s="874"/>
      <c r="EB26" s="874"/>
      <c r="EC26" s="874"/>
      <c r="ED26" s="874"/>
      <c r="EE26" s="874"/>
      <c r="EF26" s="874"/>
      <c r="EG26" s="874"/>
      <c r="EH26" s="874"/>
      <c r="EI26" s="874"/>
      <c r="EJ26" s="874"/>
      <c r="EK26" s="874"/>
      <c r="EL26" s="874"/>
      <c r="EM26" s="874"/>
      <c r="EN26" s="874"/>
      <c r="EO26" s="874"/>
      <c r="EP26" s="874"/>
      <c r="EQ26" s="874"/>
      <c r="ER26" s="874"/>
      <c r="ES26" s="874"/>
      <c r="ET26" s="874"/>
      <c r="EU26" s="874"/>
      <c r="EV26" s="874"/>
      <c r="EW26" s="874"/>
      <c r="EX26" s="874"/>
      <c r="EY26" s="874"/>
      <c r="EZ26" s="874"/>
      <c r="FA26" s="874"/>
      <c r="FB26" s="874"/>
      <c r="FC26" s="874"/>
      <c r="FD26" s="874"/>
      <c r="FE26" s="874"/>
      <c r="FF26" s="874"/>
      <c r="FG26" s="874"/>
      <c r="FH26" s="874"/>
      <c r="FI26" s="874"/>
      <c r="FJ26" s="874"/>
      <c r="FK26" s="874"/>
      <c r="FL26" s="874"/>
      <c r="FM26" s="874"/>
      <c r="FN26" s="874"/>
      <c r="FO26" s="874"/>
      <c r="FP26" s="874"/>
      <c r="FQ26" s="874"/>
      <c r="FR26" s="874"/>
      <c r="FS26" s="874"/>
      <c r="JH26" s="876"/>
      <c r="JI26" s="876"/>
      <c r="JJ26" s="876"/>
      <c r="JK26" s="876"/>
      <c r="JL26" s="876"/>
      <c r="JM26" s="876"/>
      <c r="JN26" s="876"/>
      <c r="JO26" s="876"/>
      <c r="JP26" s="876"/>
      <c r="JQ26" s="876"/>
      <c r="JR26" s="876"/>
      <c r="JS26" s="876"/>
      <c r="JT26" s="876"/>
      <c r="JU26" s="876"/>
      <c r="JV26" s="876"/>
      <c r="JW26" s="876"/>
      <c r="JX26" s="876"/>
      <c r="KG26" s="876"/>
      <c r="KH26" s="876"/>
      <c r="KI26" s="876"/>
      <c r="KJ26" s="876"/>
      <c r="KK26" s="876"/>
      <c r="KL26" s="876"/>
      <c r="KM26" s="876"/>
      <c r="KN26" s="876"/>
      <c r="KO26" s="876"/>
      <c r="KP26" s="876"/>
      <c r="KQ26" s="876"/>
      <c r="KR26" s="876"/>
      <c r="KS26" s="876"/>
      <c r="KT26" s="876"/>
      <c r="KU26" s="876"/>
      <c r="KV26" s="876"/>
      <c r="KW26" s="876"/>
      <c r="KX26" s="876"/>
      <c r="KY26" s="876"/>
      <c r="KZ26" s="876"/>
      <c r="LA26" s="876"/>
      <c r="LB26" s="876"/>
      <c r="LC26" s="876"/>
      <c r="LD26" s="876"/>
      <c r="LE26" s="876"/>
      <c r="LF26" s="876"/>
      <c r="LG26" s="876"/>
      <c r="LH26" s="876"/>
      <c r="LI26" s="876"/>
      <c r="LJ26" s="876"/>
      <c r="LK26" s="876"/>
      <c r="LL26" s="876"/>
      <c r="LM26" s="876"/>
      <c r="LN26" s="876"/>
      <c r="LO26" s="876"/>
      <c r="LP26" s="876"/>
      <c r="LQ26" s="876"/>
      <c r="LR26" s="876"/>
      <c r="LS26" s="876"/>
      <c r="LT26" s="876"/>
      <c r="LU26" s="876"/>
      <c r="LV26" s="876"/>
      <c r="LW26" s="876"/>
      <c r="LX26" s="876"/>
      <c r="LY26" s="876"/>
      <c r="LZ26" s="876"/>
      <c r="MA26" s="876"/>
      <c r="MB26" s="876"/>
      <c r="MC26" s="876"/>
      <c r="MD26" s="876"/>
      <c r="ME26" s="876"/>
      <c r="MF26" s="876"/>
      <c r="MG26" s="876"/>
      <c r="MH26" s="876"/>
      <c r="MI26" s="876"/>
      <c r="MJ26" s="876"/>
      <c r="MK26" s="876"/>
      <c r="ML26" s="876"/>
      <c r="MM26" s="876"/>
      <c r="MN26" s="876"/>
      <c r="MO26" s="876"/>
      <c r="MP26" s="876"/>
      <c r="MQ26" s="876"/>
      <c r="MR26" s="876"/>
      <c r="MS26" s="876"/>
      <c r="MT26" s="876"/>
      <c r="MU26" s="876"/>
      <c r="MV26" s="876"/>
      <c r="MW26" s="876"/>
      <c r="MX26" s="876"/>
      <c r="MY26" s="876"/>
      <c r="MZ26" s="876"/>
      <c r="NA26" s="876"/>
      <c r="NB26" s="876"/>
      <c r="NC26" s="876"/>
      <c r="ND26" s="876"/>
      <c r="NE26" s="876"/>
      <c r="NF26" s="876"/>
      <c r="NG26" s="876"/>
    </row>
    <row r="27" spans="1:374" ht="15.65">
      <c r="A27" s="874"/>
      <c r="B27" s="942"/>
      <c r="C27" s="938"/>
      <c r="D27" s="874"/>
      <c r="E27" s="874"/>
      <c r="F27" s="874"/>
      <c r="G27" s="811"/>
      <c r="H27" s="874"/>
      <c r="I27" s="874"/>
      <c r="J27" s="874"/>
      <c r="K27" s="811"/>
      <c r="L27" s="811"/>
      <c r="M27" s="811"/>
      <c r="N27" s="811"/>
      <c r="O27" s="811"/>
      <c r="P27" s="874"/>
      <c r="Q27" s="874"/>
      <c r="R27" s="874"/>
      <c r="S27" s="874"/>
      <c r="T27" s="874"/>
      <c r="U27" s="874"/>
      <c r="V27" s="874"/>
      <c r="W27" s="874"/>
      <c r="X27" s="874"/>
      <c r="Y27" s="874"/>
      <c r="Z27" s="874"/>
      <c r="AA27" s="874"/>
      <c r="AB27" s="874"/>
      <c r="AC27" s="874"/>
      <c r="AD27" s="874"/>
      <c r="AE27" s="874"/>
      <c r="AF27" s="874"/>
      <c r="AG27" s="874"/>
      <c r="AH27" s="874"/>
      <c r="AI27" s="874"/>
      <c r="AJ27" s="874"/>
      <c r="AK27" s="874"/>
      <c r="AL27" s="874"/>
      <c r="AM27" s="874"/>
      <c r="AN27" s="874"/>
      <c r="AO27" s="874"/>
      <c r="AP27" s="874"/>
      <c r="AQ27" s="874"/>
      <c r="AR27" s="874"/>
      <c r="AS27" s="874"/>
      <c r="AT27" s="874"/>
      <c r="AU27" s="874"/>
      <c r="AV27" s="874"/>
      <c r="AW27" s="874"/>
      <c r="AX27" s="874"/>
      <c r="AY27" s="874"/>
      <c r="AZ27" s="874"/>
      <c r="BA27" s="874"/>
      <c r="BB27" s="874"/>
      <c r="BC27" s="874"/>
      <c r="BD27" s="874"/>
      <c r="BE27" s="874"/>
      <c r="BF27" s="874"/>
      <c r="BG27" s="874"/>
      <c r="BH27" s="874"/>
      <c r="BI27" s="874"/>
      <c r="BJ27" s="874"/>
      <c r="BK27" s="874"/>
      <c r="BL27" s="874"/>
      <c r="BM27" s="874"/>
      <c r="BN27" s="874"/>
      <c r="BO27" s="874"/>
      <c r="BP27" s="874"/>
      <c r="BQ27" s="874"/>
      <c r="BR27" s="874"/>
      <c r="BS27" s="874"/>
      <c r="BT27" s="874"/>
      <c r="BU27" s="874"/>
      <c r="BV27" s="874"/>
      <c r="BW27" s="874"/>
      <c r="BX27" s="874"/>
      <c r="BY27" s="874"/>
      <c r="BZ27" s="874"/>
      <c r="CA27" s="874"/>
      <c r="CB27" s="874"/>
      <c r="CC27" s="874"/>
      <c r="CD27" s="874"/>
      <c r="CE27" s="874"/>
      <c r="CF27" s="874"/>
      <c r="CG27" s="874"/>
      <c r="CH27" s="874"/>
      <c r="CI27" s="874"/>
      <c r="CJ27" s="874"/>
      <c r="CK27" s="874"/>
      <c r="CL27" s="874"/>
      <c r="CM27" s="874"/>
      <c r="CN27" s="874"/>
      <c r="CO27" s="874"/>
      <c r="CP27" s="874"/>
      <c r="CQ27" s="874"/>
      <c r="CR27" s="874"/>
      <c r="CS27" s="874"/>
      <c r="CT27" s="874"/>
      <c r="CU27" s="874"/>
      <c r="CV27" s="874"/>
      <c r="CW27" s="874"/>
      <c r="CX27" s="874"/>
      <c r="CY27" s="874"/>
      <c r="CZ27" s="874"/>
      <c r="DA27" s="874"/>
      <c r="DB27" s="874"/>
      <c r="DC27" s="874"/>
      <c r="DD27" s="874"/>
      <c r="DE27" s="874"/>
      <c r="DF27" s="874"/>
      <c r="DG27" s="874"/>
      <c r="DH27" s="874"/>
      <c r="DI27" s="874"/>
      <c r="DJ27" s="874"/>
      <c r="DK27" s="874"/>
      <c r="DL27" s="874"/>
      <c r="DM27" s="874"/>
      <c r="DN27" s="874"/>
      <c r="DO27" s="874"/>
      <c r="DP27" s="874"/>
      <c r="DQ27" s="874"/>
      <c r="DR27" s="874"/>
      <c r="DS27" s="874"/>
      <c r="DT27" s="874"/>
      <c r="DU27" s="874"/>
      <c r="DV27" s="874"/>
      <c r="DW27" s="874"/>
      <c r="DX27" s="874"/>
      <c r="DY27" s="874"/>
      <c r="DZ27" s="874"/>
      <c r="EA27" s="874"/>
      <c r="EB27" s="874"/>
      <c r="EC27" s="874"/>
      <c r="ED27" s="874"/>
      <c r="EE27" s="874"/>
      <c r="EF27" s="874"/>
      <c r="EG27" s="874"/>
      <c r="EH27" s="874"/>
      <c r="EI27" s="874"/>
      <c r="EJ27" s="874"/>
      <c r="EK27" s="874"/>
      <c r="EL27" s="874"/>
      <c r="EM27" s="874"/>
      <c r="EN27" s="874"/>
      <c r="EO27" s="874"/>
      <c r="EP27" s="874"/>
      <c r="EQ27" s="874"/>
      <c r="ER27" s="874"/>
      <c r="ES27" s="874"/>
      <c r="ET27" s="874"/>
      <c r="EU27" s="874"/>
      <c r="EV27" s="874"/>
      <c r="EW27" s="874"/>
      <c r="EX27" s="874"/>
      <c r="EY27" s="874"/>
      <c r="EZ27" s="874"/>
      <c r="FA27" s="874"/>
      <c r="FB27" s="874"/>
      <c r="FC27" s="874"/>
      <c r="FD27" s="874"/>
      <c r="FE27" s="874"/>
      <c r="FF27" s="874"/>
      <c r="FG27" s="874"/>
      <c r="FH27" s="874"/>
      <c r="FI27" s="874"/>
      <c r="FJ27" s="874"/>
      <c r="FK27" s="874"/>
      <c r="FL27" s="874"/>
      <c r="FM27" s="874"/>
      <c r="FN27" s="874"/>
      <c r="FO27" s="874"/>
      <c r="FP27" s="874"/>
      <c r="FQ27" s="874"/>
      <c r="FR27" s="874"/>
      <c r="FS27" s="874"/>
      <c r="JH27" s="876"/>
      <c r="JI27" s="876"/>
      <c r="JJ27" s="876"/>
      <c r="JK27" s="876"/>
      <c r="JL27" s="876"/>
      <c r="JM27" s="876"/>
      <c r="JN27" s="876"/>
      <c r="JO27" s="876"/>
      <c r="JP27" s="876"/>
      <c r="JQ27" s="876"/>
      <c r="JR27" s="876"/>
      <c r="JS27" s="876"/>
      <c r="JT27" s="876"/>
      <c r="JU27" s="876"/>
      <c r="JV27" s="876"/>
      <c r="JW27" s="876"/>
      <c r="JX27" s="876"/>
      <c r="KG27" s="876"/>
      <c r="KH27" s="876"/>
      <c r="KI27" s="876"/>
      <c r="KJ27" s="876"/>
      <c r="KK27" s="876"/>
      <c r="KL27" s="876"/>
      <c r="KM27" s="876"/>
      <c r="KN27" s="876"/>
      <c r="KO27" s="876"/>
      <c r="KP27" s="876"/>
      <c r="KQ27" s="876"/>
      <c r="KR27" s="876"/>
      <c r="KS27" s="876"/>
      <c r="KT27" s="876"/>
      <c r="KU27" s="876"/>
      <c r="KV27" s="876"/>
      <c r="KW27" s="876"/>
      <c r="KX27" s="876"/>
      <c r="KY27" s="876"/>
      <c r="KZ27" s="876"/>
      <c r="LA27" s="876"/>
      <c r="LB27" s="876"/>
      <c r="LC27" s="876"/>
      <c r="LD27" s="876"/>
      <c r="LE27" s="876"/>
      <c r="LF27" s="876"/>
      <c r="LG27" s="876"/>
      <c r="LH27" s="876"/>
      <c r="LI27" s="876"/>
      <c r="LJ27" s="876"/>
      <c r="LK27" s="876"/>
      <c r="LL27" s="876"/>
      <c r="LM27" s="876"/>
      <c r="LN27" s="876"/>
      <c r="LO27" s="876"/>
    </row>
    <row r="28" spans="1:374" ht="13.6">
      <c r="A28" s="874">
        <v>8</v>
      </c>
      <c r="B28" s="943" t="s">
        <v>149</v>
      </c>
      <c r="C28" s="938"/>
      <c r="D28" s="874"/>
      <c r="E28" s="874"/>
      <c r="F28" s="874"/>
      <c r="G28" s="811"/>
      <c r="H28" s="874"/>
      <c r="I28" s="874"/>
      <c r="J28" s="874"/>
      <c r="K28" s="811"/>
      <c r="L28" s="811"/>
      <c r="M28" s="811"/>
      <c r="N28" s="811"/>
      <c r="O28" s="811"/>
      <c r="P28" s="874"/>
      <c r="Q28" s="874"/>
      <c r="R28" s="874"/>
      <c r="S28" s="874"/>
      <c r="T28" s="873" t="s">
        <v>1041</v>
      </c>
      <c r="U28" s="874"/>
      <c r="V28" s="874"/>
      <c r="W28" s="874"/>
      <c r="X28" s="874"/>
      <c r="Y28" s="874"/>
      <c r="Z28" s="874"/>
      <c r="AA28" s="874"/>
      <c r="AB28" s="874"/>
      <c r="AC28" s="874"/>
      <c r="AD28" s="874"/>
      <c r="AE28" s="874"/>
      <c r="AF28" s="874"/>
      <c r="AG28" s="874"/>
      <c r="AH28" s="874"/>
      <c r="AI28" s="874"/>
      <c r="AJ28" s="874"/>
      <c r="AK28" s="874"/>
      <c r="AL28" s="874"/>
      <c r="AM28" s="874"/>
      <c r="AN28" s="874"/>
      <c r="AO28" s="874"/>
      <c r="AP28" s="874"/>
      <c r="AQ28" s="874"/>
      <c r="AR28" s="874"/>
      <c r="AS28" s="874"/>
      <c r="AT28" s="874"/>
      <c r="AU28" s="874"/>
      <c r="AV28" s="874"/>
      <c r="AW28" s="874"/>
      <c r="AX28" s="874"/>
      <c r="AY28" s="874"/>
      <c r="AZ28" s="874"/>
      <c r="BA28" s="874"/>
      <c r="BB28" s="874"/>
      <c r="BC28" s="874"/>
      <c r="BD28" s="874"/>
      <c r="BE28" s="874"/>
      <c r="BF28" s="874"/>
      <c r="BG28" s="874"/>
      <c r="BH28" s="874"/>
      <c r="BI28" s="874"/>
      <c r="BJ28" s="874"/>
      <c r="BK28" s="874"/>
      <c r="BL28" s="874"/>
      <c r="BM28" s="874"/>
      <c r="BN28" s="874"/>
      <c r="BO28" s="874"/>
      <c r="BP28" s="874"/>
      <c r="BQ28" s="874"/>
      <c r="BR28" s="874"/>
      <c r="BS28" s="874"/>
      <c r="BT28" s="874"/>
      <c r="BU28" s="874"/>
      <c r="BV28" s="874"/>
      <c r="BW28" s="874"/>
      <c r="BX28" s="874"/>
      <c r="BY28" s="874"/>
      <c r="BZ28" s="874"/>
      <c r="CA28" s="874"/>
      <c r="CB28" s="874"/>
      <c r="CC28" s="874"/>
      <c r="CD28" s="874"/>
      <c r="CE28" s="874"/>
      <c r="CF28" s="874"/>
      <c r="CG28" s="874"/>
      <c r="CH28" s="874"/>
      <c r="CI28" s="874"/>
      <c r="CJ28" s="874"/>
      <c r="CK28" s="874"/>
      <c r="CL28" s="874"/>
      <c r="CM28" s="874"/>
      <c r="CN28" s="874"/>
      <c r="CO28" s="874"/>
      <c r="CP28" s="874"/>
      <c r="CQ28" s="874"/>
      <c r="CR28" s="874"/>
      <c r="CS28" s="874"/>
      <c r="CT28" s="874"/>
      <c r="CU28" s="874"/>
      <c r="CV28" s="874"/>
      <c r="CW28" s="874"/>
      <c r="CX28" s="874"/>
      <c r="CY28" s="874"/>
      <c r="CZ28" s="874"/>
      <c r="DA28" s="874"/>
      <c r="DB28" s="874"/>
      <c r="DC28" s="874"/>
      <c r="DD28" s="874"/>
      <c r="DE28" s="874"/>
      <c r="DF28" s="874"/>
      <c r="DG28" s="874"/>
      <c r="DH28" s="874"/>
      <c r="DI28" s="874"/>
      <c r="DJ28" s="874"/>
      <c r="DK28" s="874"/>
      <c r="DL28" s="874"/>
      <c r="DM28" s="874"/>
      <c r="DN28" s="874"/>
      <c r="DO28" s="874"/>
      <c r="DP28" s="874"/>
      <c r="DQ28" s="874"/>
      <c r="DR28" s="874"/>
      <c r="DS28" s="874"/>
      <c r="DT28" s="874"/>
      <c r="DU28" s="874"/>
      <c r="DV28" s="874"/>
      <c r="DW28" s="874"/>
      <c r="DX28" s="874"/>
      <c r="DY28" s="874"/>
      <c r="DZ28" s="874"/>
      <c r="EA28" s="874"/>
      <c r="EB28" s="874"/>
      <c r="EC28" s="874"/>
      <c r="ED28" s="874"/>
      <c r="EE28" s="874"/>
      <c r="EF28" s="874"/>
      <c r="EG28" s="874"/>
      <c r="EH28" s="874"/>
      <c r="EI28" s="874"/>
      <c r="EJ28" s="874"/>
      <c r="EK28" s="874"/>
      <c r="EL28" s="874"/>
      <c r="EM28" s="874"/>
      <c r="EN28" s="874"/>
      <c r="EO28" s="874"/>
      <c r="EP28" s="874"/>
      <c r="EQ28" s="874"/>
      <c r="ER28" s="874"/>
      <c r="ES28" s="874"/>
      <c r="ET28" s="874"/>
      <c r="EU28" s="874"/>
      <c r="EV28" s="874"/>
      <c r="EW28" s="874"/>
      <c r="EX28" s="874"/>
      <c r="EY28" s="874"/>
      <c r="EZ28" s="874"/>
      <c r="FA28" s="874"/>
      <c r="FB28" s="874"/>
      <c r="FC28" s="874"/>
      <c r="FD28" s="874"/>
      <c r="FE28" s="874"/>
      <c r="FF28" s="874"/>
      <c r="FG28" s="874"/>
      <c r="FH28" s="874"/>
      <c r="FI28" s="874"/>
      <c r="FJ28" s="874"/>
      <c r="FK28" s="874"/>
      <c r="FL28" s="874"/>
      <c r="FM28" s="874"/>
      <c r="FN28" s="874"/>
      <c r="FO28" s="874"/>
      <c r="FP28" s="874"/>
      <c r="FQ28" s="874"/>
      <c r="FR28" s="874"/>
      <c r="FS28" s="874"/>
      <c r="GF28" s="874"/>
      <c r="IC28" s="948"/>
      <c r="JH28" s="944"/>
      <c r="JI28" s="944"/>
      <c r="JJ28" s="944"/>
      <c r="JK28" s="944"/>
      <c r="JL28" s="944"/>
      <c r="JM28" s="944"/>
      <c r="JN28" s="944"/>
      <c r="JO28" s="944"/>
      <c r="JP28" s="944"/>
      <c r="JQ28" s="944"/>
      <c r="JR28" s="944"/>
      <c r="JS28" s="944"/>
      <c r="JT28" s="944"/>
      <c r="JU28" s="944"/>
      <c r="JV28" s="944"/>
      <c r="JW28" s="944"/>
      <c r="JX28" s="944"/>
      <c r="KG28" s="945"/>
      <c r="KH28" s="876"/>
      <c r="KI28" s="876"/>
      <c r="KJ28" s="944"/>
      <c r="KK28" s="944"/>
      <c r="KL28" s="944"/>
      <c r="KM28" s="944"/>
      <c r="KN28" s="944"/>
      <c r="KO28" s="944"/>
      <c r="KP28" s="944"/>
      <c r="KQ28" s="944"/>
      <c r="KR28" s="944"/>
      <c r="KS28" s="944"/>
      <c r="KT28" s="944"/>
      <c r="KU28" s="944"/>
      <c r="KV28" s="944"/>
      <c r="KW28" s="944"/>
      <c r="KX28" s="944"/>
      <c r="KY28" s="944"/>
      <c r="KZ28" s="944"/>
      <c r="LA28" s="944"/>
      <c r="LB28" s="944"/>
      <c r="LC28" s="944"/>
      <c r="LD28" s="944"/>
      <c r="LE28" s="944"/>
      <c r="LF28" s="944"/>
      <c r="LG28" s="944"/>
      <c r="LH28" s="944"/>
      <c r="LI28" s="944"/>
      <c r="LJ28" s="944"/>
      <c r="LK28" s="944"/>
      <c r="LL28" s="944"/>
      <c r="LM28" s="944"/>
      <c r="LN28" s="944"/>
      <c r="LO28" s="944"/>
      <c r="LP28" s="946"/>
    </row>
    <row r="29" spans="1:374" ht="13.6">
      <c r="A29" s="874">
        <v>9</v>
      </c>
      <c r="B29" s="943" t="s">
        <v>1892</v>
      </c>
      <c r="C29" s="938"/>
      <c r="D29" s="874"/>
      <c r="E29" s="874"/>
      <c r="F29" s="874"/>
      <c r="G29" s="811"/>
      <c r="H29" s="874"/>
      <c r="I29" s="874"/>
      <c r="J29" s="874"/>
      <c r="K29" s="811"/>
      <c r="L29" s="811"/>
      <c r="M29" s="811"/>
      <c r="N29" s="811"/>
      <c r="O29" s="811"/>
      <c r="P29" s="874"/>
      <c r="Q29" s="874"/>
      <c r="R29" s="874"/>
      <c r="S29" s="874"/>
      <c r="T29" s="873" t="s">
        <v>1042</v>
      </c>
      <c r="U29" s="874"/>
      <c r="V29" s="874"/>
      <c r="W29" s="874"/>
      <c r="X29" s="874"/>
      <c r="Y29" s="874"/>
      <c r="Z29" s="874"/>
      <c r="AA29" s="874"/>
      <c r="AB29" s="874"/>
      <c r="AC29" s="874"/>
      <c r="AD29" s="874"/>
      <c r="AE29" s="874"/>
      <c r="AF29" s="874"/>
      <c r="AG29" s="874"/>
      <c r="AH29" s="874"/>
      <c r="AI29" s="874"/>
      <c r="AJ29" s="874"/>
      <c r="AK29" s="874"/>
      <c r="AL29" s="874"/>
      <c r="AM29" s="874"/>
      <c r="AN29" s="874"/>
      <c r="AO29" s="874"/>
      <c r="AP29" s="874"/>
      <c r="AQ29" s="874"/>
      <c r="AR29" s="874"/>
      <c r="AS29" s="874"/>
      <c r="AT29" s="874"/>
      <c r="AU29" s="874"/>
      <c r="AV29" s="874"/>
      <c r="AW29" s="874"/>
      <c r="AX29" s="874"/>
      <c r="AY29" s="874"/>
      <c r="AZ29" s="874"/>
      <c r="BA29" s="874"/>
      <c r="BB29" s="874"/>
      <c r="BC29" s="874"/>
      <c r="BD29" s="947"/>
      <c r="BE29" s="874"/>
      <c r="BF29" s="874"/>
      <c r="BG29" s="874"/>
      <c r="BH29" s="874"/>
      <c r="BI29" s="874"/>
      <c r="BJ29" s="874"/>
      <c r="BK29" s="874"/>
      <c r="BL29" s="874"/>
      <c r="BM29" s="874"/>
      <c r="BN29" s="874"/>
      <c r="BO29" s="874"/>
      <c r="BP29" s="874"/>
      <c r="BQ29" s="874"/>
      <c r="BR29" s="874"/>
      <c r="BS29" s="874"/>
      <c r="BT29" s="874"/>
      <c r="BU29" s="874"/>
      <c r="BV29" s="874"/>
      <c r="BW29" s="874"/>
      <c r="BX29" s="874"/>
      <c r="BY29" s="874"/>
      <c r="BZ29" s="874"/>
      <c r="CA29" s="874"/>
      <c r="CB29" s="874"/>
      <c r="CC29" s="874"/>
      <c r="CD29" s="874"/>
      <c r="CE29" s="874"/>
      <c r="CF29" s="874"/>
      <c r="CG29" s="874"/>
      <c r="CH29" s="874"/>
      <c r="CI29" s="874"/>
      <c r="CJ29" s="874"/>
      <c r="CK29" s="874"/>
      <c r="CL29" s="874"/>
      <c r="CM29" s="874"/>
      <c r="CN29" s="874"/>
      <c r="CO29" s="874"/>
      <c r="CP29" s="874"/>
      <c r="CQ29" s="874"/>
      <c r="CR29" s="874"/>
      <c r="CS29" s="874"/>
      <c r="CT29" s="874"/>
      <c r="CU29" s="874"/>
      <c r="CV29" s="874"/>
      <c r="CW29" s="874"/>
      <c r="CX29" s="874"/>
      <c r="CY29" s="874"/>
      <c r="CZ29" s="874"/>
      <c r="DA29" s="874"/>
      <c r="DB29" s="874"/>
      <c r="DC29" s="874"/>
      <c r="DD29" s="874"/>
      <c r="DE29" s="874"/>
      <c r="DF29" s="874"/>
      <c r="DG29" s="874"/>
      <c r="DH29" s="874"/>
      <c r="DI29" s="874"/>
      <c r="DJ29" s="874"/>
      <c r="DK29" s="874"/>
      <c r="DL29" s="874"/>
      <c r="DM29" s="874"/>
      <c r="DN29" s="874"/>
      <c r="DO29" s="874"/>
      <c r="DP29" s="874"/>
      <c r="DQ29" s="874"/>
      <c r="DR29" s="874"/>
      <c r="DS29" s="874"/>
      <c r="DT29" s="874"/>
      <c r="DU29" s="874"/>
      <c r="DV29" s="874"/>
      <c r="DW29" s="874"/>
      <c r="DX29" s="874"/>
      <c r="DY29" s="874"/>
      <c r="DZ29" s="874"/>
      <c r="EA29" s="874"/>
      <c r="EB29" s="874"/>
      <c r="EC29" s="874"/>
      <c r="ED29" s="874"/>
      <c r="EE29" s="874"/>
      <c r="EF29" s="874"/>
      <c r="EG29" s="874"/>
      <c r="EH29" s="874"/>
      <c r="EI29" s="874"/>
      <c r="EJ29" s="874"/>
      <c r="EK29" s="874"/>
      <c r="EL29" s="874"/>
      <c r="EM29" s="874"/>
      <c r="EN29" s="874"/>
      <c r="EO29" s="874"/>
      <c r="EP29" s="874"/>
      <c r="EQ29" s="874"/>
      <c r="ER29" s="874"/>
      <c r="ES29" s="874"/>
      <c r="ET29" s="874"/>
      <c r="EU29" s="874"/>
      <c r="EV29" s="874"/>
      <c r="EW29" s="874"/>
      <c r="EX29" s="874"/>
      <c r="EY29" s="874"/>
      <c r="EZ29" s="874"/>
      <c r="FA29" s="874"/>
      <c r="FB29" s="874"/>
      <c r="FC29" s="874"/>
      <c r="FD29" s="874"/>
      <c r="FE29" s="874"/>
      <c r="FF29" s="874"/>
      <c r="FG29" s="874"/>
      <c r="FH29" s="874"/>
      <c r="FI29" s="874"/>
      <c r="FJ29" s="874"/>
      <c r="FK29" s="874"/>
      <c r="FL29" s="874"/>
      <c r="FM29" s="874"/>
      <c r="FN29" s="874"/>
      <c r="FO29" s="874"/>
      <c r="FP29" s="874"/>
      <c r="FQ29" s="874"/>
      <c r="FR29" s="874"/>
      <c r="FS29" s="874"/>
      <c r="HA29" s="948"/>
      <c r="IN29" s="944"/>
      <c r="IO29" s="949"/>
      <c r="IP29" s="876"/>
      <c r="IQ29" s="876"/>
      <c r="IR29" s="944"/>
      <c r="IS29" s="949"/>
      <c r="IT29" s="876"/>
      <c r="IU29" s="876"/>
      <c r="IV29" s="944"/>
      <c r="IW29" s="949"/>
      <c r="IX29" s="876"/>
      <c r="IY29" s="876"/>
      <c r="IZ29" s="944"/>
      <c r="JA29" s="949"/>
      <c r="JB29" s="876"/>
      <c r="JC29" s="876"/>
      <c r="JH29" s="944"/>
      <c r="JI29" s="944"/>
      <c r="JJ29" s="944"/>
      <c r="JK29" s="944"/>
      <c r="JL29" s="944"/>
      <c r="JM29" s="944"/>
      <c r="JN29" s="944"/>
      <c r="JO29" s="944"/>
      <c r="JP29" s="944"/>
      <c r="JQ29" s="944"/>
      <c r="JR29" s="944"/>
      <c r="JS29" s="944"/>
      <c r="JT29" s="944"/>
      <c r="JU29" s="944"/>
      <c r="JV29" s="944"/>
      <c r="JW29" s="944"/>
      <c r="JX29" s="944"/>
      <c r="KG29" s="876"/>
      <c r="KH29" s="876"/>
      <c r="KI29" s="876"/>
      <c r="KJ29" s="944"/>
      <c r="KK29" s="944"/>
      <c r="KL29" s="944"/>
      <c r="KM29" s="944"/>
      <c r="KN29" s="944"/>
      <c r="KO29" s="944"/>
      <c r="KP29" s="944"/>
      <c r="KQ29" s="944"/>
      <c r="KR29" s="944"/>
      <c r="KS29" s="944"/>
      <c r="KT29" s="944"/>
      <c r="KU29" s="944"/>
      <c r="KV29" s="944"/>
      <c r="KW29" s="944"/>
      <c r="KX29" s="944"/>
      <c r="KY29" s="944"/>
      <c r="KZ29" s="944"/>
      <c r="LA29" s="944"/>
      <c r="LB29" s="944"/>
      <c r="LC29" s="944"/>
      <c r="LD29" s="944"/>
      <c r="LE29" s="944"/>
      <c r="LF29" s="944"/>
      <c r="LG29" s="944"/>
      <c r="LH29" s="944"/>
      <c r="LI29" s="944"/>
      <c r="LJ29" s="944"/>
      <c r="LK29" s="944"/>
      <c r="LL29" s="944"/>
      <c r="LM29" s="944"/>
      <c r="LN29" s="944"/>
      <c r="LO29" s="944"/>
    </row>
    <row r="30" spans="1:374" ht="13.6">
      <c r="A30" s="874"/>
      <c r="B30" s="943" t="s">
        <v>1891</v>
      </c>
      <c r="C30" s="938"/>
      <c r="D30" s="874"/>
      <c r="E30" s="874"/>
      <c r="F30" s="874"/>
      <c r="G30" s="811"/>
      <c r="H30" s="874"/>
      <c r="I30" s="874"/>
      <c r="J30" s="874"/>
      <c r="K30" s="811"/>
      <c r="L30" s="811"/>
      <c r="M30" s="811"/>
      <c r="N30" s="811"/>
      <c r="O30" s="811"/>
      <c r="P30" s="874"/>
      <c r="Q30" s="874"/>
      <c r="R30" s="874"/>
      <c r="S30" s="874"/>
      <c r="T30" s="873"/>
      <c r="U30" s="874"/>
      <c r="V30" s="874"/>
      <c r="W30" s="874"/>
      <c r="X30" s="874"/>
      <c r="Y30" s="874"/>
      <c r="Z30" s="874"/>
      <c r="AA30" s="874"/>
      <c r="AB30" s="874"/>
      <c r="AC30" s="874"/>
      <c r="AD30" s="874"/>
      <c r="AE30" s="874"/>
      <c r="AF30" s="874"/>
      <c r="AG30" s="874"/>
      <c r="AH30" s="874"/>
      <c r="AI30" s="874"/>
      <c r="AJ30" s="874"/>
      <c r="AK30" s="874"/>
      <c r="AL30" s="874"/>
      <c r="AM30" s="874"/>
      <c r="AN30" s="874"/>
      <c r="AO30" s="874"/>
      <c r="AP30" s="874"/>
      <c r="AQ30" s="874"/>
      <c r="AR30" s="874"/>
      <c r="AS30" s="874"/>
      <c r="AT30" s="874"/>
      <c r="AU30" s="874"/>
      <c r="AV30" s="874"/>
      <c r="AW30" s="874"/>
      <c r="AX30" s="874"/>
      <c r="AY30" s="874"/>
      <c r="AZ30" s="874"/>
      <c r="BA30" s="874"/>
      <c r="BB30" s="874"/>
      <c r="BC30" s="874"/>
      <c r="BD30" s="874"/>
      <c r="BE30" s="874"/>
      <c r="BF30" s="874"/>
      <c r="BG30" s="874"/>
      <c r="BH30" s="874"/>
      <c r="BI30" s="874"/>
      <c r="BJ30" s="874"/>
      <c r="BK30" s="874"/>
      <c r="BL30" s="874"/>
      <c r="BM30" s="874"/>
      <c r="BN30" s="874"/>
      <c r="BO30" s="874"/>
      <c r="BP30" s="874"/>
      <c r="BQ30" s="874"/>
      <c r="BR30" s="874"/>
      <c r="BS30" s="874"/>
      <c r="BT30" s="874"/>
      <c r="BU30" s="874"/>
      <c r="BV30" s="874"/>
      <c r="BW30" s="874"/>
      <c r="BX30" s="874"/>
      <c r="BY30" s="874"/>
      <c r="BZ30" s="874"/>
      <c r="CA30" s="874"/>
      <c r="CB30" s="874"/>
      <c r="CC30" s="874"/>
      <c r="CD30" s="874"/>
      <c r="CE30" s="874"/>
      <c r="CF30" s="874"/>
      <c r="CG30" s="874"/>
      <c r="CH30" s="874"/>
      <c r="CI30" s="874"/>
      <c r="CJ30" s="874"/>
      <c r="CK30" s="874"/>
      <c r="CL30" s="874"/>
      <c r="CM30" s="874"/>
      <c r="CN30" s="874"/>
      <c r="CO30" s="874"/>
      <c r="CP30" s="874"/>
      <c r="CQ30" s="874"/>
      <c r="CR30" s="874"/>
      <c r="CS30" s="874"/>
      <c r="CT30" s="874"/>
      <c r="CU30" s="874"/>
      <c r="CV30" s="874"/>
      <c r="CW30" s="874"/>
      <c r="CX30" s="874"/>
      <c r="CY30" s="874"/>
      <c r="CZ30" s="874"/>
      <c r="DA30" s="874"/>
      <c r="DB30" s="874"/>
      <c r="DC30" s="874"/>
      <c r="DD30" s="874"/>
      <c r="DE30" s="874"/>
      <c r="DF30" s="874"/>
      <c r="DG30" s="874"/>
      <c r="DH30" s="874"/>
      <c r="DI30" s="874"/>
      <c r="DJ30" s="874"/>
      <c r="DK30" s="874"/>
      <c r="DL30" s="874"/>
      <c r="DM30" s="874"/>
      <c r="DN30" s="874"/>
      <c r="DO30" s="874"/>
      <c r="DP30" s="874"/>
      <c r="DQ30" s="874"/>
      <c r="DR30" s="874"/>
      <c r="DS30" s="874"/>
      <c r="DT30" s="874"/>
      <c r="DU30" s="874"/>
      <c r="DV30" s="874"/>
      <c r="DW30" s="874"/>
      <c r="DX30" s="874"/>
      <c r="DY30" s="874"/>
      <c r="DZ30" s="874"/>
      <c r="EA30" s="874"/>
      <c r="EB30" s="874"/>
      <c r="EC30" s="874"/>
      <c r="ED30" s="874"/>
      <c r="EE30" s="874"/>
      <c r="EF30" s="874"/>
      <c r="EG30" s="874"/>
      <c r="EH30" s="874"/>
      <c r="EI30" s="874"/>
      <c r="EJ30" s="874"/>
      <c r="EK30" s="874"/>
      <c r="EL30" s="874"/>
      <c r="EM30" s="874"/>
      <c r="EN30" s="874"/>
      <c r="EO30" s="874"/>
      <c r="EP30" s="874"/>
      <c r="EQ30" s="874"/>
      <c r="ER30" s="874"/>
      <c r="ES30" s="874"/>
      <c r="ET30" s="874"/>
      <c r="EU30" s="874"/>
      <c r="EV30" s="874"/>
      <c r="EW30" s="874"/>
      <c r="EX30" s="874"/>
      <c r="EY30" s="874"/>
      <c r="EZ30" s="874"/>
      <c r="FA30" s="874"/>
      <c r="FB30" s="874"/>
      <c r="FC30" s="874"/>
      <c r="FD30" s="874"/>
      <c r="FE30" s="874"/>
      <c r="FF30" s="874"/>
      <c r="FG30" s="874"/>
      <c r="FH30" s="874"/>
      <c r="FI30" s="874"/>
      <c r="FJ30" s="874"/>
      <c r="FK30" s="874"/>
      <c r="FL30" s="874"/>
      <c r="FM30" s="874"/>
      <c r="FN30" s="874"/>
      <c r="FO30" s="874"/>
      <c r="FP30" s="874"/>
      <c r="FQ30" s="874"/>
      <c r="FR30" s="874"/>
      <c r="FS30" s="874"/>
      <c r="GZ30" s="944"/>
      <c r="HA30" s="949"/>
      <c r="HB30" s="876"/>
      <c r="HC30" s="876"/>
      <c r="HD30" s="876"/>
      <c r="HE30" s="876"/>
      <c r="HF30" s="876"/>
      <c r="HG30" s="876"/>
      <c r="HH30" s="876"/>
      <c r="HI30" s="876"/>
      <c r="HJ30" s="876"/>
      <c r="HK30" s="876"/>
      <c r="HL30" s="876"/>
      <c r="HM30" s="876"/>
      <c r="HN30" s="876"/>
      <c r="HO30" s="876"/>
      <c r="HP30" s="876"/>
      <c r="HQ30" s="876"/>
      <c r="HR30" s="876"/>
      <c r="HS30" s="876"/>
      <c r="IB30" s="944"/>
      <c r="IC30" s="949"/>
      <c r="ID30" s="876"/>
      <c r="IE30" s="876"/>
      <c r="IN30" s="944"/>
      <c r="IO30" s="876"/>
      <c r="IP30" s="876"/>
      <c r="IQ30" s="876"/>
      <c r="IR30" s="944"/>
      <c r="IS30" s="876"/>
      <c r="IT30" s="876"/>
      <c r="IU30" s="876"/>
      <c r="JH30" s="944"/>
      <c r="JI30" s="876"/>
      <c r="JJ30" s="876"/>
      <c r="JK30" s="876"/>
      <c r="JL30" s="944"/>
      <c r="JM30" s="876"/>
      <c r="JN30" s="876"/>
      <c r="JO30" s="876"/>
      <c r="JP30" s="876"/>
      <c r="JQ30" s="876"/>
      <c r="JR30" s="876"/>
      <c r="JS30" s="876"/>
      <c r="JT30" s="876"/>
      <c r="JU30" s="876"/>
      <c r="JV30" s="876"/>
      <c r="JW30" s="876"/>
      <c r="JX30" s="876"/>
      <c r="KG30" s="876"/>
      <c r="KH30" s="876"/>
      <c r="KI30" s="876"/>
      <c r="KJ30" s="944"/>
      <c r="KK30" s="944"/>
      <c r="KL30" s="944"/>
      <c r="KM30" s="944"/>
      <c r="KN30" s="944"/>
      <c r="KO30" s="944"/>
      <c r="KP30" s="944"/>
      <c r="KQ30" s="944"/>
      <c r="KR30" s="944"/>
      <c r="KS30" s="944"/>
      <c r="KT30" s="944"/>
      <c r="KU30" s="944"/>
      <c r="KV30" s="944"/>
      <c r="KW30" s="944"/>
      <c r="KX30" s="944"/>
      <c r="KY30" s="944"/>
      <c r="KZ30" s="944"/>
      <c r="LA30" s="944"/>
      <c r="LB30" s="944"/>
      <c r="LC30" s="944"/>
      <c r="LD30" s="944"/>
      <c r="LE30" s="944"/>
      <c r="LF30" s="944"/>
      <c r="LG30" s="944"/>
      <c r="LH30" s="944"/>
      <c r="LI30" s="944"/>
      <c r="LJ30" s="944"/>
      <c r="LK30" s="944"/>
      <c r="LL30" s="944"/>
      <c r="LM30" s="944"/>
      <c r="LN30" s="944"/>
      <c r="LO30" s="944"/>
    </row>
    <row r="31" spans="1:374" ht="25.5" customHeight="1" thickBot="1">
      <c r="A31" s="874"/>
      <c r="B31" s="950"/>
      <c r="C31" s="951"/>
      <c r="D31" s="952"/>
      <c r="E31" s="952"/>
      <c r="F31" s="952"/>
      <c r="G31" s="952"/>
      <c r="H31" s="952"/>
      <c r="I31" s="952"/>
      <c r="J31" s="952"/>
      <c r="K31" s="952"/>
      <c r="L31" s="952"/>
      <c r="M31" s="952"/>
      <c r="N31" s="952"/>
      <c r="O31" s="952"/>
      <c r="P31" s="952"/>
      <c r="Q31" s="952"/>
      <c r="R31" s="952"/>
      <c r="S31" s="952"/>
      <c r="U31" s="952"/>
      <c r="V31" s="952"/>
      <c r="W31" s="952"/>
      <c r="X31" s="952"/>
      <c r="Y31" s="952"/>
      <c r="Z31" s="952"/>
      <c r="AA31" s="952"/>
      <c r="AB31" s="952"/>
      <c r="AC31" s="952"/>
      <c r="AD31" s="952"/>
      <c r="AE31" s="952"/>
      <c r="AF31" s="952"/>
      <c r="AG31" s="952"/>
      <c r="AH31" s="952"/>
      <c r="AI31" s="952"/>
      <c r="AJ31" s="952"/>
      <c r="AK31" s="952"/>
      <c r="AL31" s="952"/>
      <c r="AM31" s="952"/>
      <c r="AN31" s="952"/>
      <c r="AO31" s="952"/>
      <c r="AP31" s="952"/>
      <c r="AQ31" s="952"/>
      <c r="AR31" s="952"/>
      <c r="AS31" s="952"/>
      <c r="AT31" s="952"/>
      <c r="AU31" s="952"/>
      <c r="AV31" s="952"/>
      <c r="AW31" s="952"/>
      <c r="AX31" s="952"/>
      <c r="AY31" s="952"/>
      <c r="AZ31" s="952"/>
      <c r="BA31" s="952"/>
      <c r="BB31" s="952"/>
      <c r="BC31" s="952"/>
      <c r="BD31" s="952"/>
      <c r="BE31" s="952"/>
      <c r="BF31" s="952"/>
      <c r="BG31" s="952"/>
      <c r="BH31" s="952"/>
      <c r="BI31" s="952"/>
      <c r="BJ31" s="952"/>
      <c r="BK31" s="952"/>
      <c r="BL31" s="952"/>
      <c r="BM31" s="952"/>
      <c r="BN31" s="952"/>
      <c r="BO31" s="952"/>
      <c r="BP31" s="952"/>
      <c r="BQ31" s="952"/>
      <c r="BR31" s="952"/>
      <c r="BS31" s="952"/>
      <c r="BT31" s="952"/>
      <c r="BU31" s="952"/>
      <c r="BV31" s="952"/>
      <c r="BW31" s="952"/>
      <c r="BX31" s="952"/>
      <c r="BY31" s="952"/>
      <c r="BZ31" s="952"/>
      <c r="CA31" s="952"/>
      <c r="CB31" s="952"/>
      <c r="CC31" s="952"/>
      <c r="CD31" s="952"/>
      <c r="CE31" s="952"/>
      <c r="CF31" s="952"/>
      <c r="CG31" s="952"/>
      <c r="CH31" s="952"/>
      <c r="CI31" s="952"/>
      <c r="CJ31" s="952"/>
      <c r="CK31" s="952"/>
      <c r="CL31" s="952"/>
      <c r="CM31" s="952"/>
      <c r="CN31" s="952"/>
      <c r="CO31" s="952"/>
      <c r="CP31" s="952"/>
      <c r="CQ31" s="952"/>
      <c r="CR31" s="952"/>
      <c r="CS31" s="952"/>
      <c r="CT31" s="952"/>
      <c r="CU31" s="952"/>
      <c r="CV31" s="952"/>
      <c r="CW31" s="952"/>
      <c r="CX31" s="952"/>
      <c r="CY31" s="952"/>
      <c r="CZ31" s="952"/>
      <c r="DA31" s="952"/>
      <c r="DB31" s="952"/>
      <c r="DC31" s="952"/>
      <c r="DD31" s="952"/>
      <c r="DE31" s="952"/>
      <c r="DF31" s="952"/>
      <c r="DG31" s="952"/>
      <c r="DH31" s="952"/>
      <c r="DI31" s="952"/>
      <c r="DJ31" s="952"/>
      <c r="DK31" s="952"/>
      <c r="DL31" s="952"/>
      <c r="DM31" s="952"/>
      <c r="DN31" s="952"/>
      <c r="DO31" s="952"/>
      <c r="DP31" s="952"/>
      <c r="DQ31" s="952"/>
      <c r="DR31" s="952"/>
      <c r="DS31" s="952"/>
      <c r="DT31" s="952"/>
      <c r="DU31" s="952"/>
      <c r="DV31" s="952"/>
      <c r="DW31" s="952"/>
      <c r="DX31" s="952"/>
      <c r="DY31" s="952"/>
      <c r="DZ31" s="952"/>
      <c r="EA31" s="952"/>
      <c r="EB31" s="952"/>
      <c r="EC31" s="952"/>
      <c r="ED31" s="952"/>
      <c r="EE31" s="952"/>
      <c r="EF31" s="952"/>
      <c r="EG31" s="952"/>
      <c r="EH31" s="952"/>
      <c r="EI31" s="952"/>
      <c r="EJ31" s="952"/>
      <c r="EK31" s="952"/>
      <c r="EL31" s="952"/>
      <c r="EM31" s="952"/>
      <c r="EN31" s="952"/>
      <c r="EO31" s="952"/>
      <c r="EP31" s="952"/>
      <c r="EQ31" s="952"/>
      <c r="ER31" s="952"/>
      <c r="ES31" s="952"/>
      <c r="ET31" s="952"/>
      <c r="EU31" s="952"/>
      <c r="EV31" s="952"/>
      <c r="EW31" s="952"/>
      <c r="EX31" s="952"/>
      <c r="EY31" s="952"/>
      <c r="EZ31" s="952"/>
      <c r="FA31" s="952"/>
      <c r="FB31" s="952"/>
      <c r="FC31" s="952"/>
      <c r="FD31" s="952"/>
      <c r="FE31" s="952"/>
      <c r="FF31" s="952"/>
      <c r="FG31" s="952"/>
      <c r="FH31" s="952"/>
      <c r="FI31" s="952"/>
      <c r="FJ31" s="952"/>
      <c r="FK31" s="952"/>
      <c r="FL31" s="952"/>
      <c r="FM31" s="952"/>
      <c r="FN31" s="952"/>
      <c r="FO31" s="952"/>
      <c r="FP31" s="952"/>
      <c r="FQ31" s="952"/>
      <c r="FR31" s="952"/>
      <c r="FS31" s="952"/>
    </row>
    <row r="32" spans="1:374" ht="13.6">
      <c r="A32" s="874">
        <v>10</v>
      </c>
      <c r="B32" s="953" t="s">
        <v>347</v>
      </c>
      <c r="C32" s="1145"/>
      <c r="D32" s="1250" t="s">
        <v>83</v>
      </c>
      <c r="E32" s="1251"/>
      <c r="F32" s="1251"/>
      <c r="G32" s="1252"/>
      <c r="H32" s="1250" t="s">
        <v>84</v>
      </c>
      <c r="I32" s="1251"/>
      <c r="J32" s="1251"/>
      <c r="K32" s="1252"/>
      <c r="L32" s="1250" t="s">
        <v>1605</v>
      </c>
      <c r="M32" s="1251"/>
      <c r="N32" s="1251"/>
      <c r="O32" s="1252"/>
      <c r="P32" s="1250" t="s">
        <v>85</v>
      </c>
      <c r="Q32" s="1251"/>
      <c r="R32" s="1251"/>
      <c r="S32" s="1252"/>
      <c r="T32" s="1250" t="s">
        <v>1037</v>
      </c>
      <c r="U32" s="1251"/>
      <c r="V32" s="1251"/>
      <c r="W32" s="1252"/>
      <c r="X32" s="1250" t="s">
        <v>1040</v>
      </c>
      <c r="Y32" s="1251"/>
      <c r="Z32" s="1251"/>
      <c r="AA32" s="1252"/>
      <c r="AB32" s="1250" t="s">
        <v>928</v>
      </c>
      <c r="AC32" s="1251"/>
      <c r="AD32" s="1251"/>
      <c r="AE32" s="1252"/>
      <c r="AF32" s="1250" t="s">
        <v>929</v>
      </c>
      <c r="AG32" s="1251"/>
      <c r="AH32" s="1251"/>
      <c r="AI32" s="1252"/>
      <c r="AJ32" s="1250" t="s">
        <v>930</v>
      </c>
      <c r="AK32" s="1251"/>
      <c r="AL32" s="1251"/>
      <c r="AM32" s="1252"/>
      <c r="AN32" s="1250" t="s">
        <v>931</v>
      </c>
      <c r="AO32" s="1251"/>
      <c r="AP32" s="1251"/>
      <c r="AQ32" s="1252"/>
      <c r="AR32" s="1250" t="s">
        <v>1159</v>
      </c>
      <c r="AS32" s="1251"/>
      <c r="AT32" s="1251"/>
      <c r="AU32" s="1252"/>
      <c r="AV32" s="1250" t="s">
        <v>1160</v>
      </c>
      <c r="AW32" s="1251"/>
      <c r="AX32" s="1251"/>
      <c r="AY32" s="1252"/>
      <c r="AZ32" s="1250" t="s">
        <v>1161</v>
      </c>
      <c r="BA32" s="1251"/>
      <c r="BB32" s="1251"/>
      <c r="BC32" s="1252"/>
      <c r="BD32" s="1250" t="s">
        <v>1421</v>
      </c>
      <c r="BE32" s="1251"/>
      <c r="BF32" s="1251"/>
      <c r="BG32" s="1252"/>
      <c r="BH32" s="1250" t="s">
        <v>1162</v>
      </c>
      <c r="BI32" s="1251"/>
      <c r="BJ32" s="1251"/>
      <c r="BK32" s="1252"/>
      <c r="BL32" s="1250" t="s">
        <v>1187</v>
      </c>
      <c r="BM32" s="1251"/>
      <c r="BN32" s="1251"/>
      <c r="BO32" s="1252"/>
      <c r="BP32" s="1250" t="s">
        <v>1163</v>
      </c>
      <c r="BQ32" s="1251"/>
      <c r="BR32" s="1251"/>
      <c r="BS32" s="1252"/>
      <c r="BT32" s="1250" t="s">
        <v>1164</v>
      </c>
      <c r="BU32" s="1251"/>
      <c r="BV32" s="1251"/>
      <c r="BW32" s="1252"/>
      <c r="BX32" s="1250" t="s">
        <v>1165</v>
      </c>
      <c r="BY32" s="1251"/>
      <c r="BZ32" s="1251"/>
      <c r="CA32" s="1252"/>
      <c r="CB32" s="1250" t="s">
        <v>696</v>
      </c>
      <c r="CC32" s="1251"/>
      <c r="CD32" s="1251"/>
      <c r="CE32" s="1252"/>
      <c r="CF32" s="1250" t="s">
        <v>932</v>
      </c>
      <c r="CG32" s="1251"/>
      <c r="CH32" s="1251"/>
      <c r="CI32" s="1252"/>
      <c r="CJ32" s="1250" t="s">
        <v>933</v>
      </c>
      <c r="CK32" s="1251"/>
      <c r="CL32" s="1251"/>
      <c r="CM32" s="1252"/>
      <c r="CN32" s="1250" t="s">
        <v>934</v>
      </c>
      <c r="CO32" s="1251"/>
      <c r="CP32" s="1251"/>
      <c r="CQ32" s="1252"/>
      <c r="CR32" s="1250" t="s">
        <v>935</v>
      </c>
      <c r="CS32" s="1251"/>
      <c r="CT32" s="1251"/>
      <c r="CU32" s="1252"/>
      <c r="CV32" s="1250" t="s">
        <v>936</v>
      </c>
      <c r="CW32" s="1251"/>
      <c r="CX32" s="1251"/>
      <c r="CY32" s="1252"/>
      <c r="CZ32" s="1250" t="s">
        <v>697</v>
      </c>
      <c r="DA32" s="1251"/>
      <c r="DB32" s="1251"/>
      <c r="DC32" s="1252"/>
      <c r="DD32" s="1250" t="s">
        <v>698</v>
      </c>
      <c r="DE32" s="1251"/>
      <c r="DF32" s="1251"/>
      <c r="DG32" s="1252"/>
      <c r="DH32" s="1250" t="s">
        <v>699</v>
      </c>
      <c r="DI32" s="1251"/>
      <c r="DJ32" s="1251"/>
      <c r="DK32" s="1252"/>
      <c r="DL32" s="1250" t="s">
        <v>700</v>
      </c>
      <c r="DM32" s="1251"/>
      <c r="DN32" s="1251"/>
      <c r="DO32" s="1252"/>
      <c r="DP32" s="1250" t="s">
        <v>701</v>
      </c>
      <c r="DQ32" s="1251"/>
      <c r="DR32" s="1251"/>
      <c r="DS32" s="1252"/>
      <c r="DT32" s="1250" t="s">
        <v>1166</v>
      </c>
      <c r="DU32" s="1251"/>
      <c r="DV32" s="1251"/>
      <c r="DW32" s="1252"/>
      <c r="DX32" s="1250" t="s">
        <v>1167</v>
      </c>
      <c r="DY32" s="1251"/>
      <c r="DZ32" s="1251"/>
      <c r="EA32" s="1252"/>
      <c r="EB32" s="1250" t="s">
        <v>1321</v>
      </c>
      <c r="EC32" s="1251"/>
      <c r="ED32" s="1251"/>
      <c r="EE32" s="1252"/>
      <c r="EF32" s="1250" t="s">
        <v>1322</v>
      </c>
      <c r="EG32" s="1251"/>
      <c r="EH32" s="1251"/>
      <c r="EI32" s="1252"/>
      <c r="EJ32" s="1250" t="s">
        <v>1323</v>
      </c>
      <c r="EK32" s="1251"/>
      <c r="EL32" s="1251"/>
      <c r="EM32" s="1252"/>
      <c r="EN32" s="1250" t="s">
        <v>1168</v>
      </c>
      <c r="EO32" s="1251"/>
      <c r="EP32" s="1251"/>
      <c r="EQ32" s="1252"/>
      <c r="ER32" s="1250" t="s">
        <v>1169</v>
      </c>
      <c r="ES32" s="1251"/>
      <c r="ET32" s="1251"/>
      <c r="EU32" s="1252"/>
      <c r="EV32" s="1250" t="s">
        <v>1189</v>
      </c>
      <c r="EW32" s="1251"/>
      <c r="EX32" s="1251"/>
      <c r="EY32" s="1252"/>
      <c r="EZ32" s="1250" t="s">
        <v>1190</v>
      </c>
      <c r="FA32" s="1251"/>
      <c r="FB32" s="1251"/>
      <c r="FC32" s="1252"/>
      <c r="FD32" s="1250" t="s">
        <v>937</v>
      </c>
      <c r="FE32" s="1251"/>
      <c r="FF32" s="1251"/>
      <c r="FG32" s="1252"/>
      <c r="FH32" s="1250" t="s">
        <v>938</v>
      </c>
      <c r="FI32" s="1251"/>
      <c r="FJ32" s="1251"/>
      <c r="FK32" s="1252"/>
      <c r="FL32" s="1250" t="s">
        <v>939</v>
      </c>
      <c r="FM32" s="1251"/>
      <c r="FN32" s="1251"/>
      <c r="FO32" s="1252"/>
      <c r="FP32" s="1250" t="s">
        <v>1046</v>
      </c>
      <c r="FQ32" s="1251"/>
      <c r="FR32" s="1251"/>
      <c r="FS32" s="1252"/>
      <c r="FT32" s="1250" t="s">
        <v>940</v>
      </c>
      <c r="FU32" s="1251"/>
      <c r="FV32" s="1251"/>
      <c r="FW32" s="1252"/>
      <c r="FX32" s="1250" t="s">
        <v>1170</v>
      </c>
      <c r="FY32" s="1251"/>
      <c r="FZ32" s="1251"/>
      <c r="GA32" s="1252"/>
      <c r="GB32" s="1250" t="s">
        <v>941</v>
      </c>
      <c r="GC32" s="1251"/>
      <c r="GD32" s="1251"/>
      <c r="GE32" s="1252"/>
      <c r="GF32" s="1250" t="s">
        <v>942</v>
      </c>
      <c r="GG32" s="1251"/>
      <c r="GH32" s="1251"/>
      <c r="GI32" s="1252"/>
      <c r="GJ32" s="1250" t="s">
        <v>943</v>
      </c>
      <c r="GK32" s="1251"/>
      <c r="GL32" s="1251"/>
      <c r="GM32" s="1252"/>
      <c r="GN32" s="1250" t="s">
        <v>944</v>
      </c>
      <c r="GO32" s="1251"/>
      <c r="GP32" s="1251"/>
      <c r="GQ32" s="1252"/>
      <c r="GR32" s="1250" t="s">
        <v>1324</v>
      </c>
      <c r="GS32" s="1251"/>
      <c r="GT32" s="1251"/>
      <c r="GU32" s="1252"/>
      <c r="GV32" s="1250" t="s">
        <v>1422</v>
      </c>
      <c r="GW32" s="1251"/>
      <c r="GX32" s="1251"/>
      <c r="GY32" s="1252"/>
      <c r="GZ32" s="1247" t="s">
        <v>1423</v>
      </c>
      <c r="HA32" s="1248"/>
      <c r="HB32" s="1248"/>
      <c r="HC32" s="1249"/>
      <c r="HD32" s="1247" t="s">
        <v>1829</v>
      </c>
      <c r="HE32" s="1248"/>
      <c r="HF32" s="1248"/>
      <c r="HG32" s="1249"/>
      <c r="HH32" s="1247" t="s">
        <v>1830</v>
      </c>
      <c r="HI32" s="1248"/>
      <c r="HJ32" s="1248"/>
      <c r="HK32" s="1249"/>
      <c r="HL32" s="1247" t="s">
        <v>1831</v>
      </c>
      <c r="HM32" s="1248"/>
      <c r="HN32" s="1248"/>
      <c r="HO32" s="1249"/>
      <c r="HP32" s="1247" t="s">
        <v>1832</v>
      </c>
      <c r="HQ32" s="1248"/>
      <c r="HR32" s="1248"/>
      <c r="HS32" s="1249"/>
      <c r="HT32" s="1250" t="s">
        <v>1325</v>
      </c>
      <c r="HU32" s="1251"/>
      <c r="HV32" s="1251"/>
      <c r="HW32" s="1252"/>
      <c r="HX32" s="1250" t="s">
        <v>1326</v>
      </c>
      <c r="HY32" s="1251"/>
      <c r="HZ32" s="1251"/>
      <c r="IA32" s="1252"/>
      <c r="IB32" s="1247" t="s">
        <v>1424</v>
      </c>
      <c r="IC32" s="1248"/>
      <c r="ID32" s="1248"/>
      <c r="IE32" s="1249"/>
      <c r="IF32" s="1250" t="s">
        <v>1425</v>
      </c>
      <c r="IG32" s="1251"/>
      <c r="IH32" s="1251"/>
      <c r="II32" s="1252"/>
      <c r="IJ32" s="1250" t="s">
        <v>1426</v>
      </c>
      <c r="IK32" s="1251"/>
      <c r="IL32" s="1251"/>
      <c r="IM32" s="1252"/>
      <c r="IN32" s="1247" t="s">
        <v>1427</v>
      </c>
      <c r="IO32" s="1248"/>
      <c r="IP32" s="1248"/>
      <c r="IQ32" s="1249"/>
      <c r="IR32" s="1247" t="s">
        <v>1428</v>
      </c>
      <c r="IS32" s="1248"/>
      <c r="IT32" s="1248"/>
      <c r="IU32" s="1249"/>
      <c r="IV32" s="1247" t="s">
        <v>1429</v>
      </c>
      <c r="IW32" s="1248"/>
      <c r="IX32" s="1248"/>
      <c r="IY32" s="1249"/>
      <c r="IZ32" s="1247" t="s">
        <v>1430</v>
      </c>
      <c r="JA32" s="1248"/>
      <c r="JB32" s="1248"/>
      <c r="JC32" s="1249"/>
      <c r="JD32" s="1250" t="s">
        <v>1569</v>
      </c>
      <c r="JE32" s="1251"/>
      <c r="JF32" s="1251"/>
      <c r="JG32" s="1252"/>
      <c r="JH32" s="1247" t="s">
        <v>1570</v>
      </c>
      <c r="JI32" s="1248"/>
      <c r="JJ32" s="1248"/>
      <c r="JK32" s="1249"/>
      <c r="JL32" s="1247" t="s">
        <v>1833</v>
      </c>
      <c r="JM32" s="1248"/>
      <c r="JN32" s="1248"/>
      <c r="JO32" s="1249"/>
      <c r="JP32" s="1247" t="s">
        <v>1834</v>
      </c>
      <c r="JQ32" s="1248"/>
      <c r="JR32" s="1248"/>
      <c r="JS32" s="1249"/>
      <c r="JT32" s="1247" t="s">
        <v>1835</v>
      </c>
      <c r="JU32" s="1248"/>
      <c r="JV32" s="1248"/>
      <c r="JW32" s="1249"/>
      <c r="JX32" s="1247" t="s">
        <v>1836</v>
      </c>
      <c r="JY32" s="1248"/>
      <c r="JZ32" s="1248"/>
      <c r="KA32" s="1249"/>
      <c r="KB32" s="1247" t="s">
        <v>1837</v>
      </c>
      <c r="KC32" s="1248"/>
      <c r="KD32" s="1248"/>
      <c r="KE32" s="1249"/>
      <c r="KF32" s="1247" t="s">
        <v>1571</v>
      </c>
      <c r="KG32" s="1248"/>
      <c r="KH32" s="1248"/>
      <c r="KI32" s="1249"/>
      <c r="KJ32" s="1247" t="s">
        <v>1572</v>
      </c>
      <c r="KK32" s="1248"/>
      <c r="KL32" s="1248"/>
      <c r="KM32" s="1249"/>
      <c r="KN32" s="1247" t="s">
        <v>1838</v>
      </c>
      <c r="KO32" s="1248"/>
      <c r="KP32" s="1248"/>
      <c r="KQ32" s="1249"/>
      <c r="KR32" s="1247" t="s">
        <v>1839</v>
      </c>
      <c r="KS32" s="1248"/>
      <c r="KT32" s="1248"/>
      <c r="KU32" s="1249"/>
      <c r="KV32" s="1247" t="s">
        <v>1840</v>
      </c>
      <c r="KW32" s="1248"/>
      <c r="KX32" s="1248"/>
      <c r="KY32" s="1249"/>
      <c r="KZ32" s="1247" t="s">
        <v>1841</v>
      </c>
      <c r="LA32" s="1248"/>
      <c r="LB32" s="1248"/>
      <c r="LC32" s="1249"/>
      <c r="LD32" s="1247" t="s">
        <v>1842</v>
      </c>
      <c r="LE32" s="1248"/>
      <c r="LF32" s="1248"/>
      <c r="LG32" s="1249"/>
      <c r="LH32" s="1247" t="s">
        <v>1843</v>
      </c>
      <c r="LI32" s="1248"/>
      <c r="LJ32" s="1248"/>
      <c r="LK32" s="1249"/>
      <c r="LL32" s="1247" t="s">
        <v>1844</v>
      </c>
      <c r="LM32" s="1248"/>
      <c r="LN32" s="1248"/>
      <c r="LO32" s="1249"/>
      <c r="LP32" s="1247" t="s">
        <v>1845</v>
      </c>
      <c r="LQ32" s="1248"/>
      <c r="LR32" s="1248"/>
      <c r="LS32" s="1249"/>
      <c r="LT32" s="1247" t="s">
        <v>1846</v>
      </c>
      <c r="LU32" s="1248"/>
      <c r="LV32" s="1248"/>
      <c r="LW32" s="1249"/>
      <c r="LX32" s="1247" t="s">
        <v>1847</v>
      </c>
      <c r="LY32" s="1248"/>
      <c r="LZ32" s="1248"/>
      <c r="MA32" s="1249"/>
      <c r="MB32" s="1247" t="s">
        <v>1848</v>
      </c>
      <c r="MC32" s="1248"/>
      <c r="MD32" s="1248"/>
      <c r="ME32" s="1249"/>
      <c r="MF32" s="1247" t="s">
        <v>1849</v>
      </c>
      <c r="MG32" s="1248"/>
      <c r="MH32" s="1248"/>
      <c r="MI32" s="1249"/>
      <c r="MJ32" s="1247" t="s">
        <v>1850</v>
      </c>
      <c r="MK32" s="1248"/>
      <c r="ML32" s="1248"/>
      <c r="MM32" s="1249"/>
      <c r="MN32" s="1247" t="s">
        <v>1851</v>
      </c>
      <c r="MO32" s="1248"/>
      <c r="MP32" s="1248"/>
      <c r="MQ32" s="1249"/>
      <c r="MR32" s="1247" t="s">
        <v>1852</v>
      </c>
      <c r="MS32" s="1248"/>
      <c r="MT32" s="1248"/>
      <c r="MU32" s="1249"/>
      <c r="MV32" s="1247" t="s">
        <v>1853</v>
      </c>
      <c r="MW32" s="1248"/>
      <c r="MX32" s="1248"/>
      <c r="MY32" s="1249"/>
      <c r="MZ32" s="1247" t="s">
        <v>1854</v>
      </c>
      <c r="NA32" s="1248"/>
      <c r="NB32" s="1248"/>
      <c r="NC32" s="1249"/>
      <c r="ND32" s="1247" t="s">
        <v>1855</v>
      </c>
      <c r="NE32" s="1248"/>
      <c r="NF32" s="1248"/>
      <c r="NG32" s="1249"/>
      <c r="NH32" s="954"/>
      <c r="NI32" s="1144"/>
      <c r="NJ32" s="955"/>
    </row>
    <row r="33" spans="1:377">
      <c r="A33" s="874">
        <v>11</v>
      </c>
      <c r="B33" s="956" t="s">
        <v>86</v>
      </c>
      <c r="C33" s="957" t="s">
        <v>87</v>
      </c>
      <c r="D33" s="958" t="s">
        <v>88</v>
      </c>
      <c r="E33" s="957" t="s">
        <v>276</v>
      </c>
      <c r="F33" s="957"/>
      <c r="G33" s="959"/>
      <c r="H33" s="958" t="s">
        <v>88</v>
      </c>
      <c r="I33" s="957" t="s">
        <v>277</v>
      </c>
      <c r="J33" s="957"/>
      <c r="K33" s="959"/>
      <c r="L33" s="958" t="s">
        <v>88</v>
      </c>
      <c r="M33" s="957" t="s">
        <v>277</v>
      </c>
      <c r="N33" s="957"/>
      <c r="O33" s="959"/>
      <c r="P33" s="958" t="s">
        <v>88</v>
      </c>
      <c r="Q33" s="960" t="s">
        <v>278</v>
      </c>
      <c r="R33" s="957"/>
      <c r="S33" s="959"/>
      <c r="T33" s="958" t="s">
        <v>88</v>
      </c>
      <c r="U33" s="960" t="s">
        <v>1038</v>
      </c>
      <c r="V33" s="957"/>
      <c r="W33" s="959"/>
      <c r="X33" s="958" t="s">
        <v>88</v>
      </c>
      <c r="Y33" s="960" t="s">
        <v>1038</v>
      </c>
      <c r="Z33" s="957"/>
      <c r="AA33" s="959"/>
      <c r="AB33" s="958" t="s">
        <v>88</v>
      </c>
      <c r="AC33" s="960" t="s">
        <v>945</v>
      </c>
      <c r="AD33" s="957"/>
      <c r="AE33" s="959"/>
      <c r="AF33" s="958" t="s">
        <v>88</v>
      </c>
      <c r="AG33" s="960" t="s">
        <v>945</v>
      </c>
      <c r="AH33" s="957"/>
      <c r="AI33" s="959"/>
      <c r="AJ33" s="958" t="s">
        <v>88</v>
      </c>
      <c r="AK33" s="960" t="s">
        <v>945</v>
      </c>
      <c r="AL33" s="957"/>
      <c r="AM33" s="959"/>
      <c r="AN33" s="958" t="s">
        <v>88</v>
      </c>
      <c r="AO33" s="960" t="s">
        <v>945</v>
      </c>
      <c r="AP33" s="957"/>
      <c r="AQ33" s="959"/>
      <c r="AR33" s="958" t="s">
        <v>88</v>
      </c>
      <c r="AS33" s="960" t="s">
        <v>945</v>
      </c>
      <c r="AT33" s="957"/>
      <c r="AU33" s="959"/>
      <c r="AV33" s="958" t="s">
        <v>88</v>
      </c>
      <c r="AW33" s="960" t="s">
        <v>945</v>
      </c>
      <c r="AX33" s="957"/>
      <c r="AY33" s="959"/>
      <c r="AZ33" s="958" t="s">
        <v>88</v>
      </c>
      <c r="BA33" s="960" t="s">
        <v>945</v>
      </c>
      <c r="BB33" s="957"/>
      <c r="BC33" s="959"/>
      <c r="BD33" s="958" t="s">
        <v>88</v>
      </c>
      <c r="BE33" s="960" t="s">
        <v>945</v>
      </c>
      <c r="BF33" s="957"/>
      <c r="BG33" s="959"/>
      <c r="BH33" s="958" t="s">
        <v>88</v>
      </c>
      <c r="BI33" s="960" t="s">
        <v>1184</v>
      </c>
      <c r="BJ33" s="957"/>
      <c r="BK33" s="959"/>
      <c r="BL33" s="958" t="s">
        <v>88</v>
      </c>
      <c r="BM33" s="960" t="s">
        <v>1186</v>
      </c>
      <c r="BN33" s="957"/>
      <c r="BO33" s="959"/>
      <c r="BP33" s="958" t="s">
        <v>88</v>
      </c>
      <c r="BQ33" s="960" t="s">
        <v>946</v>
      </c>
      <c r="BR33" s="957"/>
      <c r="BS33" s="959"/>
      <c r="BT33" s="958" t="s">
        <v>88</v>
      </c>
      <c r="BU33" s="960" t="s">
        <v>946</v>
      </c>
      <c r="BV33" s="960"/>
      <c r="BW33" s="959"/>
      <c r="BX33" s="958" t="s">
        <v>88</v>
      </c>
      <c r="BY33" s="960" t="s">
        <v>946</v>
      </c>
      <c r="BZ33" s="957"/>
      <c r="CA33" s="959"/>
      <c r="CB33" s="958" t="s">
        <v>88</v>
      </c>
      <c r="CC33" s="960" t="s">
        <v>947</v>
      </c>
      <c r="CD33" s="957"/>
      <c r="CE33" s="959"/>
      <c r="CF33" s="958" t="s">
        <v>948</v>
      </c>
      <c r="CG33" s="960"/>
      <c r="CH33" s="957"/>
      <c r="CI33" s="959"/>
      <c r="CJ33" s="958" t="s">
        <v>948</v>
      </c>
      <c r="CK33" s="960"/>
      <c r="CL33" s="957"/>
      <c r="CM33" s="959"/>
      <c r="CN33" s="958" t="s">
        <v>948</v>
      </c>
      <c r="CO33" s="960"/>
      <c r="CP33" s="957"/>
      <c r="CQ33" s="959"/>
      <c r="CR33" s="958" t="s">
        <v>948</v>
      </c>
      <c r="CS33" s="960"/>
      <c r="CT33" s="957"/>
      <c r="CU33" s="959"/>
      <c r="CV33" s="958" t="s">
        <v>948</v>
      </c>
      <c r="CW33" s="960"/>
      <c r="CX33" s="957"/>
      <c r="CY33" s="959"/>
      <c r="CZ33" s="958" t="s">
        <v>948</v>
      </c>
      <c r="DA33" s="960"/>
      <c r="DB33" s="957"/>
      <c r="DC33" s="959"/>
      <c r="DD33" s="958" t="s">
        <v>948</v>
      </c>
      <c r="DE33" s="960"/>
      <c r="DF33" s="957"/>
      <c r="DG33" s="959"/>
      <c r="DH33" s="958" t="s">
        <v>948</v>
      </c>
      <c r="DI33" s="960"/>
      <c r="DJ33" s="957"/>
      <c r="DK33" s="959"/>
      <c r="DL33" s="958" t="s">
        <v>948</v>
      </c>
      <c r="DM33" s="960"/>
      <c r="DN33" s="957"/>
      <c r="DO33" s="959"/>
      <c r="DP33" s="958" t="s">
        <v>948</v>
      </c>
      <c r="DQ33" s="960"/>
      <c r="DR33" s="957"/>
      <c r="DS33" s="959"/>
      <c r="DT33" s="958" t="s">
        <v>948</v>
      </c>
      <c r="DU33" s="960" t="s">
        <v>978</v>
      </c>
      <c r="DV33" s="957"/>
      <c r="DW33" s="959"/>
      <c r="DX33" s="958" t="s">
        <v>948</v>
      </c>
      <c r="DY33" s="960" t="s">
        <v>978</v>
      </c>
      <c r="DZ33" s="957"/>
      <c r="EA33" s="959"/>
      <c r="EB33" s="958" t="s">
        <v>948</v>
      </c>
      <c r="EC33" s="960" t="s">
        <v>978</v>
      </c>
      <c r="ED33" s="957"/>
      <c r="EE33" s="959"/>
      <c r="EF33" s="958" t="s">
        <v>948</v>
      </c>
      <c r="EG33" s="960" t="s">
        <v>979</v>
      </c>
      <c r="EH33" s="957"/>
      <c r="EI33" s="959"/>
      <c r="EJ33" s="958" t="s">
        <v>948</v>
      </c>
      <c r="EK33" s="960" t="s">
        <v>979</v>
      </c>
      <c r="EL33" s="957"/>
      <c r="EM33" s="959"/>
      <c r="EN33" s="958" t="s">
        <v>88</v>
      </c>
      <c r="EO33" s="960" t="s">
        <v>1045</v>
      </c>
      <c r="EP33" s="957"/>
      <c r="EQ33" s="959"/>
      <c r="ER33" s="958" t="s">
        <v>88</v>
      </c>
      <c r="ES33" s="960" t="s">
        <v>1045</v>
      </c>
      <c r="ET33" s="957"/>
      <c r="EU33" s="959"/>
      <c r="EV33" s="958" t="s">
        <v>88</v>
      </c>
      <c r="EW33" s="960" t="s">
        <v>949</v>
      </c>
      <c r="EX33" s="957"/>
      <c r="EY33" s="959"/>
      <c r="EZ33" s="958" t="s">
        <v>88</v>
      </c>
      <c r="FA33" s="960" t="s">
        <v>1192</v>
      </c>
      <c r="FB33" s="957"/>
      <c r="FC33" s="959"/>
      <c r="FD33" s="958" t="s">
        <v>88</v>
      </c>
      <c r="FE33" s="960" t="s">
        <v>703</v>
      </c>
      <c r="FF33" s="957"/>
      <c r="FG33" s="959"/>
      <c r="FH33" s="958" t="s">
        <v>88</v>
      </c>
      <c r="FI33" s="960" t="s">
        <v>950</v>
      </c>
      <c r="FJ33" s="957"/>
      <c r="FK33" s="959"/>
      <c r="FL33" s="958" t="s">
        <v>88</v>
      </c>
      <c r="FM33" s="960" t="s">
        <v>705</v>
      </c>
      <c r="FN33" s="957"/>
      <c r="FO33" s="959"/>
      <c r="FP33" s="958" t="s">
        <v>88</v>
      </c>
      <c r="FQ33" s="957" t="s">
        <v>1047</v>
      </c>
      <c r="FR33" s="957"/>
      <c r="FS33" s="959"/>
      <c r="FT33" s="958" t="s">
        <v>88</v>
      </c>
      <c r="FU33" s="960" t="s">
        <v>951</v>
      </c>
      <c r="FV33" s="957"/>
      <c r="FW33" s="959"/>
      <c r="FX33" s="958" t="s">
        <v>88</v>
      </c>
      <c r="FY33" s="960" t="s">
        <v>702</v>
      </c>
      <c r="FZ33" s="957"/>
      <c r="GA33" s="959"/>
      <c r="GB33" s="958" t="s">
        <v>88</v>
      </c>
      <c r="GC33" s="960" t="s">
        <v>704</v>
      </c>
      <c r="GD33" s="957"/>
      <c r="GE33" s="959"/>
      <c r="GF33" s="958" t="s">
        <v>88</v>
      </c>
      <c r="GG33" s="960" t="s">
        <v>952</v>
      </c>
      <c r="GH33" s="957"/>
      <c r="GI33" s="959"/>
      <c r="GJ33" s="958" t="s">
        <v>88</v>
      </c>
      <c r="GK33" s="960" t="s">
        <v>953</v>
      </c>
      <c r="GL33" s="957"/>
      <c r="GM33" s="959"/>
      <c r="GN33" s="958" t="s">
        <v>88</v>
      </c>
      <c r="GO33" s="960" t="s">
        <v>954</v>
      </c>
      <c r="GP33" s="957"/>
      <c r="GQ33" s="959"/>
      <c r="GR33" s="958" t="s">
        <v>88</v>
      </c>
      <c r="GS33" s="960" t="s">
        <v>1451</v>
      </c>
      <c r="GT33" s="957"/>
      <c r="GU33" s="959"/>
      <c r="GV33" s="958" t="s">
        <v>88</v>
      </c>
      <c r="GW33" s="960" t="s">
        <v>1451</v>
      </c>
      <c r="GX33" s="957"/>
      <c r="GY33" s="959"/>
      <c r="GZ33" s="958" t="s">
        <v>88</v>
      </c>
      <c r="HA33" s="960" t="s">
        <v>1451</v>
      </c>
      <c r="HB33" s="957"/>
      <c r="HC33" s="959"/>
      <c r="HD33" s="958" t="s">
        <v>88</v>
      </c>
      <c r="HE33" s="960" t="s">
        <v>1451</v>
      </c>
      <c r="HF33" s="957"/>
      <c r="HG33" s="959"/>
      <c r="HH33" s="958" t="s">
        <v>88</v>
      </c>
      <c r="HI33" s="960" t="s">
        <v>1451</v>
      </c>
      <c r="HJ33" s="957"/>
      <c r="HK33" s="959"/>
      <c r="HL33" s="958" t="s">
        <v>88</v>
      </c>
      <c r="HM33" s="960" t="s">
        <v>1451</v>
      </c>
      <c r="HN33" s="957"/>
      <c r="HO33" s="959"/>
      <c r="HP33" s="958" t="s">
        <v>88</v>
      </c>
      <c r="HQ33" s="960" t="s">
        <v>1451</v>
      </c>
      <c r="HR33" s="957"/>
      <c r="HS33" s="959"/>
      <c r="HT33" s="958" t="s">
        <v>88</v>
      </c>
      <c r="HU33" s="960" t="s">
        <v>1327</v>
      </c>
      <c r="HV33" s="957"/>
      <c r="HW33" s="959"/>
      <c r="HX33" s="958" t="s">
        <v>88</v>
      </c>
      <c r="HY33" s="960" t="s">
        <v>1328</v>
      </c>
      <c r="HZ33" s="957"/>
      <c r="IA33" s="959"/>
      <c r="IB33" s="958" t="s">
        <v>88</v>
      </c>
      <c r="IC33" s="960" t="s">
        <v>1431</v>
      </c>
      <c r="ID33" s="957"/>
      <c r="IE33" s="959"/>
      <c r="IF33" s="958" t="s">
        <v>88</v>
      </c>
      <c r="IG33" s="960" t="s">
        <v>1432</v>
      </c>
      <c r="IH33" s="957"/>
      <c r="II33" s="959"/>
      <c r="IJ33" s="958" t="s">
        <v>88</v>
      </c>
      <c r="IK33" s="960" t="s">
        <v>1432</v>
      </c>
      <c r="IL33" s="957"/>
      <c r="IM33" s="959"/>
      <c r="IN33" s="958" t="s">
        <v>88</v>
      </c>
      <c r="IO33" s="960" t="s">
        <v>1433</v>
      </c>
      <c r="IP33" s="957"/>
      <c r="IQ33" s="959"/>
      <c r="IR33" s="958" t="s">
        <v>88</v>
      </c>
      <c r="IS33" s="960" t="s">
        <v>1434</v>
      </c>
      <c r="IT33" s="957"/>
      <c r="IU33" s="959"/>
      <c r="IV33" s="958" t="s">
        <v>88</v>
      </c>
      <c r="IW33" s="960" t="s">
        <v>1435</v>
      </c>
      <c r="IX33" s="957"/>
      <c r="IY33" s="959"/>
      <c r="IZ33" s="958" t="s">
        <v>88</v>
      </c>
      <c r="JA33" s="960" t="s">
        <v>1436</v>
      </c>
      <c r="JB33" s="957"/>
      <c r="JC33" s="959"/>
      <c r="JD33" s="958" t="s">
        <v>88</v>
      </c>
      <c r="JE33" s="960" t="s">
        <v>1573</v>
      </c>
      <c r="JF33" s="957"/>
      <c r="JG33" s="959"/>
      <c r="JH33" s="958" t="s">
        <v>88</v>
      </c>
      <c r="JI33" s="960" t="s">
        <v>1573</v>
      </c>
      <c r="JJ33" s="957"/>
      <c r="JK33" s="959"/>
      <c r="JL33" s="958" t="s">
        <v>88</v>
      </c>
      <c r="JM33" s="960" t="s">
        <v>1574</v>
      </c>
      <c r="JN33" s="957"/>
      <c r="JO33" s="959"/>
      <c r="JP33" s="958" t="s">
        <v>88</v>
      </c>
      <c r="JQ33" s="960" t="s">
        <v>1574</v>
      </c>
      <c r="JR33" s="957"/>
      <c r="JS33" s="959"/>
      <c r="JT33" s="958" t="s">
        <v>88</v>
      </c>
      <c r="JU33" s="960" t="s">
        <v>1856</v>
      </c>
      <c r="JV33" s="1135"/>
      <c r="JW33" s="1136"/>
      <c r="JX33" s="958" t="s">
        <v>88</v>
      </c>
      <c r="JY33" s="960" t="s">
        <v>1857</v>
      </c>
      <c r="JZ33" s="1135"/>
      <c r="KA33" s="1136"/>
      <c r="KB33" s="958" t="s">
        <v>88</v>
      </c>
      <c r="KC33" s="960" t="s">
        <v>1857</v>
      </c>
      <c r="KD33" s="1135"/>
      <c r="KE33" s="1136"/>
      <c r="KF33" s="958" t="s">
        <v>88</v>
      </c>
      <c r="KG33" s="961" t="s">
        <v>1575</v>
      </c>
      <c r="KH33" s="961"/>
      <c r="KI33" s="961"/>
      <c r="KJ33" s="958" t="s">
        <v>88</v>
      </c>
      <c r="KK33" s="960" t="s">
        <v>1576</v>
      </c>
      <c r="KL33" s="957"/>
      <c r="KM33" s="959"/>
      <c r="KN33" s="958" t="s">
        <v>88</v>
      </c>
      <c r="KO33" s="960" t="s">
        <v>1858</v>
      </c>
      <c r="KP33" s="957"/>
      <c r="KQ33" s="959"/>
      <c r="KR33" s="958" t="s">
        <v>88</v>
      </c>
      <c r="KS33" s="960" t="s">
        <v>1577</v>
      </c>
      <c r="KT33" s="957"/>
      <c r="KU33" s="959"/>
      <c r="KV33" s="958" t="s">
        <v>88</v>
      </c>
      <c r="KW33" s="960" t="s">
        <v>1577</v>
      </c>
      <c r="KX33" s="957"/>
      <c r="KY33" s="959"/>
      <c r="KZ33" s="958" t="s">
        <v>88</v>
      </c>
      <c r="LA33" s="960" t="s">
        <v>1577</v>
      </c>
      <c r="LB33" s="957"/>
      <c r="LC33" s="959"/>
      <c r="LD33" s="958" t="s">
        <v>88</v>
      </c>
      <c r="LE33" s="960" t="s">
        <v>1577</v>
      </c>
      <c r="LF33" s="957"/>
      <c r="LG33" s="959"/>
      <c r="LH33" s="958" t="s">
        <v>88</v>
      </c>
      <c r="LI33" s="960" t="s">
        <v>1577</v>
      </c>
      <c r="LJ33" s="957"/>
      <c r="LK33" s="959"/>
      <c r="LL33" s="958" t="s">
        <v>88</v>
      </c>
      <c r="LM33" s="960" t="s">
        <v>1859</v>
      </c>
      <c r="LN33" s="957"/>
      <c r="LO33" s="959"/>
      <c r="LP33" s="958" t="s">
        <v>88</v>
      </c>
      <c r="LQ33" s="960" t="s">
        <v>1608</v>
      </c>
      <c r="LR33" s="957"/>
      <c r="LS33" s="959"/>
      <c r="LT33" s="958" t="s">
        <v>88</v>
      </c>
      <c r="LU33" s="960" t="s">
        <v>1608</v>
      </c>
      <c r="LV33" s="957"/>
      <c r="LW33" s="959"/>
      <c r="LX33" s="958" t="s">
        <v>88</v>
      </c>
      <c r="LY33" s="960" t="s">
        <v>1860</v>
      </c>
      <c r="LZ33" s="957"/>
      <c r="MA33" s="959"/>
      <c r="MB33" s="958" t="s">
        <v>88</v>
      </c>
      <c r="MC33" s="960" t="s">
        <v>1861</v>
      </c>
      <c r="MD33" s="957"/>
      <c r="ME33" s="959"/>
      <c r="MF33" s="958" t="s">
        <v>88</v>
      </c>
      <c r="MG33" s="960" t="s">
        <v>1861</v>
      </c>
      <c r="MH33" s="957"/>
      <c r="MI33" s="959"/>
      <c r="MJ33" s="958" t="s">
        <v>88</v>
      </c>
      <c r="MK33" s="960" t="s">
        <v>1862</v>
      </c>
      <c r="ML33" s="957"/>
      <c r="MM33" s="959"/>
      <c r="MN33" s="958" t="s">
        <v>88</v>
      </c>
      <c r="MO33" s="960" t="s">
        <v>1863</v>
      </c>
      <c r="MP33" s="957"/>
      <c r="MQ33" s="959"/>
      <c r="MR33" s="958" t="s">
        <v>88</v>
      </c>
      <c r="MS33" s="960" t="s">
        <v>1863</v>
      </c>
      <c r="MT33" s="957"/>
      <c r="MU33" s="959"/>
      <c r="MV33" s="958" t="s">
        <v>88</v>
      </c>
      <c r="MW33" s="960" t="s">
        <v>1863</v>
      </c>
      <c r="MX33" s="957"/>
      <c r="MY33" s="959"/>
      <c r="MZ33" s="958" t="s">
        <v>88</v>
      </c>
      <c r="NA33" s="960" t="s">
        <v>1864</v>
      </c>
      <c r="NB33" s="957"/>
      <c r="NC33" s="959"/>
      <c r="ND33" s="958" t="s">
        <v>88</v>
      </c>
      <c r="NE33" s="960" t="s">
        <v>1865</v>
      </c>
      <c r="NF33" s="957"/>
      <c r="NG33" s="959"/>
      <c r="NH33" s="962" t="s">
        <v>251</v>
      </c>
      <c r="NI33" s="963" t="s">
        <v>254</v>
      </c>
      <c r="NJ33" s="964"/>
    </row>
    <row r="34" spans="1:377">
      <c r="A34" s="874">
        <v>12</v>
      </c>
      <c r="B34" s="956" t="s">
        <v>89</v>
      </c>
      <c r="C34" s="957"/>
      <c r="D34" s="958">
        <v>43</v>
      </c>
      <c r="E34" s="965" t="s">
        <v>279</v>
      </c>
      <c r="F34" s="957"/>
      <c r="G34" s="813"/>
      <c r="H34" s="958">
        <f>D34</f>
        <v>43</v>
      </c>
      <c r="I34" s="966" t="s">
        <v>955</v>
      </c>
      <c r="J34" s="966"/>
      <c r="K34" s="813"/>
      <c r="L34" s="958">
        <f>H34</f>
        <v>43</v>
      </c>
      <c r="M34" s="966" t="s">
        <v>955</v>
      </c>
      <c r="N34" s="966"/>
      <c r="O34" s="813"/>
      <c r="P34" s="958">
        <f>H34</f>
        <v>43</v>
      </c>
      <c r="Q34" s="966" t="s">
        <v>280</v>
      </c>
      <c r="R34" s="957"/>
      <c r="S34" s="959"/>
      <c r="T34" s="958">
        <f>P34</f>
        <v>43</v>
      </c>
      <c r="U34" s="966" t="s">
        <v>1043</v>
      </c>
      <c r="V34" s="957"/>
      <c r="W34" s="959"/>
      <c r="X34" s="958">
        <f>T34</f>
        <v>43</v>
      </c>
      <c r="Y34" s="966" t="s">
        <v>1043</v>
      </c>
      <c r="Z34" s="957"/>
      <c r="AA34" s="959"/>
      <c r="AB34" s="958">
        <f>X34</f>
        <v>43</v>
      </c>
      <c r="AC34" s="966" t="s">
        <v>980</v>
      </c>
      <c r="AD34" s="957"/>
      <c r="AE34" s="959"/>
      <c r="AF34" s="958">
        <f>AB34</f>
        <v>43</v>
      </c>
      <c r="AG34" s="966" t="s">
        <v>980</v>
      </c>
      <c r="AH34" s="957"/>
      <c r="AI34" s="959"/>
      <c r="AJ34" s="958">
        <f>AF34</f>
        <v>43</v>
      </c>
      <c r="AK34" s="966" t="s">
        <v>980</v>
      </c>
      <c r="AL34" s="957"/>
      <c r="AM34" s="959"/>
      <c r="AN34" s="958">
        <f>AJ34</f>
        <v>43</v>
      </c>
      <c r="AO34" s="966" t="s">
        <v>980</v>
      </c>
      <c r="AP34" s="957"/>
      <c r="AQ34" s="959"/>
      <c r="AR34" s="958">
        <f>AN34</f>
        <v>43</v>
      </c>
      <c r="AS34" s="966" t="s">
        <v>980</v>
      </c>
      <c r="AT34" s="957"/>
      <c r="AU34" s="959"/>
      <c r="AV34" s="958">
        <f>AR34</f>
        <v>43</v>
      </c>
      <c r="AW34" s="966" t="s">
        <v>980</v>
      </c>
      <c r="AX34" s="957"/>
      <c r="AY34" s="959"/>
      <c r="AZ34" s="958">
        <f>AV34</f>
        <v>43</v>
      </c>
      <c r="BA34" s="966" t="s">
        <v>980</v>
      </c>
      <c r="BB34" s="957"/>
      <c r="BC34" s="959"/>
      <c r="BD34" s="958">
        <f>AZ34</f>
        <v>43</v>
      </c>
      <c r="BE34" s="966" t="s">
        <v>980</v>
      </c>
      <c r="BF34" s="957"/>
      <c r="BG34" s="959"/>
      <c r="BH34" s="958">
        <f>BD34</f>
        <v>43</v>
      </c>
      <c r="BI34" s="817" t="s">
        <v>1185</v>
      </c>
      <c r="BJ34" s="957"/>
      <c r="BK34" s="959"/>
      <c r="BL34" s="958">
        <f>BH34</f>
        <v>43</v>
      </c>
      <c r="BM34" s="966" t="s">
        <v>1188</v>
      </c>
      <c r="BN34" s="957"/>
      <c r="BO34" s="959"/>
      <c r="BP34" s="958">
        <f>BL34</f>
        <v>43</v>
      </c>
      <c r="BQ34" s="966" t="s">
        <v>956</v>
      </c>
      <c r="BR34" s="957"/>
      <c r="BS34" s="959"/>
      <c r="BT34" s="958">
        <f>BP34</f>
        <v>43</v>
      </c>
      <c r="BU34" s="967" t="s">
        <v>956</v>
      </c>
      <c r="BV34" s="960"/>
      <c r="BW34" s="959"/>
      <c r="BX34" s="958">
        <f>BT34</f>
        <v>43</v>
      </c>
      <c r="BY34" s="966" t="s">
        <v>956</v>
      </c>
      <c r="BZ34" s="957"/>
      <c r="CA34" s="959"/>
      <c r="CB34" s="958">
        <f>BX34</f>
        <v>43</v>
      </c>
      <c r="CC34" s="966" t="s">
        <v>957</v>
      </c>
      <c r="CD34" s="957"/>
      <c r="CE34" s="959"/>
      <c r="CF34" s="958">
        <f>CB34</f>
        <v>43</v>
      </c>
      <c r="CG34" s="966" t="s">
        <v>958</v>
      </c>
      <c r="CH34" s="957"/>
      <c r="CI34" s="814"/>
      <c r="CJ34" s="958">
        <f>CF34</f>
        <v>43</v>
      </c>
      <c r="CK34" s="966" t="s">
        <v>959</v>
      </c>
      <c r="CL34" s="957"/>
      <c r="CM34" s="814"/>
      <c r="CN34" s="958">
        <f>CJ34</f>
        <v>43</v>
      </c>
      <c r="CO34" s="966" t="s">
        <v>1050</v>
      </c>
      <c r="CP34" s="957"/>
      <c r="CQ34" s="959"/>
      <c r="CR34" s="958">
        <f>CN34</f>
        <v>43</v>
      </c>
      <c r="CS34" s="966" t="s">
        <v>1050</v>
      </c>
      <c r="CT34" s="957"/>
      <c r="CU34" s="959"/>
      <c r="CV34" s="958">
        <f>CR34</f>
        <v>43</v>
      </c>
      <c r="CW34" s="966" t="s">
        <v>1051</v>
      </c>
      <c r="CX34" s="957"/>
      <c r="CY34" s="959"/>
      <c r="CZ34" s="958">
        <f>CV34</f>
        <v>43</v>
      </c>
      <c r="DA34" s="966" t="s">
        <v>960</v>
      </c>
      <c r="DB34" s="966"/>
      <c r="DC34" s="959"/>
      <c r="DD34" s="958">
        <f>CZ34</f>
        <v>43</v>
      </c>
      <c r="DE34" s="966" t="s">
        <v>961</v>
      </c>
      <c r="DF34" s="957"/>
      <c r="DG34" s="959"/>
      <c r="DH34" s="958">
        <f>DD34</f>
        <v>43</v>
      </c>
      <c r="DI34" s="966" t="s">
        <v>962</v>
      </c>
      <c r="DJ34" s="957"/>
      <c r="DK34" s="959"/>
      <c r="DL34" s="958">
        <f>DH34</f>
        <v>43</v>
      </c>
      <c r="DM34" s="966" t="s">
        <v>1171</v>
      </c>
      <c r="DN34" s="957"/>
      <c r="DO34" s="959"/>
      <c r="DP34" s="958">
        <f>DL34</f>
        <v>43</v>
      </c>
      <c r="DQ34" s="966" t="s">
        <v>963</v>
      </c>
      <c r="DR34" s="957"/>
      <c r="DS34" s="959"/>
      <c r="DT34" s="958">
        <f>DP34</f>
        <v>43</v>
      </c>
      <c r="DU34" s="966" t="s">
        <v>964</v>
      </c>
      <c r="DV34" s="957"/>
      <c r="DW34" s="959"/>
      <c r="DX34" s="958">
        <f>DT34</f>
        <v>43</v>
      </c>
      <c r="DY34" s="966" t="s">
        <v>964</v>
      </c>
      <c r="DZ34" s="957"/>
      <c r="EA34" s="959"/>
      <c r="EB34" s="958">
        <f>DX34</f>
        <v>43</v>
      </c>
      <c r="EC34" s="966" t="s">
        <v>964</v>
      </c>
      <c r="ED34" s="957"/>
      <c r="EE34" s="959"/>
      <c r="EF34" s="958">
        <f>EB34</f>
        <v>43</v>
      </c>
      <c r="EG34" s="966" t="s">
        <v>965</v>
      </c>
      <c r="EH34" s="957"/>
      <c r="EI34" s="959"/>
      <c r="EJ34" s="958">
        <f>EF34</f>
        <v>43</v>
      </c>
      <c r="EK34" s="966" t="s">
        <v>965</v>
      </c>
      <c r="EL34" s="957"/>
      <c r="EM34" s="959"/>
      <c r="EN34" s="958">
        <f>EJ34</f>
        <v>43</v>
      </c>
      <c r="EO34" s="966" t="s">
        <v>966</v>
      </c>
      <c r="EP34" s="957"/>
      <c r="EQ34" s="959"/>
      <c r="ER34" s="958">
        <f>EN34</f>
        <v>43</v>
      </c>
      <c r="ES34" s="966" t="s">
        <v>966</v>
      </c>
      <c r="ET34" s="957"/>
      <c r="EU34" s="959"/>
      <c r="EV34" s="958">
        <f>ER34</f>
        <v>43</v>
      </c>
      <c r="EW34" s="966" t="s">
        <v>967</v>
      </c>
      <c r="EX34" s="957"/>
      <c r="EY34" s="959"/>
      <c r="EZ34" s="958">
        <f>EV34</f>
        <v>43</v>
      </c>
      <c r="FA34" s="966" t="s">
        <v>1578</v>
      </c>
      <c r="FB34" s="957"/>
      <c r="FC34" s="959"/>
      <c r="FD34" s="958">
        <f>EZ34</f>
        <v>43</v>
      </c>
      <c r="FE34" s="966" t="s">
        <v>981</v>
      </c>
      <c r="FF34" s="957"/>
      <c r="FG34" s="959"/>
      <c r="FH34" s="958">
        <f>FD34</f>
        <v>43</v>
      </c>
      <c r="FI34" s="966" t="s">
        <v>968</v>
      </c>
      <c r="FJ34" s="957"/>
      <c r="FK34" s="959"/>
      <c r="FL34" s="958">
        <f>FH34</f>
        <v>43</v>
      </c>
      <c r="FM34" s="966" t="s">
        <v>969</v>
      </c>
      <c r="FN34" s="957"/>
      <c r="FO34" s="959"/>
      <c r="FP34" s="958">
        <f>FL34</f>
        <v>43</v>
      </c>
      <c r="FQ34" s="968" t="s">
        <v>1048</v>
      </c>
      <c r="FR34" s="957"/>
      <c r="FS34" s="813"/>
      <c r="FT34" s="958">
        <f>FP34</f>
        <v>43</v>
      </c>
      <c r="FU34" s="966" t="s">
        <v>984</v>
      </c>
      <c r="FV34" s="957"/>
      <c r="FW34" s="959"/>
      <c r="FX34" s="958">
        <f>FT34</f>
        <v>43</v>
      </c>
      <c r="FY34" s="966" t="s">
        <v>989</v>
      </c>
      <c r="FZ34" s="957"/>
      <c r="GA34" s="959"/>
      <c r="GB34" s="958">
        <f>FX34</f>
        <v>43</v>
      </c>
      <c r="GC34" s="966" t="s">
        <v>706</v>
      </c>
      <c r="GD34" s="957"/>
      <c r="GE34" s="959"/>
      <c r="GF34" s="958">
        <f>GB34</f>
        <v>43</v>
      </c>
      <c r="GG34" s="966" t="s">
        <v>985</v>
      </c>
      <c r="GH34" s="957"/>
      <c r="GI34" s="959"/>
      <c r="GJ34" s="958">
        <f>GF34</f>
        <v>43</v>
      </c>
      <c r="GK34" s="966" t="s">
        <v>986</v>
      </c>
      <c r="GL34" s="957"/>
      <c r="GM34" s="959"/>
      <c r="GN34" s="958">
        <f>GJ34</f>
        <v>43</v>
      </c>
      <c r="GO34" s="966" t="s">
        <v>1172</v>
      </c>
      <c r="GP34" s="957"/>
      <c r="GQ34" s="959"/>
      <c r="GR34" s="958">
        <f>GN34</f>
        <v>43</v>
      </c>
      <c r="GS34" s="966" t="s">
        <v>1579</v>
      </c>
      <c r="GT34" s="957"/>
      <c r="GU34" s="959"/>
      <c r="GV34" s="958">
        <f>GR34</f>
        <v>43</v>
      </c>
      <c r="GW34" s="966" t="s">
        <v>1579</v>
      </c>
      <c r="GX34" s="957"/>
      <c r="GY34" s="959"/>
      <c r="GZ34" s="958">
        <f>GV34</f>
        <v>43</v>
      </c>
      <c r="HA34" s="966" t="s">
        <v>1437</v>
      </c>
      <c r="HB34" s="957"/>
      <c r="HC34" s="959"/>
      <c r="HD34" s="958">
        <f>GZ34</f>
        <v>43</v>
      </c>
      <c r="HE34" s="966" t="s">
        <v>1437</v>
      </c>
      <c r="HF34" s="957"/>
      <c r="HG34" s="959"/>
      <c r="HH34" s="958">
        <f>HD34</f>
        <v>43</v>
      </c>
      <c r="HI34" s="966" t="s">
        <v>1437</v>
      </c>
      <c r="HJ34" s="957"/>
      <c r="HK34" s="959"/>
      <c r="HL34" s="958">
        <f>HH34</f>
        <v>43</v>
      </c>
      <c r="HM34" s="966" t="s">
        <v>1437</v>
      </c>
      <c r="HN34" s="957"/>
      <c r="HO34" s="959"/>
      <c r="HP34" s="958">
        <f>HL34</f>
        <v>43</v>
      </c>
      <c r="HQ34" s="966" t="s">
        <v>1437</v>
      </c>
      <c r="HR34" s="957"/>
      <c r="HS34" s="959"/>
      <c r="HT34" s="958">
        <f>GZ34</f>
        <v>43</v>
      </c>
      <c r="HU34" s="966" t="s">
        <v>1580</v>
      </c>
      <c r="HV34" s="957"/>
      <c r="HW34" s="959"/>
      <c r="HX34" s="958">
        <f>HT34</f>
        <v>43</v>
      </c>
      <c r="HY34" s="966" t="s">
        <v>1581</v>
      </c>
      <c r="HZ34" s="957"/>
      <c r="IA34" s="959"/>
      <c r="IB34" s="958">
        <f>HX34</f>
        <v>43</v>
      </c>
      <c r="IC34" s="966" t="s">
        <v>1438</v>
      </c>
      <c r="ID34" s="957"/>
      <c r="IE34" s="959"/>
      <c r="IF34" s="958">
        <f>IB34</f>
        <v>43</v>
      </c>
      <c r="IG34" s="966" t="s">
        <v>1582</v>
      </c>
      <c r="IH34" s="957"/>
      <c r="II34" s="959"/>
      <c r="IJ34" s="958">
        <f>IF34</f>
        <v>43</v>
      </c>
      <c r="IK34" s="966" t="s">
        <v>1582</v>
      </c>
      <c r="IL34" s="957"/>
      <c r="IM34" s="959"/>
      <c r="IN34" s="958">
        <f>IJ34</f>
        <v>43</v>
      </c>
      <c r="IO34" s="966" t="s">
        <v>1439</v>
      </c>
      <c r="IP34" s="957"/>
      <c r="IQ34" s="959"/>
      <c r="IR34" s="958">
        <f>IN34</f>
        <v>43</v>
      </c>
      <c r="IS34" s="966" t="s">
        <v>1440</v>
      </c>
      <c r="IT34" s="957"/>
      <c r="IU34" s="959"/>
      <c r="IV34" s="958">
        <f>IR34</f>
        <v>43</v>
      </c>
      <c r="IW34" s="966" t="s">
        <v>1441</v>
      </c>
      <c r="IX34" s="957"/>
      <c r="IY34" s="959"/>
      <c r="IZ34" s="958">
        <f>IV34</f>
        <v>43</v>
      </c>
      <c r="JA34" s="966" t="s">
        <v>1441</v>
      </c>
      <c r="JB34" s="957"/>
      <c r="JC34" s="959"/>
      <c r="JD34" s="958">
        <f>IZ34</f>
        <v>43</v>
      </c>
      <c r="JE34" s="966" t="s">
        <v>1583</v>
      </c>
      <c r="JF34" s="957"/>
      <c r="JG34" s="959"/>
      <c r="JH34" s="958">
        <f>JD34</f>
        <v>43</v>
      </c>
      <c r="JI34" s="966" t="s">
        <v>1583</v>
      </c>
      <c r="JJ34" s="957"/>
      <c r="JK34" s="959"/>
      <c r="JL34" s="958">
        <f>JH34</f>
        <v>43</v>
      </c>
      <c r="JM34" s="967" t="s">
        <v>1866</v>
      </c>
      <c r="JN34" s="968"/>
      <c r="JO34" s="980"/>
      <c r="JP34" s="958">
        <f>JL34</f>
        <v>43</v>
      </c>
      <c r="JQ34" s="967" t="s">
        <v>1866</v>
      </c>
      <c r="JR34" s="960"/>
      <c r="JS34" s="980"/>
      <c r="JT34" s="958">
        <f>JP34</f>
        <v>43</v>
      </c>
      <c r="JU34" s="967" t="s">
        <v>1867</v>
      </c>
      <c r="JV34" s="1137"/>
      <c r="JW34" s="1137"/>
      <c r="JX34" s="958">
        <f>JP34</f>
        <v>43</v>
      </c>
      <c r="JY34" s="967" t="s">
        <v>1868</v>
      </c>
      <c r="JZ34" s="1137"/>
      <c r="KA34" s="1138"/>
      <c r="KB34" s="958">
        <f>JT34</f>
        <v>43</v>
      </c>
      <c r="KC34" s="967" t="s">
        <v>1868</v>
      </c>
      <c r="KD34" s="1137"/>
      <c r="KE34" s="1138"/>
      <c r="KF34" s="958">
        <f>JL34</f>
        <v>43</v>
      </c>
      <c r="KG34" s="961" t="s">
        <v>1584</v>
      </c>
      <c r="KH34" s="961"/>
      <c r="KI34" s="961"/>
      <c r="KJ34" s="958">
        <f>KF34</f>
        <v>43</v>
      </c>
      <c r="KK34" s="961" t="s">
        <v>1585</v>
      </c>
      <c r="KL34" s="961"/>
      <c r="KM34" s="959"/>
      <c r="KN34" s="958">
        <f>KJ34</f>
        <v>43</v>
      </c>
      <c r="KO34" s="961" t="s">
        <v>1869</v>
      </c>
      <c r="KP34" s="961"/>
      <c r="KQ34" s="961"/>
      <c r="KR34" s="958">
        <f>KJ34</f>
        <v>43</v>
      </c>
      <c r="KS34" s="961" t="s">
        <v>1586</v>
      </c>
      <c r="KT34" s="961"/>
      <c r="KU34" s="961"/>
      <c r="KV34" s="958">
        <f>KR34</f>
        <v>43</v>
      </c>
      <c r="KW34" s="961" t="s">
        <v>1586</v>
      </c>
      <c r="KX34" s="961"/>
      <c r="KY34" s="969"/>
      <c r="KZ34" s="958">
        <f>KV34</f>
        <v>43</v>
      </c>
      <c r="LA34" s="961" t="s">
        <v>1586</v>
      </c>
      <c r="LB34" s="961"/>
      <c r="LC34" s="969"/>
      <c r="LD34" s="958">
        <f>KZ34</f>
        <v>43</v>
      </c>
      <c r="LE34" s="961" t="s">
        <v>1586</v>
      </c>
      <c r="LF34" s="961"/>
      <c r="LG34" s="961"/>
      <c r="LH34" s="958">
        <f>LD34</f>
        <v>43</v>
      </c>
      <c r="LI34" s="961" t="s">
        <v>1586</v>
      </c>
      <c r="LJ34" s="961"/>
      <c r="LK34" s="969"/>
      <c r="LL34" s="958">
        <f>LD34</f>
        <v>43</v>
      </c>
      <c r="LM34" s="961" t="s">
        <v>1870</v>
      </c>
      <c r="LN34" s="961"/>
      <c r="LO34" s="969"/>
      <c r="LP34" s="958">
        <f>KR34</f>
        <v>43</v>
      </c>
      <c r="LQ34" s="961" t="s">
        <v>1587</v>
      </c>
      <c r="LR34" s="961"/>
      <c r="LS34" s="969"/>
      <c r="LT34" s="958">
        <f>KV34</f>
        <v>43</v>
      </c>
      <c r="LU34" s="961" t="s">
        <v>1587</v>
      </c>
      <c r="LV34" s="961"/>
      <c r="LW34" s="969"/>
      <c r="LX34" s="958">
        <f>KR34</f>
        <v>43</v>
      </c>
      <c r="LY34" s="961" t="s">
        <v>1871</v>
      </c>
      <c r="LZ34" s="961"/>
      <c r="MA34" s="961"/>
      <c r="MB34" s="958">
        <f>KV34</f>
        <v>43</v>
      </c>
      <c r="MC34" s="961" t="s">
        <v>1872</v>
      </c>
      <c r="MD34" s="961"/>
      <c r="ME34" s="961"/>
      <c r="MF34" s="958">
        <f>KZ34</f>
        <v>43</v>
      </c>
      <c r="MG34" s="961" t="s">
        <v>1872</v>
      </c>
      <c r="MH34" s="961"/>
      <c r="MI34" s="969"/>
      <c r="MJ34" s="958">
        <f>LD34</f>
        <v>43</v>
      </c>
      <c r="MK34" s="961" t="s">
        <v>1873</v>
      </c>
      <c r="ML34" s="961"/>
      <c r="MM34" s="969"/>
      <c r="MN34" s="958">
        <f>LL34</f>
        <v>43</v>
      </c>
      <c r="MO34" s="961" t="s">
        <v>1874</v>
      </c>
      <c r="MP34" s="961"/>
      <c r="MQ34" s="961"/>
      <c r="MR34" s="958">
        <f>LP34</f>
        <v>43</v>
      </c>
      <c r="MS34" s="961" t="s">
        <v>1874</v>
      </c>
      <c r="MT34" s="961"/>
      <c r="MU34" s="969"/>
      <c r="MV34" s="958">
        <f>LT34</f>
        <v>43</v>
      </c>
      <c r="MW34" s="961" t="s">
        <v>1874</v>
      </c>
      <c r="MX34" s="961"/>
      <c r="MY34" s="969"/>
      <c r="MZ34" s="958">
        <f>MF34</f>
        <v>43</v>
      </c>
      <c r="NA34" s="961" t="s">
        <v>1875</v>
      </c>
      <c r="NB34" s="961"/>
      <c r="NC34" s="961"/>
      <c r="ND34" s="958">
        <f>LP34</f>
        <v>43</v>
      </c>
      <c r="NE34" s="961" t="s">
        <v>1876</v>
      </c>
      <c r="NF34" s="961"/>
      <c r="NG34" s="969"/>
      <c r="NH34" s="970" t="s">
        <v>252</v>
      </c>
      <c r="NI34" s="971" t="s">
        <v>256</v>
      </c>
      <c r="NJ34" s="964"/>
    </row>
    <row r="35" spans="1:377">
      <c r="A35" s="874">
        <v>13</v>
      </c>
      <c r="B35" s="956" t="s">
        <v>538</v>
      </c>
      <c r="C35" s="957" t="s">
        <v>271</v>
      </c>
      <c r="D35" s="972">
        <f>$K$19</f>
        <v>0.13697777270881656</v>
      </c>
      <c r="E35" s="957"/>
      <c r="F35" s="957"/>
      <c r="G35" s="813"/>
      <c r="H35" s="972">
        <f>$K$19</f>
        <v>0.13697777270881656</v>
      </c>
      <c r="I35" s="966" t="s">
        <v>970</v>
      </c>
      <c r="J35" s="966"/>
      <c r="K35" s="813"/>
      <c r="L35" s="972">
        <f>$K$19</f>
        <v>0.13697777270881656</v>
      </c>
      <c r="M35" s="966" t="s">
        <v>1606</v>
      </c>
      <c r="N35" s="966"/>
      <c r="O35" s="813"/>
      <c r="P35" s="972">
        <f>$K$19</f>
        <v>0.13697777270881656</v>
      </c>
      <c r="Q35" s="966" t="s">
        <v>248</v>
      </c>
      <c r="R35" s="957"/>
      <c r="S35" s="959"/>
      <c r="T35" s="972">
        <f>$K$19</f>
        <v>0.13697777270881656</v>
      </c>
      <c r="U35" s="966" t="s">
        <v>1039</v>
      </c>
      <c r="V35" s="957"/>
      <c r="W35" s="959"/>
      <c r="X35" s="972">
        <f>$K$19</f>
        <v>0.13697777270881656</v>
      </c>
      <c r="Y35" s="966" t="s">
        <v>1039</v>
      </c>
      <c r="Z35" s="957"/>
      <c r="AA35" s="959"/>
      <c r="AB35" s="972">
        <f>$K$19</f>
        <v>0.13697777270881656</v>
      </c>
      <c r="AC35" s="966" t="s">
        <v>971</v>
      </c>
      <c r="AD35" s="957"/>
      <c r="AE35" s="959"/>
      <c r="AF35" s="972">
        <f>$K$19</f>
        <v>0.13697777270881656</v>
      </c>
      <c r="AG35" s="966" t="s">
        <v>971</v>
      </c>
      <c r="AH35" s="957"/>
      <c r="AI35" s="959"/>
      <c r="AJ35" s="972">
        <f>$K$19</f>
        <v>0.13697777270881656</v>
      </c>
      <c r="AK35" s="966" t="s">
        <v>971</v>
      </c>
      <c r="AL35" s="957"/>
      <c r="AM35" s="959"/>
      <c r="AN35" s="972">
        <f>$K$19</f>
        <v>0.13697777270881656</v>
      </c>
      <c r="AO35" s="966" t="s">
        <v>971</v>
      </c>
      <c r="AP35" s="957"/>
      <c r="AQ35" s="959"/>
      <c r="AR35" s="972">
        <f>$K$19</f>
        <v>0.13697777270881656</v>
      </c>
      <c r="AS35" s="966" t="s">
        <v>971</v>
      </c>
      <c r="AT35" s="957"/>
      <c r="AU35" s="959"/>
      <c r="AV35" s="972">
        <f>$K$19</f>
        <v>0.13697777270881656</v>
      </c>
      <c r="AW35" s="966" t="s">
        <v>971</v>
      </c>
      <c r="AX35" s="957"/>
      <c r="AY35" s="959"/>
      <c r="AZ35" s="972">
        <f>$K$19</f>
        <v>0.13697777270881656</v>
      </c>
      <c r="BA35" s="966" t="s">
        <v>971</v>
      </c>
      <c r="BB35" s="957"/>
      <c r="BC35" s="959"/>
      <c r="BD35" s="972">
        <f>$K$19</f>
        <v>0.13697777270881656</v>
      </c>
      <c r="BE35" s="966" t="s">
        <v>971</v>
      </c>
      <c r="BF35" s="957"/>
      <c r="BG35" s="959"/>
      <c r="BH35" s="972">
        <f>$K$19</f>
        <v>0.13697777270881656</v>
      </c>
      <c r="BI35" s="973"/>
      <c r="BJ35" s="957"/>
      <c r="BK35" s="959"/>
      <c r="BL35" s="972">
        <f>$K$19</f>
        <v>0.13697777270881656</v>
      </c>
      <c r="BM35" s="966"/>
      <c r="BN35" s="957"/>
      <c r="BO35" s="959"/>
      <c r="BP35" s="972">
        <f>$K$19</f>
        <v>0.13697777270881656</v>
      </c>
      <c r="BQ35" s="966" t="s">
        <v>972</v>
      </c>
      <c r="BR35" s="957"/>
      <c r="BS35" s="959"/>
      <c r="BT35" s="972">
        <f>$K$19</f>
        <v>0.13697777270881656</v>
      </c>
      <c r="BU35" s="967" t="s">
        <v>972</v>
      </c>
      <c r="BV35" s="960"/>
      <c r="BW35" s="959"/>
      <c r="BX35" s="972">
        <f>$K$19</f>
        <v>0.13697777270881656</v>
      </c>
      <c r="BY35" s="966" t="s">
        <v>972</v>
      </c>
      <c r="BZ35" s="957"/>
      <c r="CA35" s="959"/>
      <c r="CB35" s="972">
        <f>$K$19</f>
        <v>0.13697777270881656</v>
      </c>
      <c r="CC35" s="966"/>
      <c r="CD35" s="957"/>
      <c r="CE35" s="959"/>
      <c r="CF35" s="972">
        <f>$K$19</f>
        <v>0.13697777270881656</v>
      </c>
      <c r="CG35" s="966" t="s">
        <v>973</v>
      </c>
      <c r="CH35" s="957"/>
      <c r="CI35" s="814"/>
      <c r="CJ35" s="972">
        <f>$K$19</f>
        <v>0.13697777270881656</v>
      </c>
      <c r="CK35" s="966" t="s">
        <v>973</v>
      </c>
      <c r="CL35" s="957"/>
      <c r="CM35" s="814"/>
      <c r="CN35" s="972">
        <f>$K$19</f>
        <v>0.13697777270881656</v>
      </c>
      <c r="CO35" s="966" t="s">
        <v>973</v>
      </c>
      <c r="CP35" s="957"/>
      <c r="CQ35" s="959"/>
      <c r="CR35" s="972">
        <f>$K$19</f>
        <v>0.13697777270881656</v>
      </c>
      <c r="CS35" s="966" t="s">
        <v>1588</v>
      </c>
      <c r="CT35" s="957"/>
      <c r="CU35" s="959"/>
      <c r="CV35" s="972">
        <f>$K$19</f>
        <v>0.13697777270881656</v>
      </c>
      <c r="CW35" s="966" t="s">
        <v>973</v>
      </c>
      <c r="CX35" s="957"/>
      <c r="CY35" s="959"/>
      <c r="CZ35" s="972">
        <f>$K$19</f>
        <v>0.13697777270881656</v>
      </c>
      <c r="DA35" s="966" t="s">
        <v>973</v>
      </c>
      <c r="DB35" s="966"/>
      <c r="DC35" s="959"/>
      <c r="DD35" s="972">
        <f>$K$19</f>
        <v>0.13697777270881656</v>
      </c>
      <c r="DE35" s="966" t="s">
        <v>973</v>
      </c>
      <c r="DF35" s="957"/>
      <c r="DG35" s="959"/>
      <c r="DH35" s="972">
        <f>$K$19</f>
        <v>0.13697777270881656</v>
      </c>
      <c r="DI35" s="966" t="s">
        <v>973</v>
      </c>
      <c r="DJ35" s="957"/>
      <c r="DK35" s="959"/>
      <c r="DL35" s="972">
        <f>$K$19</f>
        <v>0.13697777270881656</v>
      </c>
      <c r="DM35" s="966" t="s">
        <v>973</v>
      </c>
      <c r="DN35" s="957"/>
      <c r="DO35" s="959"/>
      <c r="DP35" s="972">
        <f>$K$19</f>
        <v>0.13697777270881656</v>
      </c>
      <c r="DQ35" s="966" t="s">
        <v>973</v>
      </c>
      <c r="DR35" s="957"/>
      <c r="DS35" s="959"/>
      <c r="DT35" s="972">
        <f>$K$19</f>
        <v>0.13697777270881656</v>
      </c>
      <c r="DU35" s="815" t="s">
        <v>1173</v>
      </c>
      <c r="DV35" s="957"/>
      <c r="DW35" s="959"/>
      <c r="DX35" s="972">
        <f>$K$19</f>
        <v>0.13697777270881656</v>
      </c>
      <c r="DY35" s="966" t="s">
        <v>1174</v>
      </c>
      <c r="DZ35" s="957"/>
      <c r="EA35" s="959"/>
      <c r="EB35" s="972">
        <f>$K$19</f>
        <v>0.13697777270881656</v>
      </c>
      <c r="EC35" s="966" t="s">
        <v>1589</v>
      </c>
      <c r="ED35" s="957"/>
      <c r="EE35" s="959"/>
      <c r="EF35" s="972">
        <f>$K$19</f>
        <v>0.13697777270881656</v>
      </c>
      <c r="EG35" s="966" t="s">
        <v>974</v>
      </c>
      <c r="EH35" s="957"/>
      <c r="EI35" s="959"/>
      <c r="EJ35" s="972">
        <f>$K$19</f>
        <v>0.13697777270881656</v>
      </c>
      <c r="EK35" s="966" t="s">
        <v>974</v>
      </c>
      <c r="EL35" s="957"/>
      <c r="EM35" s="959"/>
      <c r="EN35" s="972">
        <f>$K$19</f>
        <v>0.13697777270881656</v>
      </c>
      <c r="EP35" s="957"/>
      <c r="EQ35" s="959"/>
      <c r="ER35" s="972">
        <f>$K$19</f>
        <v>0.13697777270881656</v>
      </c>
      <c r="ES35" s="966"/>
      <c r="ET35" s="957"/>
      <c r="EU35" s="959"/>
      <c r="EV35" s="972">
        <f>$K$19</f>
        <v>0.13697777270881656</v>
      </c>
      <c r="EW35" s="966" t="s">
        <v>975</v>
      </c>
      <c r="EX35" s="957"/>
      <c r="EY35" s="959"/>
      <c r="EZ35" s="972">
        <f>$K$19</f>
        <v>0.13697777270881656</v>
      </c>
      <c r="FA35" s="966"/>
      <c r="FB35" s="957"/>
      <c r="FC35" s="959"/>
      <c r="FD35" s="972">
        <f>$K$19</f>
        <v>0.13697777270881656</v>
      </c>
      <c r="FE35" s="966"/>
      <c r="FF35" s="957"/>
      <c r="FG35" s="959"/>
      <c r="FH35" s="972">
        <f>$K$19</f>
        <v>0.13697777270881656</v>
      </c>
      <c r="FI35" s="966" t="s">
        <v>983</v>
      </c>
      <c r="FJ35" s="957"/>
      <c r="FK35" s="959"/>
      <c r="FL35" s="972">
        <f>$K$19</f>
        <v>0.13697777270881656</v>
      </c>
      <c r="FM35" s="966" t="s">
        <v>982</v>
      </c>
      <c r="FN35" s="957"/>
      <c r="FO35" s="959"/>
      <c r="FP35" s="972">
        <f>$K$19</f>
        <v>0.13697777270881656</v>
      </c>
      <c r="FQ35" s="966" t="s">
        <v>1049</v>
      </c>
      <c r="FR35" s="957"/>
      <c r="FS35" s="813"/>
      <c r="FT35" s="972">
        <f>$K$19</f>
        <v>0.13697777270881656</v>
      </c>
      <c r="FU35" s="966" t="s">
        <v>250</v>
      </c>
      <c r="FV35" s="957"/>
      <c r="FW35" s="959"/>
      <c r="FX35" s="972">
        <f>$K$19</f>
        <v>0.13697777270881656</v>
      </c>
      <c r="FY35" s="966" t="s">
        <v>990</v>
      </c>
      <c r="FZ35" s="957"/>
      <c r="GA35" s="959"/>
      <c r="GB35" s="972">
        <f>$K$19</f>
        <v>0.13697777270881656</v>
      </c>
      <c r="GC35" s="966" t="s">
        <v>707</v>
      </c>
      <c r="GD35" s="957"/>
      <c r="GE35" s="959"/>
      <c r="GF35" s="972">
        <f>$K$19</f>
        <v>0.13697777270881656</v>
      </c>
      <c r="GG35" s="966"/>
      <c r="GH35" s="957"/>
      <c r="GI35" s="959"/>
      <c r="GJ35" s="972">
        <f>$K$19</f>
        <v>0.13697777270881656</v>
      </c>
      <c r="GK35" s="966" t="s">
        <v>987</v>
      </c>
      <c r="GL35" s="957"/>
      <c r="GM35" s="959"/>
      <c r="GN35" s="972">
        <f>$K$19</f>
        <v>0.13697777270881656</v>
      </c>
      <c r="GO35" s="966"/>
      <c r="GP35" s="957"/>
      <c r="GQ35" s="959"/>
      <c r="GR35" s="972">
        <f>$K$19</f>
        <v>0.13697777270881656</v>
      </c>
      <c r="GS35" s="966"/>
      <c r="GT35" s="957"/>
      <c r="GU35" s="959"/>
      <c r="GV35" s="972">
        <f>$K$19</f>
        <v>0.13697777270881656</v>
      </c>
      <c r="GW35" s="966"/>
      <c r="GX35" s="957"/>
      <c r="GY35" s="959"/>
      <c r="GZ35" s="972">
        <f>$K$19</f>
        <v>0.13697777270881656</v>
      </c>
      <c r="HA35" s="966"/>
      <c r="HB35" s="957"/>
      <c r="HC35" s="959"/>
      <c r="HD35" s="972">
        <f>$K$19</f>
        <v>0.13697777270881656</v>
      </c>
      <c r="HE35" s="966"/>
      <c r="HF35" s="957"/>
      <c r="HG35" s="959"/>
      <c r="HH35" s="972">
        <f>$K$19</f>
        <v>0.13697777270881656</v>
      </c>
      <c r="HI35" s="966"/>
      <c r="HJ35" s="957"/>
      <c r="HK35" s="959"/>
      <c r="HL35" s="972">
        <f>$K$19</f>
        <v>0.13697777270881656</v>
      </c>
      <c r="HM35" s="966"/>
      <c r="HN35" s="957"/>
      <c r="HO35" s="959"/>
      <c r="HP35" s="972">
        <f>$K$19</f>
        <v>0.13697777270881656</v>
      </c>
      <c r="HQ35" s="966"/>
      <c r="HR35" s="957"/>
      <c r="HS35" s="959"/>
      <c r="HT35" s="972">
        <f>$K$19</f>
        <v>0.13697777270881656</v>
      </c>
      <c r="HU35" s="966" t="s">
        <v>1590</v>
      </c>
      <c r="HV35" s="957"/>
      <c r="HW35" s="959"/>
      <c r="HX35" s="972">
        <f>$K$19</f>
        <v>0.13697777270881656</v>
      </c>
      <c r="HY35" s="966" t="s">
        <v>1591</v>
      </c>
      <c r="HZ35" s="957"/>
      <c r="IA35" s="959"/>
      <c r="IB35" s="972">
        <f>$K$19</f>
        <v>0.13697777270881656</v>
      </c>
      <c r="IC35" s="966" t="s">
        <v>1442</v>
      </c>
      <c r="ID35" s="957"/>
      <c r="IE35" s="959"/>
      <c r="IF35" s="972">
        <f>$K$19</f>
        <v>0.13697777270881656</v>
      </c>
      <c r="IG35" s="966" t="s">
        <v>1592</v>
      </c>
      <c r="IH35" s="957"/>
      <c r="II35" s="959"/>
      <c r="IJ35" s="972">
        <f>$K$19</f>
        <v>0.13697777270881656</v>
      </c>
      <c r="IK35" s="966" t="s">
        <v>1592</v>
      </c>
      <c r="IL35" s="957"/>
      <c r="IM35" s="959"/>
      <c r="IN35" s="972">
        <f>$K$19</f>
        <v>0.13697777270881656</v>
      </c>
      <c r="IO35" s="966" t="s">
        <v>1443</v>
      </c>
      <c r="IP35" s="957"/>
      <c r="IQ35" s="959"/>
      <c r="IR35" s="972">
        <f>$K$19</f>
        <v>0.13697777270881656</v>
      </c>
      <c r="IS35" s="966" t="s">
        <v>1444</v>
      </c>
      <c r="IT35" s="957"/>
      <c r="IU35" s="959"/>
      <c r="IV35" s="972">
        <f>$K$19</f>
        <v>0.13697777270881656</v>
      </c>
      <c r="IW35" s="966" t="s">
        <v>1445</v>
      </c>
      <c r="IX35" s="957"/>
      <c r="IY35" s="959"/>
      <c r="IZ35" s="972">
        <f>$K$19</f>
        <v>0.13697777270881656</v>
      </c>
      <c r="JA35" s="966" t="s">
        <v>1446</v>
      </c>
      <c r="JB35" s="957"/>
      <c r="JC35" s="959"/>
      <c r="JD35" s="972">
        <f>$K$19</f>
        <v>0.13697777270881656</v>
      </c>
      <c r="JE35" s="966" t="s">
        <v>1593</v>
      </c>
      <c r="JF35" s="957"/>
      <c r="JG35" s="959"/>
      <c r="JH35" s="972">
        <f>$K$19</f>
        <v>0.13697777270881656</v>
      </c>
      <c r="JI35" s="966" t="s">
        <v>1593</v>
      </c>
      <c r="JJ35" s="957"/>
      <c r="JK35" s="959"/>
      <c r="JL35" s="972">
        <f>$K$19</f>
        <v>0.13697777270881656</v>
      </c>
      <c r="JM35" s="967" t="s">
        <v>1877</v>
      </c>
      <c r="JN35" s="968"/>
      <c r="JO35" s="980"/>
      <c r="JP35" s="972">
        <f>$K$19</f>
        <v>0.13697777270881656</v>
      </c>
      <c r="JQ35" s="967" t="s">
        <v>1877</v>
      </c>
      <c r="JR35" s="960"/>
      <c r="JS35" s="980"/>
      <c r="JT35" s="972">
        <f>$K$19</f>
        <v>0.13697777270881656</v>
      </c>
      <c r="JV35" s="960"/>
      <c r="JW35" s="960"/>
      <c r="JX35" s="972">
        <f>$K$19</f>
        <v>0.13697777270881656</v>
      </c>
      <c r="JY35" s="968" t="s">
        <v>1878</v>
      </c>
      <c r="JZ35" s="960"/>
      <c r="KA35" s="980"/>
      <c r="KB35" s="972">
        <f>$K$19</f>
        <v>0.13697777270881656</v>
      </c>
      <c r="KC35" s="968" t="s">
        <v>1878</v>
      </c>
      <c r="KD35" s="960"/>
      <c r="KE35" s="980"/>
      <c r="KF35" s="972">
        <f>$K$19</f>
        <v>0.13697777270881656</v>
      </c>
      <c r="KG35" s="961" t="s">
        <v>1594</v>
      </c>
      <c r="KH35" s="961"/>
      <c r="KI35" s="961"/>
      <c r="KJ35" s="972">
        <f>$K$19</f>
        <v>0.13697777270881656</v>
      </c>
      <c r="KK35" s="961" t="s">
        <v>1595</v>
      </c>
      <c r="KL35" s="961"/>
      <c r="KM35" s="959"/>
      <c r="KN35" s="972">
        <f>$K$19</f>
        <v>0.13697777270881656</v>
      </c>
      <c r="KO35" s="961" t="s">
        <v>1879</v>
      </c>
      <c r="KP35" s="961"/>
      <c r="KQ35" s="961"/>
      <c r="KR35" s="972">
        <f>$K$19</f>
        <v>0.13697777270881656</v>
      </c>
      <c r="KS35" s="961" t="s">
        <v>1596</v>
      </c>
      <c r="KT35" s="961"/>
      <c r="KU35" s="961"/>
      <c r="KV35" s="972">
        <f>$K$19</f>
        <v>0.13697777270881656</v>
      </c>
      <c r="KW35" s="961" t="s">
        <v>1596</v>
      </c>
      <c r="KX35" s="961"/>
      <c r="KY35" s="969"/>
      <c r="KZ35" s="972">
        <f>$K$19</f>
        <v>0.13697777270881656</v>
      </c>
      <c r="LA35" s="961" t="s">
        <v>1596</v>
      </c>
      <c r="LB35" s="961"/>
      <c r="LC35" s="969"/>
      <c r="LD35" s="972">
        <f>$K$19</f>
        <v>0.13697777270881656</v>
      </c>
      <c r="LE35" s="961" t="s">
        <v>1596</v>
      </c>
      <c r="LF35" s="961"/>
      <c r="LG35" s="961"/>
      <c r="LH35" s="972">
        <f>$K$19</f>
        <v>0.13697777270881656</v>
      </c>
      <c r="LI35" s="961" t="s">
        <v>1596</v>
      </c>
      <c r="LJ35" s="961"/>
      <c r="LK35" s="969"/>
      <c r="LL35" s="972">
        <f>$K$19</f>
        <v>0.13697777270881656</v>
      </c>
      <c r="LM35" s="961" t="s">
        <v>1880</v>
      </c>
      <c r="LN35" s="961"/>
      <c r="LO35" s="969"/>
      <c r="LP35" s="972">
        <f>$K$19</f>
        <v>0.13697777270881656</v>
      </c>
      <c r="LQ35" s="961" t="s">
        <v>1597</v>
      </c>
      <c r="LR35" s="961"/>
      <c r="LS35" s="969"/>
      <c r="LT35" s="972">
        <f>$K$19</f>
        <v>0.13697777270881656</v>
      </c>
      <c r="LU35" s="961" t="s">
        <v>1597</v>
      </c>
      <c r="LV35" s="961"/>
      <c r="LW35" s="969"/>
      <c r="LX35" s="972">
        <f>$K$19</f>
        <v>0.13697777270881656</v>
      </c>
      <c r="LY35" s="961" t="s">
        <v>1597</v>
      </c>
      <c r="LZ35" s="961"/>
      <c r="MA35" s="961"/>
      <c r="MB35" s="972">
        <f>$K$19</f>
        <v>0.13697777270881656</v>
      </c>
      <c r="MC35" s="961" t="s">
        <v>1881</v>
      </c>
      <c r="MD35" s="961"/>
      <c r="ME35" s="961"/>
      <c r="MF35" s="972">
        <f>$K$19</f>
        <v>0.13697777270881656</v>
      </c>
      <c r="MG35" s="961" t="s">
        <v>1881</v>
      </c>
      <c r="MH35" s="961"/>
      <c r="MI35" s="969"/>
      <c r="MJ35" s="972">
        <f>$K$19</f>
        <v>0.13697777270881656</v>
      </c>
      <c r="MK35" s="961"/>
      <c r="ML35" s="961"/>
      <c r="MM35" s="969"/>
      <c r="MN35" s="972">
        <f>$K$19</f>
        <v>0.13697777270881656</v>
      </c>
      <c r="MO35" s="961"/>
      <c r="MP35" s="961"/>
      <c r="MQ35" s="961"/>
      <c r="MR35" s="972">
        <f>$K$19</f>
        <v>0.13697777270881656</v>
      </c>
      <c r="MS35" s="961"/>
      <c r="MT35" s="961"/>
      <c r="MU35" s="969"/>
      <c r="MV35" s="972">
        <f>$K$19</f>
        <v>0.13697777270881656</v>
      </c>
      <c r="MW35" s="961"/>
      <c r="MX35" s="961"/>
      <c r="MY35" s="969"/>
      <c r="MZ35" s="972">
        <f>$K$19</f>
        <v>0.13697777270881656</v>
      </c>
      <c r="NA35" s="961"/>
      <c r="NB35" s="961"/>
      <c r="NC35" s="961"/>
      <c r="ND35" s="972">
        <f>$K$19</f>
        <v>0.13697777270881656</v>
      </c>
      <c r="NE35" s="961" t="s">
        <v>1882</v>
      </c>
      <c r="NF35" s="961"/>
      <c r="NG35" s="969"/>
      <c r="NH35" s="970" t="s">
        <v>253</v>
      </c>
      <c r="NI35" s="971"/>
      <c r="NJ35" s="964"/>
    </row>
    <row r="36" spans="1:377">
      <c r="A36" s="874">
        <v>14</v>
      </c>
      <c r="B36" s="956" t="s">
        <v>273</v>
      </c>
      <c r="C36" s="957"/>
      <c r="D36" s="958">
        <v>0</v>
      </c>
      <c r="E36" s="957"/>
      <c r="F36" s="957"/>
      <c r="G36" s="813"/>
      <c r="H36" s="958">
        <v>0</v>
      </c>
      <c r="I36" s="966"/>
      <c r="J36" s="966"/>
      <c r="K36" s="813"/>
      <c r="L36" s="958">
        <v>0</v>
      </c>
      <c r="M36" s="966" t="s">
        <v>1607</v>
      </c>
      <c r="N36" s="966"/>
      <c r="O36" s="813"/>
      <c r="P36" s="958">
        <v>0</v>
      </c>
      <c r="Q36" s="966" t="s">
        <v>249</v>
      </c>
      <c r="R36" s="957"/>
      <c r="S36" s="959"/>
      <c r="T36" s="958">
        <v>0</v>
      </c>
      <c r="U36" s="966"/>
      <c r="V36" s="957"/>
      <c r="W36" s="959"/>
      <c r="X36" s="958">
        <v>0</v>
      </c>
      <c r="Y36" s="966"/>
      <c r="Z36" s="957"/>
      <c r="AA36" s="959"/>
      <c r="AB36" s="958">
        <v>1.5</v>
      </c>
      <c r="AC36" s="966"/>
      <c r="AD36" s="957"/>
      <c r="AE36" s="959"/>
      <c r="AF36" s="958">
        <v>1.5</v>
      </c>
      <c r="AG36" s="966"/>
      <c r="AH36" s="957"/>
      <c r="AI36" s="959"/>
      <c r="AJ36" s="958">
        <v>1.5</v>
      </c>
      <c r="AK36" s="966"/>
      <c r="AL36" s="957"/>
      <c r="AM36" s="959"/>
      <c r="AN36" s="958">
        <v>1.5</v>
      </c>
      <c r="AO36" s="966"/>
      <c r="AP36" s="957"/>
      <c r="AQ36" s="959"/>
      <c r="AR36" s="958">
        <v>1.5</v>
      </c>
      <c r="AS36" s="966"/>
      <c r="AT36" s="957"/>
      <c r="AU36" s="959"/>
      <c r="AV36" s="958">
        <v>1.5</v>
      </c>
      <c r="AW36" s="966"/>
      <c r="AX36" s="957"/>
      <c r="AY36" s="959"/>
      <c r="AZ36" s="958">
        <v>1.5</v>
      </c>
      <c r="BA36" s="966"/>
      <c r="BB36" s="957"/>
      <c r="BC36" s="959"/>
      <c r="BD36" s="958">
        <v>1.5</v>
      </c>
      <c r="BE36" s="966"/>
      <c r="BF36" s="957"/>
      <c r="BG36" s="959"/>
      <c r="BH36" s="958">
        <v>1.5</v>
      </c>
      <c r="BI36" s="966"/>
      <c r="BJ36" s="957"/>
      <c r="BK36" s="959"/>
      <c r="BL36" s="958">
        <v>1.5</v>
      </c>
      <c r="BM36" s="966"/>
      <c r="BN36" s="957"/>
      <c r="BO36" s="959"/>
      <c r="BP36" s="958">
        <v>1.5</v>
      </c>
      <c r="BQ36" s="966" t="s">
        <v>976</v>
      </c>
      <c r="BR36" s="957"/>
      <c r="BS36" s="959"/>
      <c r="BT36" s="958">
        <v>1.5</v>
      </c>
      <c r="BU36" s="967" t="s">
        <v>976</v>
      </c>
      <c r="BV36" s="960"/>
      <c r="BW36" s="959"/>
      <c r="BX36" s="958">
        <v>1.5</v>
      </c>
      <c r="BY36" s="966" t="s">
        <v>976</v>
      </c>
      <c r="BZ36" s="957"/>
      <c r="CA36" s="959"/>
      <c r="CB36" s="958">
        <v>1.5</v>
      </c>
      <c r="CC36" s="966"/>
      <c r="CD36" s="957"/>
      <c r="CE36" s="959"/>
      <c r="CF36" s="958">
        <v>1.5</v>
      </c>
      <c r="CG36" s="966"/>
      <c r="CH36" s="957"/>
      <c r="CI36" s="814"/>
      <c r="CJ36" s="958">
        <v>1.5</v>
      </c>
      <c r="CK36" s="966"/>
      <c r="CL36" s="957"/>
      <c r="CM36" s="814"/>
      <c r="CN36" s="958">
        <v>1.5</v>
      </c>
      <c r="CO36" s="966"/>
      <c r="CP36" s="957"/>
      <c r="CQ36" s="959"/>
      <c r="CR36" s="958">
        <v>1.5</v>
      </c>
      <c r="CS36" s="966"/>
      <c r="CT36" s="957"/>
      <c r="CU36" s="959"/>
      <c r="CV36" s="958">
        <v>1.5</v>
      </c>
      <c r="CW36" s="966"/>
      <c r="CX36" s="957"/>
      <c r="CY36" s="959"/>
      <c r="CZ36" s="958">
        <v>1.5</v>
      </c>
      <c r="DA36" s="966"/>
      <c r="DB36" s="957"/>
      <c r="DC36" s="959"/>
      <c r="DD36" s="958">
        <v>1.5</v>
      </c>
      <c r="DE36" s="966"/>
      <c r="DF36" s="957"/>
      <c r="DG36" s="959"/>
      <c r="DH36" s="958">
        <v>1.5</v>
      </c>
      <c r="DI36" s="966"/>
      <c r="DJ36" s="957"/>
      <c r="DK36" s="959"/>
      <c r="DL36" s="958">
        <v>1.5</v>
      </c>
      <c r="DM36" s="966"/>
      <c r="DN36" s="957"/>
      <c r="DO36" s="959"/>
      <c r="DP36" s="958">
        <v>1.5</v>
      </c>
      <c r="DQ36" s="966"/>
      <c r="DR36" s="957"/>
      <c r="DS36" s="959"/>
      <c r="DT36" s="958">
        <v>1.25</v>
      </c>
      <c r="DU36" s="966"/>
      <c r="DV36" s="957"/>
      <c r="DW36" s="959"/>
      <c r="DX36" s="958">
        <v>1.25</v>
      </c>
      <c r="DY36" s="966"/>
      <c r="DZ36" s="957"/>
      <c r="EA36" s="959"/>
      <c r="EB36" s="958">
        <v>1.25</v>
      </c>
      <c r="EC36" s="966"/>
      <c r="ED36" s="957"/>
      <c r="EE36" s="959"/>
      <c r="EF36" s="958">
        <v>1.25</v>
      </c>
      <c r="EG36" s="966"/>
      <c r="EH36" s="957"/>
      <c r="EI36" s="959"/>
      <c r="EJ36" s="958">
        <v>1.25</v>
      </c>
      <c r="EK36" s="966"/>
      <c r="EL36" s="957"/>
      <c r="EM36" s="959"/>
      <c r="EN36" s="958">
        <v>1.25</v>
      </c>
      <c r="EO36" s="966" t="s">
        <v>1598</v>
      </c>
      <c r="EP36" s="957"/>
      <c r="EQ36" s="959"/>
      <c r="ER36" s="958">
        <v>1.25</v>
      </c>
      <c r="ES36" s="966" t="s">
        <v>1598</v>
      </c>
      <c r="ET36" s="957"/>
      <c r="EU36" s="959"/>
      <c r="EV36" s="958">
        <v>1.25</v>
      </c>
      <c r="EW36" s="966"/>
      <c r="EX36" s="957"/>
      <c r="EY36" s="959"/>
      <c r="EZ36" s="958">
        <v>1.25</v>
      </c>
      <c r="FA36" s="966"/>
      <c r="FB36" s="957"/>
      <c r="FC36" s="959"/>
      <c r="FD36" s="958">
        <v>1.25</v>
      </c>
      <c r="FE36" s="966"/>
      <c r="FF36" s="957"/>
      <c r="FG36" s="959"/>
      <c r="FH36" s="958">
        <v>1.25</v>
      </c>
      <c r="FI36" s="966"/>
      <c r="FJ36" s="957"/>
      <c r="FK36" s="959"/>
      <c r="FL36" s="958">
        <v>1.25</v>
      </c>
      <c r="FM36" s="966"/>
      <c r="FN36" s="957"/>
      <c r="FO36" s="959"/>
      <c r="FP36" s="958">
        <v>0</v>
      </c>
      <c r="FQ36" s="966"/>
      <c r="FR36" s="957"/>
      <c r="FS36" s="813"/>
      <c r="FT36" s="958">
        <v>0</v>
      </c>
      <c r="FU36" s="966"/>
      <c r="FV36" s="957"/>
      <c r="FW36" s="959"/>
      <c r="FX36" s="958">
        <v>0</v>
      </c>
      <c r="FY36" s="966" t="s">
        <v>1052</v>
      </c>
      <c r="FZ36" s="957"/>
      <c r="GA36" s="959"/>
      <c r="GB36" s="958">
        <v>0</v>
      </c>
      <c r="GC36" s="966"/>
      <c r="GD36" s="957"/>
      <c r="GE36" s="959"/>
      <c r="GF36" s="958">
        <v>1.25</v>
      </c>
      <c r="GG36" s="966"/>
      <c r="GH36" s="957"/>
      <c r="GI36" s="959"/>
      <c r="GJ36" s="958">
        <v>0</v>
      </c>
      <c r="GK36" s="966" t="s">
        <v>988</v>
      </c>
      <c r="GL36" s="957"/>
      <c r="GM36" s="959"/>
      <c r="GN36" s="958">
        <v>0</v>
      </c>
      <c r="GO36" s="966"/>
      <c r="GP36" s="957"/>
      <c r="GQ36" s="959"/>
      <c r="GR36" s="958">
        <v>0</v>
      </c>
      <c r="GS36" s="966"/>
      <c r="GT36" s="957"/>
      <c r="GU36" s="959"/>
      <c r="GV36" s="958">
        <v>0</v>
      </c>
      <c r="GW36" s="966"/>
      <c r="GX36" s="957"/>
      <c r="GY36" s="959"/>
      <c r="GZ36" s="958">
        <v>0</v>
      </c>
      <c r="HA36" s="966"/>
      <c r="HB36" s="957"/>
      <c r="HC36" s="959"/>
      <c r="HD36" s="958">
        <v>0</v>
      </c>
      <c r="HE36" s="966"/>
      <c r="HF36" s="957"/>
      <c r="HG36" s="959"/>
      <c r="HH36" s="958">
        <v>0</v>
      </c>
      <c r="HI36" s="966"/>
      <c r="HJ36" s="957"/>
      <c r="HK36" s="959"/>
      <c r="HL36" s="958">
        <v>0</v>
      </c>
      <c r="HM36" s="966"/>
      <c r="HN36" s="957"/>
      <c r="HO36" s="959"/>
      <c r="HP36" s="958">
        <v>0</v>
      </c>
      <c r="HQ36" s="966"/>
      <c r="HR36" s="957"/>
      <c r="HS36" s="959"/>
      <c r="HT36" s="958">
        <v>0</v>
      </c>
      <c r="HU36" s="966"/>
      <c r="HV36" s="957"/>
      <c r="HW36" s="959"/>
      <c r="HX36" s="958">
        <v>0</v>
      </c>
      <c r="HY36" s="966"/>
      <c r="HZ36" s="957"/>
      <c r="IA36" s="959"/>
      <c r="IB36" s="958">
        <v>0</v>
      </c>
      <c r="IC36" s="966" t="s">
        <v>1447</v>
      </c>
      <c r="ID36" s="957"/>
      <c r="IE36" s="959"/>
      <c r="IF36" s="958">
        <v>0</v>
      </c>
      <c r="IG36" s="966" t="s">
        <v>630</v>
      </c>
      <c r="IH36" s="957"/>
      <c r="II36" s="959"/>
      <c r="IJ36" s="958">
        <v>0</v>
      </c>
      <c r="IK36" s="966"/>
      <c r="IL36" s="957"/>
      <c r="IM36" s="959"/>
      <c r="IN36" s="958">
        <v>0</v>
      </c>
      <c r="IO36" s="966" t="s">
        <v>1448</v>
      </c>
      <c r="IP36" s="957"/>
      <c r="IQ36" s="959"/>
      <c r="IR36" s="958">
        <v>0</v>
      </c>
      <c r="IS36" s="966" t="s">
        <v>1449</v>
      </c>
      <c r="IT36" s="957"/>
      <c r="IU36" s="959"/>
      <c r="IV36" s="958">
        <v>0</v>
      </c>
      <c r="IW36" s="966" t="s">
        <v>1450</v>
      </c>
      <c r="IX36" s="957"/>
      <c r="IY36" s="959"/>
      <c r="IZ36" s="958">
        <v>0</v>
      </c>
      <c r="JA36" s="966" t="s">
        <v>1450</v>
      </c>
      <c r="JB36" s="957"/>
      <c r="JC36" s="959"/>
      <c r="JD36" s="958">
        <v>0</v>
      </c>
      <c r="JE36" s="966" t="s">
        <v>1599</v>
      </c>
      <c r="JF36" s="957"/>
      <c r="JG36" s="959"/>
      <c r="JH36" s="958">
        <v>0</v>
      </c>
      <c r="JI36" s="966" t="s">
        <v>1599</v>
      </c>
      <c r="JJ36" s="957"/>
      <c r="JK36" s="959"/>
      <c r="JL36" s="958">
        <v>0</v>
      </c>
      <c r="JM36" s="967" t="s">
        <v>1883</v>
      </c>
      <c r="JN36" s="968"/>
      <c r="JO36" s="980"/>
      <c r="JP36" s="958">
        <v>0</v>
      </c>
      <c r="JQ36" s="967" t="s">
        <v>1883</v>
      </c>
      <c r="JR36" s="960"/>
      <c r="JS36" s="980"/>
      <c r="JT36" s="958">
        <v>0</v>
      </c>
      <c r="JV36" s="960"/>
      <c r="JW36" s="960"/>
      <c r="JX36" s="958">
        <v>0</v>
      </c>
      <c r="JY36" s="968" t="s">
        <v>1884</v>
      </c>
      <c r="JZ36" s="960"/>
      <c r="KA36" s="980"/>
      <c r="KB36" s="958">
        <v>0</v>
      </c>
      <c r="KC36" s="968" t="s">
        <v>1884</v>
      </c>
      <c r="KD36" s="960"/>
      <c r="KE36" s="980"/>
      <c r="KF36" s="958">
        <v>0</v>
      </c>
      <c r="KG36" s="961"/>
      <c r="KH36" s="961"/>
      <c r="KI36" s="961"/>
      <c r="KJ36" s="958">
        <v>0</v>
      </c>
      <c r="KK36" s="961" t="s">
        <v>1600</v>
      </c>
      <c r="KL36" s="961"/>
      <c r="KM36" s="959"/>
      <c r="KN36" s="958">
        <v>0</v>
      </c>
      <c r="KO36" s="961"/>
      <c r="KP36" s="961"/>
      <c r="KQ36" s="961"/>
      <c r="KR36" s="958">
        <v>0</v>
      </c>
      <c r="KS36" s="961"/>
      <c r="KT36" s="961"/>
      <c r="KU36" s="961"/>
      <c r="KV36" s="958">
        <v>0</v>
      </c>
      <c r="KW36" s="961"/>
      <c r="KX36" s="961"/>
      <c r="KY36" s="969"/>
      <c r="KZ36" s="958">
        <v>0</v>
      </c>
      <c r="LA36" s="961"/>
      <c r="LB36" s="961"/>
      <c r="LC36" s="969"/>
      <c r="LD36" s="958">
        <v>0</v>
      </c>
      <c r="LE36" s="961"/>
      <c r="LF36" s="961"/>
      <c r="LG36" s="961"/>
      <c r="LH36" s="958">
        <v>0</v>
      </c>
      <c r="LI36" s="961"/>
      <c r="LJ36" s="961"/>
      <c r="LK36" s="969"/>
      <c r="LL36" s="958">
        <v>0</v>
      </c>
      <c r="LM36" s="961"/>
      <c r="LN36" s="961"/>
      <c r="LO36" s="969"/>
      <c r="LP36" s="958">
        <v>0</v>
      </c>
      <c r="LQ36" s="961"/>
      <c r="LR36" s="961"/>
      <c r="LS36" s="969"/>
      <c r="LT36" s="958">
        <v>0</v>
      </c>
      <c r="LU36" s="961"/>
      <c r="LV36" s="961"/>
      <c r="LW36" s="969"/>
      <c r="LX36" s="958">
        <v>0</v>
      </c>
      <c r="LY36" s="961"/>
      <c r="LZ36" s="961"/>
      <c r="MA36" s="961"/>
      <c r="MB36" s="958">
        <v>0</v>
      </c>
      <c r="MC36" s="961"/>
      <c r="MD36" s="961"/>
      <c r="ME36" s="961"/>
      <c r="MF36" s="958">
        <v>0</v>
      </c>
      <c r="MG36" s="961"/>
      <c r="MH36" s="961"/>
      <c r="MI36" s="969"/>
      <c r="MJ36" s="958">
        <v>0</v>
      </c>
      <c r="MK36" s="961"/>
      <c r="ML36" s="961"/>
      <c r="MM36" s="969"/>
      <c r="MN36" s="958">
        <v>0</v>
      </c>
      <c r="MO36" s="961"/>
      <c r="MP36" s="961"/>
      <c r="MQ36" s="961"/>
      <c r="MR36" s="958">
        <v>0</v>
      </c>
      <c r="MS36" s="961"/>
      <c r="MT36" s="961"/>
      <c r="MU36" s="969"/>
      <c r="MV36" s="958">
        <v>0</v>
      </c>
      <c r="MW36" s="961"/>
      <c r="MX36" s="961"/>
      <c r="MY36" s="969"/>
      <c r="MZ36" s="958">
        <v>0</v>
      </c>
      <c r="NA36" s="961"/>
      <c r="NB36" s="961"/>
      <c r="NC36" s="961"/>
      <c r="ND36" s="958">
        <v>0</v>
      </c>
      <c r="NE36" s="961" t="s">
        <v>1885</v>
      </c>
      <c r="NF36" s="961"/>
      <c r="NG36" s="969"/>
      <c r="NH36" s="970"/>
      <c r="NI36" s="971"/>
      <c r="NJ36" s="964"/>
    </row>
    <row r="37" spans="1:377">
      <c r="A37" s="874">
        <v>15</v>
      </c>
      <c r="B37" s="956" t="s">
        <v>272</v>
      </c>
      <c r="C37" s="957"/>
      <c r="D37" s="816">
        <f>+D35+(D36*$K$21)</f>
        <v>0.13697777270881656</v>
      </c>
      <c r="E37" s="957"/>
      <c r="F37" s="957"/>
      <c r="G37" s="813"/>
      <c r="H37" s="816">
        <f>+H35+(H36*$K$21)</f>
        <v>0.13697777270881656</v>
      </c>
      <c r="I37" s="966"/>
      <c r="J37" s="966"/>
      <c r="K37" s="813"/>
      <c r="L37" s="816">
        <f>+L35+(L36*$K$21)</f>
        <v>0.13697777270881656</v>
      </c>
      <c r="M37" s="966"/>
      <c r="N37" s="966"/>
      <c r="O37" s="813"/>
      <c r="P37" s="816">
        <f>+P35+(P36*$K$21)</f>
        <v>0.13697777270881656</v>
      </c>
      <c r="Q37" s="966"/>
      <c r="R37" s="957"/>
      <c r="S37" s="959"/>
      <c r="T37" s="816">
        <f>+T35+(T36*$K$21)</f>
        <v>0.13697777270881656</v>
      </c>
      <c r="U37" s="966"/>
      <c r="V37" s="957"/>
      <c r="W37" s="959"/>
      <c r="X37" s="816">
        <f>+X35+(X36*$K$21)</f>
        <v>0.13697777270881656</v>
      </c>
      <c r="Y37" s="966" t="s">
        <v>1044</v>
      </c>
      <c r="Z37" s="957"/>
      <c r="AA37" s="959"/>
      <c r="AB37" s="816">
        <f>+AB35+(AB36*$K$21)</f>
        <v>0.14847130686387733</v>
      </c>
      <c r="AC37" s="966" t="s">
        <v>977</v>
      </c>
      <c r="AD37" s="957"/>
      <c r="AE37" s="959"/>
      <c r="AF37" s="816">
        <f>+AF35+(AF36*$K$21)</f>
        <v>0.14847130686387733</v>
      </c>
      <c r="AG37" s="966" t="s">
        <v>1191</v>
      </c>
      <c r="AH37" s="957"/>
      <c r="AI37" s="959"/>
      <c r="AJ37" s="816">
        <f>+AJ35+(AJ36*$K$21)</f>
        <v>0.14847130686387733</v>
      </c>
      <c r="AK37" s="966" t="s">
        <v>1175</v>
      </c>
      <c r="AL37" s="957"/>
      <c r="AM37" s="959"/>
      <c r="AN37" s="816">
        <f>+AN35+(AN36*$K$21)</f>
        <v>0.14847130686387733</v>
      </c>
      <c r="AO37" s="966" t="s">
        <v>1176</v>
      </c>
      <c r="AP37" s="957"/>
      <c r="AQ37" s="959"/>
      <c r="AR37" s="816">
        <f>+AR35+(AR36*$K$21)</f>
        <v>0.14847130686387733</v>
      </c>
      <c r="AS37" s="966" t="s">
        <v>1177</v>
      </c>
      <c r="AT37" s="957"/>
      <c r="AU37" s="959"/>
      <c r="AV37" s="816">
        <f>+AV35+(AV36*$K$21)</f>
        <v>0.14847130686387733</v>
      </c>
      <c r="AW37" s="817" t="s">
        <v>1178</v>
      </c>
      <c r="AX37" s="957"/>
      <c r="AY37" s="959"/>
      <c r="AZ37" s="816">
        <f>+AZ35+(AZ36*$K$21)</f>
        <v>0.14847130686387733</v>
      </c>
      <c r="BA37" s="966" t="s">
        <v>1179</v>
      </c>
      <c r="BB37" s="957"/>
      <c r="BC37" s="959"/>
      <c r="BD37" s="816">
        <f>+BD35+(BD36*$K$21)</f>
        <v>0.14847130686387733</v>
      </c>
      <c r="BE37" s="966" t="s">
        <v>1180</v>
      </c>
      <c r="BF37" s="957"/>
      <c r="BG37" s="959"/>
      <c r="BH37" s="816">
        <f>+BH35+(BH36*$K$21)</f>
        <v>0.14847130686387733</v>
      </c>
      <c r="BJ37" s="957"/>
      <c r="BK37" s="959"/>
      <c r="BL37" s="816">
        <f>+BL35+(BL36*$K$21)</f>
        <v>0.14847130686387733</v>
      </c>
      <c r="BM37" s="966"/>
      <c r="BN37" s="957"/>
      <c r="BO37" s="959"/>
      <c r="BP37" s="816">
        <f>+BP35+(BP36*$K$21)</f>
        <v>0.14847130686387733</v>
      </c>
      <c r="BQ37" s="966"/>
      <c r="BR37" s="957"/>
      <c r="BS37" s="959"/>
      <c r="BT37" s="816">
        <f>+BT35+(BT36*$K$21)</f>
        <v>0.14847130686387733</v>
      </c>
      <c r="BU37" s="966"/>
      <c r="BV37" s="957"/>
      <c r="BW37" s="959"/>
      <c r="BX37" s="816">
        <f>+BX35+(BX36*$K$21)</f>
        <v>0.14847130686387733</v>
      </c>
      <c r="BY37" s="966"/>
      <c r="BZ37" s="957"/>
      <c r="CA37" s="959"/>
      <c r="CB37" s="816">
        <f>+CB35+(CB36*$K$21)</f>
        <v>0.14847130686387733</v>
      </c>
      <c r="CC37" s="966"/>
      <c r="CD37" s="957"/>
      <c r="CE37" s="959"/>
      <c r="CF37" s="816">
        <f>+CF35+(CF36*$K$21)</f>
        <v>0.14847130686387733</v>
      </c>
      <c r="CG37" s="966"/>
      <c r="CH37" s="957"/>
      <c r="CI37" s="814"/>
      <c r="CJ37" s="816">
        <f>+CJ35+(CJ36*$K$21)</f>
        <v>0.14847130686387733</v>
      </c>
      <c r="CK37" s="966"/>
      <c r="CL37" s="957"/>
      <c r="CM37" s="814"/>
      <c r="CN37" s="816">
        <f>+CN35+(CN36*$K$21)</f>
        <v>0.14847130686387733</v>
      </c>
      <c r="CO37" s="966"/>
      <c r="CP37" s="957"/>
      <c r="CQ37" s="959"/>
      <c r="CR37" s="816">
        <f>+CR35+(CR36*$K$21)</f>
        <v>0.14847130686387733</v>
      </c>
      <c r="CS37" s="966"/>
      <c r="CT37" s="957"/>
      <c r="CU37" s="959"/>
      <c r="CV37" s="816">
        <f>+CV35+(CV36*$K$21)</f>
        <v>0.14847130686387733</v>
      </c>
      <c r="CW37" s="966"/>
      <c r="CX37" s="957"/>
      <c r="CY37" s="959"/>
      <c r="CZ37" s="816">
        <f>+CZ35+(CZ36*$K$21)</f>
        <v>0.14847130686387733</v>
      </c>
      <c r="DA37" s="966"/>
      <c r="DB37" s="957"/>
      <c r="DC37" s="959"/>
      <c r="DD37" s="816">
        <f>+DD35+(DD36*$K$21)</f>
        <v>0.14847130686387733</v>
      </c>
      <c r="DE37" s="966"/>
      <c r="DF37" s="957"/>
      <c r="DG37" s="959"/>
      <c r="DH37" s="816">
        <f>+DH35+(DH36*$K$21)</f>
        <v>0.14847130686387733</v>
      </c>
      <c r="DI37" s="966"/>
      <c r="DJ37" s="957"/>
      <c r="DK37" s="959"/>
      <c r="DL37" s="816">
        <f>+DL35+(DL36*$K$21)</f>
        <v>0.14847130686387733</v>
      </c>
      <c r="DM37" s="966"/>
      <c r="DN37" s="957"/>
      <c r="DO37" s="959"/>
      <c r="DP37" s="816">
        <f>+DP35+(DP36*$K$21)</f>
        <v>0.14847130686387733</v>
      </c>
      <c r="DQ37" s="966"/>
      <c r="DR37" s="957"/>
      <c r="DS37" s="959"/>
      <c r="DT37" s="816">
        <f>+DT35+(DT36*$K$21)</f>
        <v>0.14655571783803387</v>
      </c>
      <c r="DU37" s="966"/>
      <c r="DV37" s="957"/>
      <c r="DW37" s="959"/>
      <c r="DX37" s="816">
        <f>+DX35+(DX36*$K$21)</f>
        <v>0.14655571783803387</v>
      </c>
      <c r="DY37" s="966"/>
      <c r="DZ37" s="957"/>
      <c r="EA37" s="959"/>
      <c r="EB37" s="816">
        <f>+EB35+(EB36*$K$21)</f>
        <v>0.14655571783803387</v>
      </c>
      <c r="EC37" s="966"/>
      <c r="ED37" s="957"/>
      <c r="EE37" s="959"/>
      <c r="EF37" s="816">
        <f>+EF35+(EF36*$K$21)</f>
        <v>0.14655571783803387</v>
      </c>
      <c r="EG37" s="966"/>
      <c r="EH37" s="957"/>
      <c r="EI37" s="959"/>
      <c r="EJ37" s="816">
        <f>+EJ35+(EJ36*$K$21)</f>
        <v>0.14655571783803387</v>
      </c>
      <c r="EK37" s="966"/>
      <c r="EL37" s="957"/>
      <c r="EM37" s="959"/>
      <c r="EN37" s="816">
        <f>+EN35+(EN36*$K$21)</f>
        <v>0.14655571783803387</v>
      </c>
      <c r="EO37" s="966" t="s">
        <v>1601</v>
      </c>
      <c r="EP37" s="957"/>
      <c r="EQ37" s="959"/>
      <c r="ER37" s="816">
        <f>+ER35+(ER36*$K$21)</f>
        <v>0.14655571783803387</v>
      </c>
      <c r="ES37" s="966" t="s">
        <v>1601</v>
      </c>
      <c r="ET37" s="957"/>
      <c r="EU37" s="959"/>
      <c r="EV37" s="816">
        <f>+EV35+(EV36*$K$21)</f>
        <v>0.14655571783803387</v>
      </c>
      <c r="EW37" s="966"/>
      <c r="EX37" s="957"/>
      <c r="EY37" s="959"/>
      <c r="EZ37" s="816">
        <f>+EZ35+(EZ36*$K$21)</f>
        <v>0.14655571783803387</v>
      </c>
      <c r="FA37" s="966"/>
      <c r="FB37" s="957"/>
      <c r="FC37" s="959"/>
      <c r="FD37" s="816">
        <f>+FD35+(FD36*$K$21)</f>
        <v>0.14655571783803387</v>
      </c>
      <c r="FE37" s="966"/>
      <c r="FF37" s="957"/>
      <c r="FG37" s="959"/>
      <c r="FH37" s="816">
        <f>+FH35+(FH36*$K$21)</f>
        <v>0.14655571783803387</v>
      </c>
      <c r="FI37" s="966"/>
      <c r="FJ37" s="957"/>
      <c r="FK37" s="959"/>
      <c r="FL37" s="816">
        <f>+FL35+(FL36*$K$21)</f>
        <v>0.14655571783803387</v>
      </c>
      <c r="FM37" s="966"/>
      <c r="FN37" s="957"/>
      <c r="FO37" s="959"/>
      <c r="FP37" s="974">
        <f>+FP35+(FP36*$K$19)</f>
        <v>0.13697777270881656</v>
      </c>
      <c r="FQ37" s="966"/>
      <c r="FR37" s="957"/>
      <c r="FS37" s="813"/>
      <c r="FT37" s="816">
        <f>+FT35+(FT36*$K$19)</f>
        <v>0.13697777270881656</v>
      </c>
      <c r="FU37" s="966"/>
      <c r="FV37" s="957"/>
      <c r="FW37" s="959"/>
      <c r="FX37" s="816">
        <f>+FX35+(FX36*$K$19)</f>
        <v>0.13697777270881656</v>
      </c>
      <c r="FY37" s="966"/>
      <c r="FZ37" s="957"/>
      <c r="GA37" s="959"/>
      <c r="GB37" s="816">
        <f>+GB35+(GB36*$K$19)</f>
        <v>0.13697777270881656</v>
      </c>
      <c r="GC37" s="966"/>
      <c r="GD37" s="957"/>
      <c r="GE37" s="959"/>
      <c r="GF37" s="816">
        <f>+GF35+(GF36*$K$21)</f>
        <v>0.14655571783803387</v>
      </c>
      <c r="GG37" s="966"/>
      <c r="GH37" s="957"/>
      <c r="GI37" s="959"/>
      <c r="GJ37" s="816">
        <f>+GJ35+(GJ36*$K$21)</f>
        <v>0.13697777270881656</v>
      </c>
      <c r="GK37" s="966"/>
      <c r="GL37" s="957"/>
      <c r="GM37" s="959"/>
      <c r="GN37" s="816">
        <f>+GN35+(GN36*$K$21)</f>
        <v>0.13697777270881656</v>
      </c>
      <c r="GO37" s="966"/>
      <c r="GP37" s="957"/>
      <c r="GQ37" s="959"/>
      <c r="GR37" s="816">
        <f>+GR35+(GR36*$K$21)</f>
        <v>0.13697777270881656</v>
      </c>
      <c r="GS37" s="966"/>
      <c r="GT37" s="957"/>
      <c r="GU37" s="959"/>
      <c r="GV37" s="816">
        <f>+GV35+(GV36*$K$21)</f>
        <v>0.13697777270881656</v>
      </c>
      <c r="GW37" s="966"/>
      <c r="GX37" s="957"/>
      <c r="GY37" s="959"/>
      <c r="GZ37" s="816">
        <f>+GZ35+(GZ36*$K$21)</f>
        <v>0.13697777270881656</v>
      </c>
      <c r="HA37" s="966"/>
      <c r="HB37" s="957"/>
      <c r="HC37" s="959"/>
      <c r="HD37" s="816">
        <f>+HD35+(HD36*$K$21)</f>
        <v>0.13697777270881656</v>
      </c>
      <c r="HE37" s="966"/>
      <c r="HF37" s="957"/>
      <c r="HG37" s="959"/>
      <c r="HH37" s="816">
        <f>+HH35+(HH36*$K$21)</f>
        <v>0.13697777270881656</v>
      </c>
      <c r="HI37" s="966"/>
      <c r="HJ37" s="957"/>
      <c r="HK37" s="959"/>
      <c r="HL37" s="816">
        <f>+HL35+(HL36*$K$21)</f>
        <v>0.13697777270881656</v>
      </c>
      <c r="HM37" s="966"/>
      <c r="HN37" s="957"/>
      <c r="HO37" s="959"/>
      <c r="HP37" s="816">
        <f>+HP35+(HP36*$K$21)</f>
        <v>0.13697777270881656</v>
      </c>
      <c r="HQ37" s="966"/>
      <c r="HR37" s="957"/>
      <c r="HS37" s="959"/>
      <c r="HT37" s="816">
        <f>+HT35+(HT36*$K$21)</f>
        <v>0.13697777270881656</v>
      </c>
      <c r="HU37" s="966"/>
      <c r="HV37" s="957"/>
      <c r="HW37" s="959"/>
      <c r="HX37" s="816">
        <f>+HX35+(HX36*$K$21)</f>
        <v>0.13697777270881656</v>
      </c>
      <c r="HY37" s="966"/>
      <c r="HZ37" s="957"/>
      <c r="IA37" s="959"/>
      <c r="IB37" s="816">
        <f>+IB35+(IB36*$K$21)</f>
        <v>0.13697777270881656</v>
      </c>
      <c r="IC37" s="966"/>
      <c r="ID37" s="957"/>
      <c r="IE37" s="959"/>
      <c r="IF37" s="816">
        <f>+IF35+(IF36*$K$21)</f>
        <v>0.13697777270881656</v>
      </c>
      <c r="IG37" s="966" t="s">
        <v>1602</v>
      </c>
      <c r="IH37" s="957"/>
      <c r="II37" s="959"/>
      <c r="IJ37" s="816">
        <f>+IJ35+(IJ36*$K$21)</f>
        <v>0.13697777270881656</v>
      </c>
      <c r="IK37" s="966" t="s">
        <v>1603</v>
      </c>
      <c r="IL37" s="957"/>
      <c r="IM37" s="959"/>
      <c r="IN37" s="816">
        <f>+IN35+(IN36*$K$21)</f>
        <v>0.13697777270881656</v>
      </c>
      <c r="IO37" s="966" t="s">
        <v>1450</v>
      </c>
      <c r="IP37" s="957"/>
      <c r="IQ37" s="959"/>
      <c r="IR37" s="816">
        <f>+IR35+(IR36*$K$21)</f>
        <v>0.13697777270881656</v>
      </c>
      <c r="IS37" s="966" t="s">
        <v>1450</v>
      </c>
      <c r="IT37" s="957"/>
      <c r="IU37" s="959"/>
      <c r="IV37" s="816">
        <f>+IV35+(IV36*$K$21)</f>
        <v>0.13697777270881656</v>
      </c>
      <c r="IW37" s="966"/>
      <c r="IX37" s="957"/>
      <c r="IY37" s="959"/>
      <c r="IZ37" s="816">
        <f>+IZ35+(IZ36*$K$21)</f>
        <v>0.13697777270881656</v>
      </c>
      <c r="JA37" s="966"/>
      <c r="JB37" s="957"/>
      <c r="JC37" s="959"/>
      <c r="JD37" s="816">
        <f>+JD35+(JD36*$K$21)</f>
        <v>0.13697777270881656</v>
      </c>
      <c r="JE37" s="966"/>
      <c r="JF37" s="957"/>
      <c r="JG37" s="959"/>
      <c r="JH37" s="816">
        <f>+JH35+(JH36*$K$21)</f>
        <v>0.13697777270881656</v>
      </c>
      <c r="JI37" s="966"/>
      <c r="JJ37" s="957"/>
      <c r="JK37" s="959"/>
      <c r="JL37" s="816">
        <f>+JL35+(JL36*$K$21)</f>
        <v>0.13697777270881656</v>
      </c>
      <c r="JM37" s="960"/>
      <c r="JN37" s="960"/>
      <c r="JO37" s="980"/>
      <c r="JP37" s="816">
        <f>+JP35+(JP36*$K$21)</f>
        <v>0.13697777270881656</v>
      </c>
      <c r="JQ37" s="960"/>
      <c r="JR37" s="960"/>
      <c r="JS37" s="980"/>
      <c r="JT37" s="816">
        <f>+JT35+(JT36*$K$21)</f>
        <v>0.13697777270881656</v>
      </c>
      <c r="JU37" s="960"/>
      <c r="JV37" s="960"/>
      <c r="JW37" s="960"/>
      <c r="JX37" s="816">
        <f>+JX35+(JX36*$K$21)</f>
        <v>0.13697777270881656</v>
      </c>
      <c r="JY37" s="960"/>
      <c r="JZ37" s="960"/>
      <c r="KA37" s="980"/>
      <c r="KB37" s="816">
        <f>+KB35+(KB36*$K$21)</f>
        <v>0.13697777270881656</v>
      </c>
      <c r="KC37" s="960"/>
      <c r="KD37" s="960"/>
      <c r="KE37" s="980"/>
      <c r="KF37" s="816">
        <f>+KF35+(KF36*$K$21)</f>
        <v>0.13697777270881656</v>
      </c>
      <c r="KG37" s="966"/>
      <c r="KH37" s="957"/>
      <c r="KI37" s="959"/>
      <c r="KJ37" s="816">
        <f>+KJ35+(KJ36*$K$21)</f>
        <v>0.13697777270881656</v>
      </c>
      <c r="KK37" s="961"/>
      <c r="KL37" s="961"/>
      <c r="KM37" s="959"/>
      <c r="KN37" s="816">
        <f>+KN35+(KN36*$K$21)</f>
        <v>0.13697777270881656</v>
      </c>
      <c r="KO37" s="961"/>
      <c r="KP37" s="961"/>
      <c r="KQ37" s="961"/>
      <c r="KR37" s="816">
        <f>+KR35+(KR36*$K$21)</f>
        <v>0.13697777270881656</v>
      </c>
      <c r="KS37" s="961"/>
      <c r="KT37" s="961"/>
      <c r="KU37" s="961"/>
      <c r="KV37" s="816">
        <f>+KV35+(KV36*$K$21)</f>
        <v>0.13697777270881656</v>
      </c>
      <c r="KW37" s="961"/>
      <c r="KX37" s="961"/>
      <c r="KY37" s="969"/>
      <c r="KZ37" s="816">
        <f>+KZ35+(KZ36*$K$21)</f>
        <v>0.13697777270881656</v>
      </c>
      <c r="LA37" s="961"/>
      <c r="LB37" s="961"/>
      <c r="LC37" s="969"/>
      <c r="LD37" s="816">
        <f>+LD35+(LD36*$K$21)</f>
        <v>0.13697777270881656</v>
      </c>
      <c r="LE37" s="961"/>
      <c r="LF37" s="961"/>
      <c r="LG37" s="961"/>
      <c r="LH37" s="816">
        <f>+LH35+(LH36*$K$21)</f>
        <v>0.13697777270881656</v>
      </c>
      <c r="LI37" s="961"/>
      <c r="LJ37" s="961"/>
      <c r="LK37" s="969"/>
      <c r="LL37" s="816">
        <f>+LL35+(LL36*$K$21)</f>
        <v>0.13697777270881656</v>
      </c>
      <c r="LM37" s="961"/>
      <c r="LN37" s="961"/>
      <c r="LO37" s="969"/>
      <c r="LP37" s="816">
        <f>+LP35+(LP36*$K$21)</f>
        <v>0.13697777270881656</v>
      </c>
      <c r="LQ37" s="961"/>
      <c r="LR37" s="961"/>
      <c r="LS37" s="969"/>
      <c r="LT37" s="816">
        <f>+LT35+(LT36*$K$21)</f>
        <v>0.13697777270881656</v>
      </c>
      <c r="LU37" s="961"/>
      <c r="LV37" s="961"/>
      <c r="LW37" s="969"/>
      <c r="LX37" s="816">
        <f>+LX35+(LX36*$K$21)</f>
        <v>0.13697777270881656</v>
      </c>
      <c r="LY37" s="961"/>
      <c r="LZ37" s="961"/>
      <c r="MA37" s="961"/>
      <c r="MB37" s="816">
        <f>+MB35+(MB36*$K$21)</f>
        <v>0.13697777270881656</v>
      </c>
      <c r="MC37" s="961"/>
      <c r="MD37" s="961"/>
      <c r="ME37" s="961"/>
      <c r="MF37" s="816">
        <f>+MF35+(MF36*$K$21)</f>
        <v>0.13697777270881656</v>
      </c>
      <c r="MG37" s="961"/>
      <c r="MH37" s="961"/>
      <c r="MI37" s="969"/>
      <c r="MJ37" s="816">
        <f>+MJ35+(MJ36*$K$21)</f>
        <v>0.13697777270881656</v>
      </c>
      <c r="MK37" s="961"/>
      <c r="ML37" s="961"/>
      <c r="MM37" s="969"/>
      <c r="MN37" s="816">
        <f>+MN35+(MN36*$K$21)</f>
        <v>0.13697777270881656</v>
      </c>
      <c r="MO37" s="961"/>
      <c r="MP37" s="961"/>
      <c r="MQ37" s="961"/>
      <c r="MR37" s="816">
        <f>+MR35+(MR36*$K$21)</f>
        <v>0.13697777270881656</v>
      </c>
      <c r="MS37" s="961"/>
      <c r="MT37" s="961"/>
      <c r="MU37" s="969"/>
      <c r="MV37" s="816">
        <f>+MV35+(MV36*$K$21)</f>
        <v>0.13697777270881656</v>
      </c>
      <c r="MW37" s="961"/>
      <c r="MX37" s="961"/>
      <c r="MY37" s="969"/>
      <c r="MZ37" s="816">
        <f>+MZ35+(MZ36*$K$21)</f>
        <v>0.13697777270881656</v>
      </c>
      <c r="NA37" s="961"/>
      <c r="NB37" s="961"/>
      <c r="NC37" s="961"/>
      <c r="ND37" s="816">
        <f>+ND35+(ND36*$K$21)</f>
        <v>0.13697777270881656</v>
      </c>
      <c r="NE37" s="961" t="s">
        <v>1886</v>
      </c>
      <c r="NF37" s="961"/>
      <c r="NG37" s="969"/>
      <c r="NH37" s="970"/>
      <c r="NI37" s="971"/>
      <c r="NJ37" s="964"/>
    </row>
    <row r="38" spans="1:377">
      <c r="A38" s="874">
        <v>16</v>
      </c>
      <c r="B38" s="956" t="s">
        <v>90</v>
      </c>
      <c r="C38" s="957"/>
      <c r="D38" s="818">
        <v>1911923</v>
      </c>
      <c r="E38" s="817"/>
      <c r="F38" s="817"/>
      <c r="G38" s="819"/>
      <c r="H38" s="820">
        <v>1076817</v>
      </c>
      <c r="I38" s="817"/>
      <c r="J38" s="817"/>
      <c r="K38" s="819"/>
      <c r="L38" s="820">
        <v>591996</v>
      </c>
      <c r="M38" s="817"/>
      <c r="N38" s="817"/>
      <c r="O38" s="819"/>
      <c r="P38" s="820">
        <v>8222247</v>
      </c>
      <c r="Q38" s="817"/>
      <c r="R38" s="817"/>
      <c r="S38" s="819"/>
      <c r="T38" s="820">
        <v>7184742</v>
      </c>
      <c r="U38" s="817"/>
      <c r="V38" s="817"/>
      <c r="W38" s="819"/>
      <c r="X38" s="820">
        <v>2414294</v>
      </c>
      <c r="Y38" s="817"/>
      <c r="Z38" s="817"/>
      <c r="AA38" s="819"/>
      <c r="AB38" s="820">
        <v>21850320</v>
      </c>
      <c r="AC38" s="817"/>
      <c r="AD38" s="817"/>
      <c r="AE38" s="819"/>
      <c r="AF38" s="820">
        <v>45089209</v>
      </c>
      <c r="AG38" s="817"/>
      <c r="AH38" s="817"/>
      <c r="AI38" s="819"/>
      <c r="AJ38" s="820">
        <v>13581000</v>
      </c>
      <c r="AK38" s="817"/>
      <c r="AL38" s="817"/>
      <c r="AM38" s="819"/>
      <c r="AN38" s="820">
        <v>11224281.67</v>
      </c>
      <c r="AO38" s="817"/>
      <c r="AP38" s="817"/>
      <c r="AQ38" s="819"/>
      <c r="AR38" s="820">
        <v>14655559</v>
      </c>
      <c r="AS38" s="817"/>
      <c r="AT38" s="817"/>
      <c r="AU38" s="819"/>
      <c r="AV38" s="820">
        <v>16900800</v>
      </c>
      <c r="AW38" s="817"/>
      <c r="AX38" s="817"/>
      <c r="AY38" s="819"/>
      <c r="AZ38" s="820">
        <v>11362770</v>
      </c>
      <c r="BA38" s="817"/>
      <c r="BB38" s="817"/>
      <c r="BC38" s="819"/>
      <c r="BD38" s="820">
        <v>91752964</v>
      </c>
      <c r="BE38" s="817"/>
      <c r="BF38" s="817"/>
      <c r="BG38" s="819"/>
      <c r="BH38" s="820">
        <v>13726825</v>
      </c>
      <c r="BI38" s="817"/>
      <c r="BJ38" s="817"/>
      <c r="BK38" s="819"/>
      <c r="BL38" s="820">
        <v>3123926</v>
      </c>
      <c r="BM38" s="817"/>
      <c r="BN38" s="817"/>
      <c r="BO38" s="819"/>
      <c r="BP38" s="820">
        <v>2434850</v>
      </c>
      <c r="BQ38" s="822" t="s">
        <v>1181</v>
      </c>
      <c r="BR38" s="822"/>
      <c r="BS38" s="819"/>
      <c r="BT38" s="821">
        <v>38982714</v>
      </c>
      <c r="BU38" s="822" t="s">
        <v>1181</v>
      </c>
      <c r="BV38" s="815"/>
      <c r="BW38" s="823"/>
      <c r="BX38" s="820">
        <v>163403333</v>
      </c>
      <c r="BY38" s="817" t="s">
        <v>1182</v>
      </c>
      <c r="BZ38" s="817"/>
      <c r="CA38" s="819"/>
      <c r="CB38" s="820"/>
      <c r="CC38" s="822"/>
      <c r="CD38" s="822"/>
      <c r="CE38" s="819"/>
      <c r="CF38" s="820">
        <v>13672006</v>
      </c>
      <c r="CG38" s="815"/>
      <c r="CH38" s="815"/>
      <c r="CI38" s="823"/>
      <c r="CJ38" s="820">
        <v>14628051</v>
      </c>
      <c r="CK38" s="815"/>
      <c r="CL38" s="815"/>
      <c r="CM38" s="823"/>
      <c r="CN38" s="820">
        <v>10714404</v>
      </c>
      <c r="CO38" s="822"/>
      <c r="CP38" s="822"/>
      <c r="CQ38" s="819"/>
      <c r="CR38" s="820">
        <v>3072185</v>
      </c>
      <c r="CS38" s="815"/>
      <c r="CT38" s="815"/>
      <c r="CU38" s="823"/>
      <c r="CV38" s="820">
        <v>11501538</v>
      </c>
      <c r="CW38" s="817"/>
      <c r="CX38" s="817"/>
      <c r="CY38" s="819"/>
      <c r="CZ38" s="821">
        <v>16559471</v>
      </c>
      <c r="DA38" s="815"/>
      <c r="DB38" s="815"/>
      <c r="DC38" s="823"/>
      <c r="DD38" s="821">
        <v>18887180</v>
      </c>
      <c r="DE38" s="815"/>
      <c r="DF38" s="815"/>
      <c r="DG38" s="823"/>
      <c r="DH38" s="820">
        <v>10471304</v>
      </c>
      <c r="DI38" s="817"/>
      <c r="DJ38" s="817"/>
      <c r="DK38" s="819"/>
      <c r="DL38" s="820">
        <v>18897652</v>
      </c>
      <c r="DM38" s="822"/>
      <c r="DN38" s="822"/>
      <c r="DO38" s="819"/>
      <c r="DP38" s="821">
        <v>12056414</v>
      </c>
      <c r="DQ38" s="815"/>
      <c r="DR38" s="815"/>
      <c r="DS38" s="823"/>
      <c r="DT38" s="821">
        <v>91286311</v>
      </c>
      <c r="DU38" s="822"/>
      <c r="DV38" s="815"/>
      <c r="DW38" s="823"/>
      <c r="DX38" s="820">
        <v>32204664</v>
      </c>
      <c r="DY38" s="822"/>
      <c r="DZ38" s="822"/>
      <c r="EA38" s="819"/>
      <c r="EB38" s="820">
        <v>13426813</v>
      </c>
      <c r="EC38" s="822"/>
      <c r="ED38" s="822"/>
      <c r="EE38" s="819"/>
      <c r="EF38" s="821">
        <v>84690178</v>
      </c>
      <c r="EG38" s="815"/>
      <c r="EH38" s="815"/>
      <c r="EI38" s="823"/>
      <c r="EJ38" s="821">
        <v>1301988</v>
      </c>
      <c r="EK38" s="815"/>
      <c r="EL38" s="815"/>
      <c r="EM38" s="823"/>
      <c r="EN38" s="821">
        <v>205578</v>
      </c>
      <c r="EO38" s="815"/>
      <c r="EP38" s="815"/>
      <c r="EQ38" s="823"/>
      <c r="ER38" s="820">
        <v>23483583</v>
      </c>
      <c r="ES38" s="822"/>
      <c r="ET38" s="822"/>
      <c r="EU38" s="819"/>
      <c r="EV38" s="821">
        <v>1472605</v>
      </c>
      <c r="EW38" s="822"/>
      <c r="EX38" s="815"/>
      <c r="EY38" s="823"/>
      <c r="EZ38" s="821">
        <v>13475656</v>
      </c>
      <c r="FA38" s="822"/>
      <c r="FB38" s="815"/>
      <c r="FC38" s="823"/>
      <c r="FD38" s="821">
        <v>6407258</v>
      </c>
      <c r="FE38" s="815"/>
      <c r="FF38" s="815"/>
      <c r="FG38" s="823"/>
      <c r="FH38" s="820">
        <v>5246724</v>
      </c>
      <c r="FI38" s="822"/>
      <c r="FJ38" s="822"/>
      <c r="FK38" s="819"/>
      <c r="FL38" s="820">
        <v>3196608</v>
      </c>
      <c r="FM38" s="817"/>
      <c r="FN38" s="817"/>
      <c r="FO38" s="819"/>
      <c r="FP38" s="820">
        <v>21911291</v>
      </c>
      <c r="FQ38" s="817"/>
      <c r="FR38" s="817"/>
      <c r="FS38" s="819"/>
      <c r="FT38" s="820">
        <v>4839985</v>
      </c>
      <c r="FU38" s="822"/>
      <c r="FV38" s="822"/>
      <c r="FW38" s="819"/>
      <c r="FX38" s="820">
        <v>21403678</v>
      </c>
      <c r="FY38" s="817"/>
      <c r="FZ38" s="817"/>
      <c r="GA38" s="819"/>
      <c r="GB38" s="821">
        <v>3554673</v>
      </c>
      <c r="GC38" s="815"/>
      <c r="GD38" s="815"/>
      <c r="GE38" s="823"/>
      <c r="GF38" s="820">
        <v>3355513</v>
      </c>
      <c r="GG38" s="822"/>
      <c r="GH38" s="822"/>
      <c r="GI38" s="819"/>
      <c r="GJ38" s="820">
        <v>779172</v>
      </c>
      <c r="GK38" s="817"/>
      <c r="GL38" s="817"/>
      <c r="GM38" s="819"/>
      <c r="GN38" s="821">
        <v>6211387</v>
      </c>
      <c r="GO38" s="815"/>
      <c r="GP38" s="815"/>
      <c r="GQ38" s="823"/>
      <c r="GR38" s="821">
        <v>23947642</v>
      </c>
      <c r="GS38" s="815"/>
      <c r="GT38" s="815"/>
      <c r="GU38" s="823"/>
      <c r="GV38" s="821">
        <v>21791010</v>
      </c>
      <c r="GW38" s="815"/>
      <c r="GX38" s="815"/>
      <c r="GY38" s="823"/>
      <c r="GZ38" s="821">
        <v>120381132</v>
      </c>
      <c r="HA38" s="815"/>
      <c r="HB38" s="815"/>
      <c r="HC38" s="823"/>
      <c r="HD38" s="821">
        <v>126055105</v>
      </c>
      <c r="HE38" s="815"/>
      <c r="HF38" s="815"/>
      <c r="HG38" s="823"/>
      <c r="HH38" s="821">
        <v>2100000</v>
      </c>
      <c r="HI38" s="815"/>
      <c r="HJ38" s="815"/>
      <c r="HK38" s="823"/>
      <c r="HL38" s="821">
        <v>12100000</v>
      </c>
      <c r="HM38" s="815"/>
      <c r="HN38" s="815"/>
      <c r="HO38" s="823"/>
      <c r="HP38" s="821">
        <v>16484968</v>
      </c>
      <c r="HQ38" s="815"/>
      <c r="HR38" s="815"/>
      <c r="HS38" s="823"/>
      <c r="HT38" s="821">
        <v>108763</v>
      </c>
      <c r="HU38" s="815"/>
      <c r="HV38" s="815"/>
      <c r="HW38" s="823"/>
      <c r="HX38" s="821">
        <v>75695</v>
      </c>
      <c r="HY38" s="815"/>
      <c r="HZ38" s="815"/>
      <c r="IA38" s="823"/>
      <c r="IB38" s="821">
        <v>14147883</v>
      </c>
      <c r="IC38" s="815"/>
      <c r="ID38" s="815"/>
      <c r="IE38" s="823"/>
      <c r="IF38" s="821">
        <v>511009</v>
      </c>
      <c r="IG38" s="815"/>
      <c r="IH38" s="815"/>
      <c r="II38" s="823"/>
      <c r="IJ38" s="821">
        <v>755038</v>
      </c>
      <c r="IK38" s="815"/>
      <c r="IL38" s="815"/>
      <c r="IM38" s="823"/>
      <c r="IN38" s="821">
        <v>16278</v>
      </c>
      <c r="IO38" s="815"/>
      <c r="IP38" s="815"/>
      <c r="IQ38" s="823"/>
      <c r="IR38" s="821">
        <v>16278</v>
      </c>
      <c r="IS38" s="815"/>
      <c r="IT38" s="815"/>
      <c r="IU38" s="823"/>
      <c r="IV38" s="821">
        <v>858877</v>
      </c>
      <c r="IW38" s="815"/>
      <c r="IX38" s="815"/>
      <c r="IY38" s="823"/>
      <c r="IZ38" s="821">
        <v>858877</v>
      </c>
      <c r="JA38" s="815"/>
      <c r="JB38" s="815"/>
      <c r="JC38" s="823"/>
      <c r="JD38" s="821">
        <v>235892</v>
      </c>
      <c r="JE38" s="815"/>
      <c r="JF38" s="815"/>
      <c r="JG38" s="823"/>
      <c r="JH38" s="821">
        <v>16717801</v>
      </c>
      <c r="JI38" s="815"/>
      <c r="JJ38" s="815"/>
      <c r="JK38" s="823"/>
      <c r="JL38" s="821">
        <v>8758930</v>
      </c>
      <c r="JM38" s="960"/>
      <c r="JN38" s="960"/>
      <c r="JO38" s="980"/>
      <c r="JP38" s="821">
        <v>1617569</v>
      </c>
      <c r="JQ38" s="960"/>
      <c r="JR38" s="960"/>
      <c r="JS38" s="980"/>
      <c r="JT38" s="821">
        <v>246157</v>
      </c>
      <c r="JU38" s="960"/>
      <c r="JV38" s="960"/>
      <c r="JW38" s="960"/>
      <c r="JX38" s="821">
        <v>24905442</v>
      </c>
      <c r="JY38" s="960"/>
      <c r="JZ38" s="960"/>
      <c r="KA38" s="980"/>
      <c r="KB38" s="821">
        <v>5879633</v>
      </c>
      <c r="KC38" s="960"/>
      <c r="KD38" s="960"/>
      <c r="KE38" s="980"/>
      <c r="KF38" s="821">
        <v>4061382</v>
      </c>
      <c r="KG38" s="815"/>
      <c r="KH38" s="815"/>
      <c r="KI38" s="823"/>
      <c r="KJ38" s="821">
        <v>17513390</v>
      </c>
      <c r="KK38" s="961"/>
      <c r="KL38" s="961"/>
      <c r="KM38" s="823"/>
      <c r="KN38" s="821">
        <v>16038226</v>
      </c>
      <c r="KO38" s="815"/>
      <c r="KP38" s="815"/>
      <c r="KQ38" s="823"/>
      <c r="KR38" s="821">
        <v>3131641</v>
      </c>
      <c r="KS38" s="815"/>
      <c r="KT38" s="815"/>
      <c r="KU38" s="823"/>
      <c r="KV38" s="821">
        <v>39218353</v>
      </c>
      <c r="KW38" s="815"/>
      <c r="KX38" s="815"/>
      <c r="KY38" s="823"/>
      <c r="KZ38" s="821">
        <v>18443400</v>
      </c>
      <c r="LA38" s="815"/>
      <c r="LB38" s="815"/>
      <c r="LC38" s="823"/>
      <c r="LD38" s="821">
        <v>27157860</v>
      </c>
      <c r="LE38" s="815"/>
      <c r="LF38" s="815"/>
      <c r="LG38" s="823"/>
      <c r="LH38" s="821">
        <v>7917561</v>
      </c>
      <c r="LI38" s="815"/>
      <c r="LJ38" s="815"/>
      <c r="LK38" s="823"/>
      <c r="LL38" s="821">
        <v>36855488</v>
      </c>
      <c r="LM38" s="815"/>
      <c r="LN38" s="815"/>
      <c r="LO38" s="823"/>
      <c r="LP38" s="821">
        <v>4216741</v>
      </c>
      <c r="LQ38" s="815"/>
      <c r="LR38" s="815"/>
      <c r="LS38" s="823"/>
      <c r="LT38" s="821">
        <v>49500000</v>
      </c>
      <c r="LU38" s="815"/>
      <c r="LV38" s="815"/>
      <c r="LW38" s="823"/>
      <c r="LX38" s="821">
        <v>13000000</v>
      </c>
      <c r="LY38" s="815"/>
      <c r="LZ38" s="815"/>
      <c r="MA38" s="823"/>
      <c r="MB38" s="821">
        <v>15796731</v>
      </c>
      <c r="MC38" s="815"/>
      <c r="MD38" s="815"/>
      <c r="ME38" s="823"/>
      <c r="MF38" s="821">
        <v>15950451</v>
      </c>
      <c r="MG38" s="815"/>
      <c r="MH38" s="815"/>
      <c r="MI38" s="823"/>
      <c r="MJ38" s="821">
        <v>12600000</v>
      </c>
      <c r="MK38" s="815"/>
      <c r="ML38" s="815"/>
      <c r="MM38" s="823"/>
      <c r="MN38" s="821">
        <v>2788384</v>
      </c>
      <c r="MO38" s="815"/>
      <c r="MP38" s="815"/>
      <c r="MQ38" s="823"/>
      <c r="MR38" s="821">
        <v>50746196</v>
      </c>
      <c r="MS38" s="815"/>
      <c r="MT38" s="815"/>
      <c r="MU38" s="823"/>
      <c r="MV38" s="821">
        <v>42555845</v>
      </c>
      <c r="MW38" s="815"/>
      <c r="MX38" s="815"/>
      <c r="MY38" s="823"/>
      <c r="MZ38" s="821">
        <v>1730162</v>
      </c>
      <c r="NA38" s="815"/>
      <c r="NB38" s="815"/>
      <c r="NC38" s="823"/>
      <c r="ND38" s="821">
        <v>3985867</v>
      </c>
      <c r="NE38" s="815"/>
      <c r="NF38" s="815"/>
      <c r="NG38" s="823"/>
      <c r="NH38" s="975"/>
      <c r="NI38" s="976" t="s">
        <v>292</v>
      </c>
      <c r="NJ38" s="959" t="s">
        <v>292</v>
      </c>
      <c r="NK38" s="977"/>
      <c r="NM38" s="977"/>
    </row>
    <row r="39" spans="1:377">
      <c r="A39" s="874">
        <v>17</v>
      </c>
      <c r="B39" s="971" t="s">
        <v>91</v>
      </c>
      <c r="C39" s="957"/>
      <c r="D39" s="824">
        <f>D38/D34</f>
        <v>44463.325581395351</v>
      </c>
      <c r="E39" s="817"/>
      <c r="F39" s="817"/>
      <c r="G39" s="819"/>
      <c r="H39" s="825">
        <f>IF(H38=0,0,H38/H34)</f>
        <v>25042.255813953489</v>
      </c>
      <c r="I39" s="817"/>
      <c r="J39" s="817"/>
      <c r="K39" s="819"/>
      <c r="L39" s="825">
        <f>IF(L38=0,0,L38/L34)</f>
        <v>13767.348837209302</v>
      </c>
      <c r="M39" s="817"/>
      <c r="N39" s="817"/>
      <c r="O39" s="819"/>
      <c r="P39" s="825">
        <f>IF(P38=0,0,P38/P34)</f>
        <v>191215.04651162791</v>
      </c>
      <c r="Q39" s="817"/>
      <c r="R39" s="817"/>
      <c r="S39" s="819"/>
      <c r="T39" s="825">
        <f>IF(T38=0,0,T38/T34)</f>
        <v>167087.02325581395</v>
      </c>
      <c r="U39" s="817"/>
      <c r="V39" s="817"/>
      <c r="W39" s="819"/>
      <c r="X39" s="825">
        <f>IF(X38=0,0,X38/X34)</f>
        <v>56146.372093023259</v>
      </c>
      <c r="Y39" s="817"/>
      <c r="Z39" s="817"/>
      <c r="AA39" s="819"/>
      <c r="AB39" s="825">
        <f>IF(AB38=0,0,AB38/AB34)</f>
        <v>508146.97674418607</v>
      </c>
      <c r="AC39" s="817"/>
      <c r="AD39" s="817"/>
      <c r="AE39" s="819"/>
      <c r="AF39" s="825">
        <f>IF(AF38=0,0,AF38/AF34)</f>
        <v>1048586.2558139535</v>
      </c>
      <c r="AG39" s="817"/>
      <c r="AH39" s="817"/>
      <c r="AI39" s="819"/>
      <c r="AJ39" s="825">
        <f>IF(AJ38=0,0,AJ38/AJ34)</f>
        <v>315837.20930232556</v>
      </c>
      <c r="AK39" s="817"/>
      <c r="AL39" s="817"/>
      <c r="AM39" s="819"/>
      <c r="AN39" s="825">
        <f>IF(AN38=0,0,AN38/AN34)</f>
        <v>261029.80627906977</v>
      </c>
      <c r="AO39" s="817"/>
      <c r="AP39" s="817"/>
      <c r="AQ39" s="819"/>
      <c r="AR39" s="825">
        <f>IF(AR38=0,0,AR38/AR34)</f>
        <v>340826.95348837209</v>
      </c>
      <c r="AS39" s="817"/>
      <c r="AT39" s="817"/>
      <c r="AU39" s="819"/>
      <c r="AV39" s="825">
        <f>IF(AV38=0,0,AV38/AV34)</f>
        <v>393041.86046511628</v>
      </c>
      <c r="AW39" s="817"/>
      <c r="AX39" s="817"/>
      <c r="AY39" s="819"/>
      <c r="AZ39" s="825">
        <f>IF(AZ38=0,0,AZ38/AZ34)</f>
        <v>264250.46511627908</v>
      </c>
      <c r="BA39" s="817"/>
      <c r="BB39" s="817"/>
      <c r="BC39" s="819"/>
      <c r="BD39" s="825">
        <f>IF(BD38=0,0,BD38/BD34)</f>
        <v>2133789.8604651163</v>
      </c>
      <c r="BE39" s="817"/>
      <c r="BF39" s="817"/>
      <c r="BG39" s="819"/>
      <c r="BH39" s="825">
        <f>IF(BH38=0,0,BH38/BH34)</f>
        <v>319228.48837209301</v>
      </c>
      <c r="BI39" s="817"/>
      <c r="BJ39" s="817"/>
      <c r="BK39" s="819"/>
      <c r="BL39" s="825">
        <f>IF(BL38=0,0,BL38/BL34)</f>
        <v>72649.441860465115</v>
      </c>
      <c r="BM39" s="817"/>
      <c r="BN39" s="817"/>
      <c r="BO39" s="819"/>
      <c r="BP39" s="825">
        <f>IF(BP38=0,0,BP38/BP34)</f>
        <v>56624.41860465116</v>
      </c>
      <c r="BQ39" s="817"/>
      <c r="BR39" s="817"/>
      <c r="BS39" s="819"/>
      <c r="BT39" s="826">
        <f>IF(BT38=0,0,BT38/BT34)</f>
        <v>906574.74418604653</v>
      </c>
      <c r="BU39" s="815"/>
      <c r="BV39" s="815"/>
      <c r="BW39" s="823"/>
      <c r="BX39" s="825">
        <f>IF(BX38=0,0,BX38/BX34)</f>
        <v>3800077.5116279069</v>
      </c>
      <c r="BY39" s="817" t="s">
        <v>1183</v>
      </c>
      <c r="BZ39" s="817"/>
      <c r="CA39" s="819"/>
      <c r="CB39" s="825">
        <f>IF(CB38=0,0,CB38/CB34)</f>
        <v>0</v>
      </c>
      <c r="CC39" s="817"/>
      <c r="CD39" s="817"/>
      <c r="CE39" s="819"/>
      <c r="CF39" s="826">
        <f>IF(CF38=0,0,CF38/CF34)</f>
        <v>317953.62790697673</v>
      </c>
      <c r="CG39" s="815"/>
      <c r="CH39" s="815"/>
      <c r="CI39" s="823"/>
      <c r="CJ39" s="826">
        <f>IF(CJ38=0,0,CJ38/CJ34)</f>
        <v>340187.23255813954</v>
      </c>
      <c r="CK39" s="815"/>
      <c r="CL39" s="815"/>
      <c r="CM39" s="823"/>
      <c r="CN39" s="825">
        <f>IF(CN38=0,0,CN38/CN34)</f>
        <v>249172.18604651163</v>
      </c>
      <c r="CO39" s="817"/>
      <c r="CP39" s="817"/>
      <c r="CQ39" s="819"/>
      <c r="CR39" s="826">
        <f>IF(CR38=0,0,CR38/CR34)</f>
        <v>71446.162790697679</v>
      </c>
      <c r="CS39" s="815"/>
      <c r="CT39" s="815"/>
      <c r="CU39" s="823"/>
      <c r="CV39" s="825">
        <f>IF(CV38=0,0,CV38/CV34)</f>
        <v>267477.62790697673</v>
      </c>
      <c r="CW39" s="817"/>
      <c r="CX39" s="817"/>
      <c r="CY39" s="819"/>
      <c r="CZ39" s="826">
        <f>IF(CZ38=0,0,CZ38/CZ34)</f>
        <v>385103.97674418607</v>
      </c>
      <c r="DA39" s="815"/>
      <c r="DB39" s="815"/>
      <c r="DC39" s="823"/>
      <c r="DD39" s="826">
        <f>IF(DD38=0,0,DD38/DD34)</f>
        <v>439236.74418604653</v>
      </c>
      <c r="DE39" s="815"/>
      <c r="DF39" s="815"/>
      <c r="DG39" s="823"/>
      <c r="DH39" s="825">
        <f>IF(DH38=0,0,DH38/DH34)</f>
        <v>243518.6976744186</v>
      </c>
      <c r="DI39" s="817"/>
      <c r="DJ39" s="817"/>
      <c r="DK39" s="819"/>
      <c r="DL39" s="825">
        <f>IF(DL38=0,0,DL38/DL34)</f>
        <v>439480.27906976745</v>
      </c>
      <c r="DM39" s="817"/>
      <c r="DN39" s="817"/>
      <c r="DO39" s="819"/>
      <c r="DP39" s="826">
        <f>IF(DP38=0,0,DP38/DP34)</f>
        <v>280381.72093023255</v>
      </c>
      <c r="DQ39" s="815"/>
      <c r="DR39" s="815"/>
      <c r="DS39" s="823"/>
      <c r="DT39" s="826">
        <f>IF(DT38=0,0,DT38/DT34)</f>
        <v>2122937.4651162792</v>
      </c>
      <c r="DU39" s="815"/>
      <c r="DV39" s="815"/>
      <c r="DW39" s="823"/>
      <c r="DX39" s="825">
        <f>IF(DX38=0,0,DX38/DX34)</f>
        <v>748945.6744186047</v>
      </c>
      <c r="DY39" s="817"/>
      <c r="DZ39" s="817"/>
      <c r="EA39" s="819"/>
      <c r="EB39" s="825">
        <f>IF(EB38=0,0,EB38/EB34)</f>
        <v>312251.46511627908</v>
      </c>
      <c r="EC39" s="817"/>
      <c r="ED39" s="817"/>
      <c r="EE39" s="819"/>
      <c r="EF39" s="826">
        <f>IF(EF38=0,0,EF38/EF34)</f>
        <v>1969539.0232558139</v>
      </c>
      <c r="EG39" s="815"/>
      <c r="EH39" s="815"/>
      <c r="EI39" s="823"/>
      <c r="EJ39" s="826">
        <f>IF(EJ38=0,0,EJ38/EJ34)</f>
        <v>30278.79069767442</v>
      </c>
      <c r="EK39" s="815"/>
      <c r="EL39" s="815"/>
      <c r="EM39" s="823"/>
      <c r="EN39" s="826">
        <f>IF(EN38=0,0,EN38/EN34)</f>
        <v>4780.8837209302328</v>
      </c>
      <c r="EO39" s="815"/>
      <c r="EP39" s="815"/>
      <c r="EQ39" s="823"/>
      <c r="ER39" s="825">
        <f>IF(ER38=0,0,ER38/ER34)</f>
        <v>546129.83720930235</v>
      </c>
      <c r="ES39" s="817"/>
      <c r="ET39" s="817"/>
      <c r="EU39" s="819"/>
      <c r="EV39" s="826">
        <f>IF(EV38=0,0,EV38/EV34)</f>
        <v>34246.627906976741</v>
      </c>
      <c r="EW39" s="815"/>
      <c r="EX39" s="815"/>
      <c r="EY39" s="823"/>
      <c r="EZ39" s="826">
        <f>IF(EZ38=0,0,EZ38/EZ34)</f>
        <v>313387.34883720928</v>
      </c>
      <c r="FA39" s="815"/>
      <c r="FB39" s="815"/>
      <c r="FC39" s="823"/>
      <c r="FD39" s="826">
        <f>IF(FD38=0,0,FD38/FD34)</f>
        <v>149006</v>
      </c>
      <c r="FE39" s="815"/>
      <c r="FF39" s="815"/>
      <c r="FG39" s="823"/>
      <c r="FH39" s="825">
        <f>IF(FH38=0,0,FH38/FH34)</f>
        <v>122016.83720930232</v>
      </c>
      <c r="FI39" s="817"/>
      <c r="FJ39" s="817"/>
      <c r="FK39" s="819"/>
      <c r="FL39" s="825">
        <f>IF(FL38=0,0,FL38/FL34)</f>
        <v>74339.720930232565</v>
      </c>
      <c r="FM39" s="817"/>
      <c r="FN39" s="817"/>
      <c r="FO39" s="819"/>
      <c r="FP39" s="825">
        <f>IF(FP38=0,0,FP38/FP34)</f>
        <v>509564.90697674418</v>
      </c>
      <c r="FQ39" s="817"/>
      <c r="FR39" s="817"/>
      <c r="FS39" s="819"/>
      <c r="FT39" s="825">
        <f>IF(FT38=0,0,FT38/FT34)</f>
        <v>112557.79069767441</v>
      </c>
      <c r="FU39" s="817"/>
      <c r="FV39" s="817"/>
      <c r="FW39" s="819"/>
      <c r="FX39" s="825">
        <f>IF(FX38=0,0,FX38/FX34)</f>
        <v>497759.95348837209</v>
      </c>
      <c r="FY39" s="817"/>
      <c r="FZ39" s="817"/>
      <c r="GA39" s="819"/>
      <c r="GB39" s="826">
        <f>IF(GB38=0,0,GB38/GB34)</f>
        <v>82666.813953488367</v>
      </c>
      <c r="GC39" s="815"/>
      <c r="GD39" s="815"/>
      <c r="GE39" s="823"/>
      <c r="GF39" s="825">
        <f>IF(GF38=0,0,GF38/GF34)</f>
        <v>78035.186046511633</v>
      </c>
      <c r="GG39" s="817"/>
      <c r="GH39" s="817"/>
      <c r="GI39" s="819"/>
      <c r="GJ39" s="825">
        <f>IF(GJ38=0,0,GJ38/GJ34)</f>
        <v>18120.279069767443</v>
      </c>
      <c r="GK39" s="817"/>
      <c r="GL39" s="817"/>
      <c r="GM39" s="819"/>
      <c r="GN39" s="826">
        <f>IF(GN38=0,0,GN38/GN34)</f>
        <v>144450.86046511628</v>
      </c>
      <c r="GO39" s="815"/>
      <c r="GP39" s="815"/>
      <c r="GQ39" s="823"/>
      <c r="GR39" s="826">
        <f>IF(GR38=0,0,GR38/GR34)</f>
        <v>556921.90697674418</v>
      </c>
      <c r="GS39" s="815"/>
      <c r="GT39" s="815"/>
      <c r="GU39" s="823"/>
      <c r="GV39" s="826">
        <f>IF(GV38=0,0,GV38/GV34)</f>
        <v>506767.67441860464</v>
      </c>
      <c r="GW39" s="815"/>
      <c r="GX39" s="815"/>
      <c r="GY39" s="823"/>
      <c r="GZ39" s="826">
        <f>IF(GZ38=0,0,GZ38/GZ34)</f>
        <v>2799561.2093023257</v>
      </c>
      <c r="HA39" s="815"/>
      <c r="HB39" s="815"/>
      <c r="HC39" s="823"/>
      <c r="HD39" s="826">
        <f>IF(HD38=0,0,HD38/HD34)</f>
        <v>2931514.0697674421</v>
      </c>
      <c r="HE39" s="815"/>
      <c r="HF39" s="815"/>
      <c r="HG39" s="823"/>
      <c r="HH39" s="826">
        <f>IF(HH38=0,0,HH38/HH34)</f>
        <v>48837.20930232558</v>
      </c>
      <c r="HI39" s="815"/>
      <c r="HJ39" s="815"/>
      <c r="HK39" s="823"/>
      <c r="HL39" s="826">
        <f>IF(HL38=0,0,HL38/HL34)</f>
        <v>281395.34883720928</v>
      </c>
      <c r="HM39" s="815"/>
      <c r="HN39" s="815"/>
      <c r="HO39" s="823"/>
      <c r="HP39" s="826">
        <f>IF(HP38=0,0,HP38/HP34)</f>
        <v>383371.34883720928</v>
      </c>
      <c r="HQ39" s="815"/>
      <c r="HR39" s="815"/>
      <c r="HS39" s="823"/>
      <c r="HT39" s="826">
        <f>IF(HT38=0,0,HT38/HT34)</f>
        <v>2529.3720930232557</v>
      </c>
      <c r="HU39" s="815"/>
      <c r="HV39" s="815"/>
      <c r="HW39" s="823"/>
      <c r="HX39" s="826">
        <f>IF(HX38=0,0,HX38/HX34)</f>
        <v>1760.3488372093022</v>
      </c>
      <c r="HY39" s="815"/>
      <c r="HZ39" s="815"/>
      <c r="IA39" s="823"/>
      <c r="IB39" s="826">
        <f>IF(IB38=0,0,IB38/IB34)</f>
        <v>329020.53488372092</v>
      </c>
      <c r="IC39" s="815"/>
      <c r="ID39" s="815"/>
      <c r="IE39" s="823"/>
      <c r="IF39" s="826">
        <f>IF(IF38=0,0,IF38/IF34)</f>
        <v>11883.930232558139</v>
      </c>
      <c r="IG39" s="815"/>
      <c r="IH39" s="815"/>
      <c r="II39" s="823"/>
      <c r="IJ39" s="826">
        <f>IF(IJ38=0,0,IJ38/IJ34)</f>
        <v>17559.023255813954</v>
      </c>
      <c r="IK39" s="815"/>
      <c r="IL39" s="815"/>
      <c r="IM39" s="823"/>
      <c r="IN39" s="826">
        <f>IF(IN38=0,0,IN38/IN34)</f>
        <v>378.55813953488371</v>
      </c>
      <c r="IO39" s="815"/>
      <c r="IP39" s="815"/>
      <c r="IQ39" s="823"/>
      <c r="IR39" s="826">
        <f>IF(IR38=0,0,IR38/IR34)</f>
        <v>378.55813953488371</v>
      </c>
      <c r="IS39" s="815"/>
      <c r="IT39" s="815"/>
      <c r="IU39" s="823"/>
      <c r="IV39" s="826">
        <f>IF(IV38=0,0,IV38/IV34)</f>
        <v>19973.883720930233</v>
      </c>
      <c r="IW39" s="815"/>
      <c r="IX39" s="815"/>
      <c r="IY39" s="823"/>
      <c r="IZ39" s="826">
        <f>IF(IZ38=0,0,IZ38/IZ34)</f>
        <v>19973.883720930233</v>
      </c>
      <c r="JA39" s="815"/>
      <c r="JB39" s="815"/>
      <c r="JC39" s="823"/>
      <c r="JD39" s="826">
        <f>IF(JD38=0,0,JD38/JD34)</f>
        <v>5485.8604651162786</v>
      </c>
      <c r="JE39" s="815"/>
      <c r="JF39" s="815"/>
      <c r="JG39" s="823"/>
      <c r="JH39" s="826">
        <f>IF(JH38=0,0,JH38/JH34)</f>
        <v>388786.06976744183</v>
      </c>
      <c r="JI39" s="815"/>
      <c r="JJ39" s="815"/>
      <c r="JK39" s="823"/>
      <c r="JL39" s="826">
        <f>IF(JL38=0,0,JL38/JL34)</f>
        <v>203696.04651162791</v>
      </c>
      <c r="JM39" s="815"/>
      <c r="JN39" s="815"/>
      <c r="JO39" s="823"/>
      <c r="JP39" s="826">
        <f>IF(JP38=0,0,JP38/JP34)</f>
        <v>37617.883720930229</v>
      </c>
      <c r="JQ39" s="815"/>
      <c r="JR39" s="815"/>
      <c r="JS39" s="823"/>
      <c r="JT39" s="826">
        <f>IF(JT38=0,0,JT38/JT34)</f>
        <v>5724.5813953488368</v>
      </c>
      <c r="JU39" s="815"/>
      <c r="JV39" s="815"/>
      <c r="JW39" s="823"/>
      <c r="JX39" s="826">
        <f>IF(JX38=0,0,JX38/JX34)</f>
        <v>579196.3255813953</v>
      </c>
      <c r="JY39" s="815"/>
      <c r="JZ39" s="815"/>
      <c r="KA39" s="823"/>
      <c r="KB39" s="826">
        <f>IF(KB38=0,0,KB38/KB34)</f>
        <v>136735.65116279069</v>
      </c>
      <c r="KC39" s="815"/>
      <c r="KD39" s="815"/>
      <c r="KE39" s="823"/>
      <c r="KF39" s="826">
        <f>IF(KF38=0,0,KF38/KF34)</f>
        <v>94450.744186046519</v>
      </c>
      <c r="KG39" s="815"/>
      <c r="KH39" s="815"/>
      <c r="KI39" s="823"/>
      <c r="KJ39" s="826">
        <f>IF(KJ38=0,0,KJ38/KJ34)</f>
        <v>407288.13953488372</v>
      </c>
      <c r="KK39" s="815"/>
      <c r="KL39" s="815"/>
      <c r="KM39" s="823"/>
      <c r="KN39" s="826">
        <f>IF(KN38=0,0,KN38/KN34)</f>
        <v>372982</v>
      </c>
      <c r="KO39" s="961"/>
      <c r="KP39" s="961"/>
      <c r="KQ39" s="961"/>
      <c r="KR39" s="826">
        <f>IF(KR38=0,0,KR38/KR34)</f>
        <v>72828.860465116275</v>
      </c>
      <c r="KS39" s="961"/>
      <c r="KT39" s="961"/>
      <c r="KU39" s="961"/>
      <c r="KV39" s="826">
        <f>IF(KV38=0,0,KV38/KV34)</f>
        <v>912054.72093023255</v>
      </c>
      <c r="KW39" s="961"/>
      <c r="KX39" s="961"/>
      <c r="KY39" s="969"/>
      <c r="KZ39" s="826">
        <f>IF(KZ38=0,0,KZ38/KZ34)</f>
        <v>428916.27906976745</v>
      </c>
      <c r="LA39" s="961"/>
      <c r="LB39" s="961"/>
      <c r="LC39" s="969"/>
      <c r="LD39" s="826">
        <f>IF(LD38=0,0,LD38/LD34)</f>
        <v>631578.13953488367</v>
      </c>
      <c r="LE39" s="961"/>
      <c r="LF39" s="961"/>
      <c r="LG39" s="961"/>
      <c r="LH39" s="826">
        <f>IF(LH38=0,0,LH38/LH34)</f>
        <v>184129.32558139536</v>
      </c>
      <c r="LI39" s="961"/>
      <c r="LJ39" s="961"/>
      <c r="LK39" s="969"/>
      <c r="LL39" s="826">
        <f>IF(LL38=0,0,LL38/LL34)</f>
        <v>857104.37209302327</v>
      </c>
      <c r="LM39" s="961"/>
      <c r="LN39" s="961"/>
      <c r="LO39" s="969"/>
      <c r="LP39" s="826">
        <f>IF(LP38=0,0,LP38/LP34)</f>
        <v>98063.744186046519</v>
      </c>
      <c r="LQ39" s="961"/>
      <c r="LR39" s="961"/>
      <c r="LS39" s="969"/>
      <c r="LT39" s="826">
        <f>IF(LT38=0,0,LT38/LT34)</f>
        <v>1151162.7906976745</v>
      </c>
      <c r="LU39" s="961"/>
      <c r="LV39" s="961"/>
      <c r="LW39" s="969"/>
      <c r="LX39" s="826">
        <f>IF(LX38=0,0,LX38/LX34)</f>
        <v>302325.58139534883</v>
      </c>
      <c r="LY39" s="961"/>
      <c r="LZ39" s="961"/>
      <c r="MA39" s="961"/>
      <c r="MB39" s="826">
        <v>15950451</v>
      </c>
      <c r="MC39" s="961"/>
      <c r="MD39" s="961"/>
      <c r="ME39" s="961"/>
      <c r="MF39" s="826">
        <f>IF(MF38=0,0,MF38/MF34)</f>
        <v>370940.72093023255</v>
      </c>
      <c r="MG39" s="961"/>
      <c r="MH39" s="961"/>
      <c r="MI39" s="969"/>
      <c r="MJ39" s="826">
        <f>IF(MJ38=0,0,MJ38/MJ34)</f>
        <v>293023.25581395347</v>
      </c>
      <c r="MK39" s="961"/>
      <c r="ML39" s="961"/>
      <c r="MM39" s="969"/>
      <c r="MN39" s="826">
        <f>IF(MN38=0,0,MN38/MN34)</f>
        <v>64846.139534883718</v>
      </c>
      <c r="MO39" s="961"/>
      <c r="MP39" s="961"/>
      <c r="MQ39" s="961"/>
      <c r="MR39" s="826">
        <f>IF(MR38=0,0,MR38/MR34)</f>
        <v>1180144.0930232557</v>
      </c>
      <c r="MS39" s="961"/>
      <c r="MT39" s="961"/>
      <c r="MU39" s="969"/>
      <c r="MV39" s="826">
        <f>IF(MV38=0,0,MV38/MV34)</f>
        <v>989670.81395348837</v>
      </c>
      <c r="MW39" s="961"/>
      <c r="MX39" s="961"/>
      <c r="MY39" s="969"/>
      <c r="MZ39" s="826">
        <f>IF(MZ38=0,0,MZ38/MZ34)</f>
        <v>40236.325581395351</v>
      </c>
      <c r="NA39" s="961"/>
      <c r="NB39" s="961"/>
      <c r="NC39" s="961"/>
      <c r="ND39" s="826">
        <f>IF(ND38=0,0,ND38/ND34)</f>
        <v>92694.58139534884</v>
      </c>
      <c r="NE39" s="961"/>
      <c r="NF39" s="961"/>
      <c r="NG39" s="969"/>
      <c r="NH39" s="978"/>
      <c r="NI39" s="976" t="s">
        <v>293</v>
      </c>
      <c r="NJ39" s="959" t="s">
        <v>293</v>
      </c>
      <c r="NM39" s="1040"/>
    </row>
    <row r="40" spans="1:377" s="876" customFormat="1">
      <c r="A40" s="875">
        <v>18</v>
      </c>
      <c r="B40" s="956" t="s">
        <v>92</v>
      </c>
      <c r="C40" s="960"/>
      <c r="D40" s="818">
        <v>12</v>
      </c>
      <c r="E40" s="827"/>
      <c r="F40" s="827"/>
      <c r="G40" s="828"/>
      <c r="H40" s="820">
        <v>9</v>
      </c>
      <c r="I40" s="827"/>
      <c r="J40" s="827"/>
      <c r="K40" s="828"/>
      <c r="L40" s="820">
        <v>4</v>
      </c>
      <c r="M40" s="827"/>
      <c r="N40" s="827"/>
      <c r="O40" s="828"/>
      <c r="P40" s="820">
        <v>8</v>
      </c>
      <c r="Q40" s="827"/>
      <c r="R40" s="827"/>
      <c r="S40" s="828"/>
      <c r="T40" s="820">
        <v>11</v>
      </c>
      <c r="U40" s="827"/>
      <c r="V40" s="827"/>
      <c r="W40" s="828"/>
      <c r="X40" s="820">
        <v>4</v>
      </c>
      <c r="Y40" s="827"/>
      <c r="Z40" s="827"/>
      <c r="AA40" s="828"/>
      <c r="AB40" s="820">
        <v>6</v>
      </c>
      <c r="AC40" s="827"/>
      <c r="AD40" s="827"/>
      <c r="AE40" s="828"/>
      <c r="AF40" s="820">
        <v>12</v>
      </c>
      <c r="AG40" s="827"/>
      <c r="AH40" s="827"/>
      <c r="AI40" s="828"/>
      <c r="AJ40" s="820">
        <v>7</v>
      </c>
      <c r="AK40" s="827"/>
      <c r="AL40" s="827"/>
      <c r="AM40" s="828"/>
      <c r="AN40" s="820">
        <v>4</v>
      </c>
      <c r="AO40" s="827"/>
      <c r="AP40" s="827"/>
      <c r="AQ40" s="828"/>
      <c r="AR40" s="820">
        <v>6</v>
      </c>
      <c r="AS40" s="827"/>
      <c r="AT40" s="827"/>
      <c r="AU40" s="828"/>
      <c r="AV40" s="820">
        <v>9</v>
      </c>
      <c r="AW40" s="827"/>
      <c r="AX40" s="827"/>
      <c r="AY40" s="828"/>
      <c r="AZ40" s="820">
        <v>12</v>
      </c>
      <c r="BA40" s="827"/>
      <c r="BB40" s="827"/>
      <c r="BC40" s="828"/>
      <c r="BD40" s="820">
        <v>4</v>
      </c>
      <c r="BE40" s="827"/>
      <c r="BF40" s="827"/>
      <c r="BG40" s="828"/>
      <c r="BH40" s="820">
        <v>5</v>
      </c>
      <c r="BI40" s="827"/>
      <c r="BJ40" s="827"/>
      <c r="BK40" s="828"/>
      <c r="BL40" s="820">
        <v>5</v>
      </c>
      <c r="BM40" s="827"/>
      <c r="BN40" s="827"/>
      <c r="BO40" s="828"/>
      <c r="BP40" s="820">
        <v>12</v>
      </c>
      <c r="BQ40" s="827"/>
      <c r="BR40" s="827"/>
      <c r="BS40" s="828"/>
      <c r="BT40" s="821">
        <v>6</v>
      </c>
      <c r="BU40" s="829"/>
      <c r="BV40" s="829"/>
      <c r="BW40" s="830"/>
      <c r="BX40" s="820">
        <v>5</v>
      </c>
      <c r="BY40" s="827"/>
      <c r="BZ40" s="827"/>
      <c r="CA40" s="828"/>
      <c r="CB40" s="820"/>
      <c r="CC40" s="827"/>
      <c r="CD40" s="827"/>
      <c r="CE40" s="828"/>
      <c r="CF40" s="821">
        <v>12</v>
      </c>
      <c r="CG40" s="829"/>
      <c r="CH40" s="829"/>
      <c r="CI40" s="830"/>
      <c r="CJ40" s="821">
        <v>5</v>
      </c>
      <c r="CK40" s="829"/>
      <c r="CL40" s="829"/>
      <c r="CM40" s="830"/>
      <c r="CN40" s="820">
        <v>7</v>
      </c>
      <c r="CO40" s="827"/>
      <c r="CP40" s="827"/>
      <c r="CQ40" s="828"/>
      <c r="CR40" s="958">
        <v>12</v>
      </c>
      <c r="CS40" s="829"/>
      <c r="CT40" s="829"/>
      <c r="CU40" s="830"/>
      <c r="CV40" s="820">
        <v>3</v>
      </c>
      <c r="CW40" s="827"/>
      <c r="CX40" s="827"/>
      <c r="CY40" s="828"/>
      <c r="CZ40" s="821">
        <v>6</v>
      </c>
      <c r="DA40" s="829"/>
      <c r="DB40" s="829"/>
      <c r="DC40" s="830"/>
      <c r="DD40" s="821">
        <v>5</v>
      </c>
      <c r="DE40" s="829"/>
      <c r="DF40" s="829"/>
      <c r="DG40" s="830"/>
      <c r="DH40" s="820">
        <v>12</v>
      </c>
      <c r="DI40" s="827"/>
      <c r="DJ40" s="827"/>
      <c r="DK40" s="828"/>
      <c r="DL40" s="820">
        <v>8</v>
      </c>
      <c r="DM40" s="827"/>
      <c r="DN40" s="827"/>
      <c r="DO40" s="828"/>
      <c r="DP40" s="821">
        <v>12</v>
      </c>
      <c r="DQ40" s="829"/>
      <c r="DR40" s="829"/>
      <c r="DS40" s="830"/>
      <c r="DT40" s="821">
        <v>6</v>
      </c>
      <c r="DU40" s="829"/>
      <c r="DV40" s="829"/>
      <c r="DW40" s="830"/>
      <c r="DX40" s="820">
        <v>6</v>
      </c>
      <c r="DY40" s="827"/>
      <c r="DZ40" s="827"/>
      <c r="EA40" s="828"/>
      <c r="EB40" s="820">
        <v>2</v>
      </c>
      <c r="EC40" s="827"/>
      <c r="ED40" s="827"/>
      <c r="EE40" s="828"/>
      <c r="EF40" s="821">
        <v>10</v>
      </c>
      <c r="EG40" s="829"/>
      <c r="EH40" s="829"/>
      <c r="EI40" s="830"/>
      <c r="EJ40" s="821">
        <v>2</v>
      </c>
      <c r="EK40" s="829"/>
      <c r="EL40" s="829"/>
      <c r="EM40" s="830"/>
      <c r="EN40" s="821">
        <v>6</v>
      </c>
      <c r="EO40" s="829"/>
      <c r="EP40" s="829"/>
      <c r="EQ40" s="830"/>
      <c r="ER40" s="820">
        <v>6</v>
      </c>
      <c r="ES40" s="827"/>
      <c r="ET40" s="827"/>
      <c r="EU40" s="828"/>
      <c r="EV40" s="821">
        <v>9</v>
      </c>
      <c r="EW40" s="829"/>
      <c r="EX40" s="829"/>
      <c r="EY40" s="830"/>
      <c r="EZ40" s="821">
        <v>5</v>
      </c>
      <c r="FA40" s="829"/>
      <c r="FB40" s="829"/>
      <c r="FC40" s="830"/>
      <c r="FD40" s="821">
        <v>3</v>
      </c>
      <c r="FE40" s="829"/>
      <c r="FF40" s="829"/>
      <c r="FG40" s="830"/>
      <c r="FH40" s="820">
        <v>6</v>
      </c>
      <c r="FI40" s="827"/>
      <c r="FJ40" s="827"/>
      <c r="FK40" s="828"/>
      <c r="FL40" s="820">
        <v>8</v>
      </c>
      <c r="FM40" s="827"/>
      <c r="FN40" s="827"/>
      <c r="FO40" s="828"/>
      <c r="FP40" s="820">
        <v>11</v>
      </c>
      <c r="FQ40" s="827"/>
      <c r="FR40" s="827"/>
      <c r="FS40" s="828"/>
      <c r="FT40" s="820">
        <v>11</v>
      </c>
      <c r="FU40" s="827"/>
      <c r="FV40" s="827"/>
      <c r="FW40" s="828"/>
      <c r="FX40" s="820">
        <v>6</v>
      </c>
      <c r="FY40" s="827"/>
      <c r="FZ40" s="827"/>
      <c r="GA40" s="828"/>
      <c r="GB40" s="821">
        <v>5</v>
      </c>
      <c r="GC40" s="829"/>
      <c r="GD40" s="829"/>
      <c r="GE40" s="830"/>
      <c r="GF40" s="820">
        <v>9</v>
      </c>
      <c r="GG40" s="827"/>
      <c r="GH40" s="827"/>
      <c r="GI40" s="828"/>
      <c r="GJ40" s="820">
        <v>6</v>
      </c>
      <c r="GK40" s="827"/>
      <c r="GL40" s="827"/>
      <c r="GM40" s="828"/>
      <c r="GN40" s="821">
        <v>7</v>
      </c>
      <c r="GO40" s="829"/>
      <c r="GP40" s="829"/>
      <c r="GQ40" s="830"/>
      <c r="GR40" s="821">
        <v>12</v>
      </c>
      <c r="GS40" s="829"/>
      <c r="GT40" s="829"/>
      <c r="GU40" s="830"/>
      <c r="GV40" s="821">
        <v>5</v>
      </c>
      <c r="GW40" s="829"/>
      <c r="GX40" s="829"/>
      <c r="GY40" s="830"/>
      <c r="GZ40" s="821">
        <v>5</v>
      </c>
      <c r="HA40" s="829"/>
      <c r="HB40" s="829"/>
      <c r="HC40" s="830"/>
      <c r="HD40" s="821">
        <v>5</v>
      </c>
      <c r="HE40" s="829"/>
      <c r="HF40" s="829"/>
      <c r="HG40" s="830"/>
      <c r="HH40" s="821">
        <v>12</v>
      </c>
      <c r="HI40" s="829"/>
      <c r="HJ40" s="829"/>
      <c r="HK40" s="830"/>
      <c r="HL40" s="821">
        <v>6</v>
      </c>
      <c r="HM40" s="829"/>
      <c r="HN40" s="829"/>
      <c r="HO40" s="830"/>
      <c r="HP40" s="821">
        <v>12</v>
      </c>
      <c r="HQ40" s="829"/>
      <c r="HR40" s="829"/>
      <c r="HS40" s="830"/>
      <c r="HT40" s="821">
        <v>12</v>
      </c>
      <c r="HU40" s="829"/>
      <c r="HV40" s="829"/>
      <c r="HW40" s="830"/>
      <c r="HX40" s="821">
        <v>10</v>
      </c>
      <c r="HY40" s="829"/>
      <c r="HZ40" s="829"/>
      <c r="IA40" s="830"/>
      <c r="IB40" s="821">
        <v>4</v>
      </c>
      <c r="IC40" s="829"/>
      <c r="ID40" s="829"/>
      <c r="IE40" s="830"/>
      <c r="IF40" s="821">
        <v>7</v>
      </c>
      <c r="IG40" s="829"/>
      <c r="IH40" s="829"/>
      <c r="II40" s="830"/>
      <c r="IJ40" s="821">
        <v>2</v>
      </c>
      <c r="IK40" s="829"/>
      <c r="IL40" s="829"/>
      <c r="IM40" s="830"/>
      <c r="IN40" s="821">
        <v>1</v>
      </c>
      <c r="IO40" s="829"/>
      <c r="IP40" s="829"/>
      <c r="IQ40" s="830"/>
      <c r="IR40" s="821">
        <v>1</v>
      </c>
      <c r="IS40" s="829"/>
      <c r="IT40" s="829"/>
      <c r="IU40" s="830"/>
      <c r="IV40" s="821">
        <v>1</v>
      </c>
      <c r="IW40" s="829"/>
      <c r="IX40" s="829"/>
      <c r="IY40" s="830"/>
      <c r="IZ40" s="821">
        <v>1</v>
      </c>
      <c r="JA40" s="829"/>
      <c r="JB40" s="829"/>
      <c r="JC40" s="830"/>
      <c r="JD40" s="821">
        <v>6</v>
      </c>
      <c r="JE40" s="829"/>
      <c r="JF40" s="829"/>
      <c r="JG40" s="830"/>
      <c r="JH40" s="821">
        <v>12</v>
      </c>
      <c r="JI40" s="829"/>
      <c r="JJ40" s="829"/>
      <c r="JK40" s="830"/>
      <c r="JL40" s="821">
        <v>12</v>
      </c>
      <c r="JM40" s="829"/>
      <c r="JN40" s="829"/>
      <c r="JO40" s="830"/>
      <c r="JP40" s="821">
        <v>1</v>
      </c>
      <c r="JQ40" s="829"/>
      <c r="JR40" s="829"/>
      <c r="JS40" s="830"/>
      <c r="JT40" s="821">
        <v>12</v>
      </c>
      <c r="JU40" s="829"/>
      <c r="JV40" s="829"/>
      <c r="JW40" s="830"/>
      <c r="JX40" s="821">
        <v>3</v>
      </c>
      <c r="JY40" s="829"/>
      <c r="JZ40" s="829"/>
      <c r="KA40" s="830"/>
      <c r="KB40" s="821">
        <v>5</v>
      </c>
      <c r="KC40" s="829"/>
      <c r="KD40" s="829"/>
      <c r="KE40" s="830"/>
      <c r="KF40" s="821">
        <v>5</v>
      </c>
      <c r="KG40" s="829"/>
      <c r="KH40" s="829"/>
      <c r="KI40" s="830"/>
      <c r="KJ40" s="821">
        <v>10</v>
      </c>
      <c r="KK40" s="829"/>
      <c r="KL40" s="829"/>
      <c r="KM40" s="830"/>
      <c r="KN40" s="821">
        <v>12</v>
      </c>
      <c r="KO40" s="829"/>
      <c r="KP40" s="829"/>
      <c r="KQ40" s="830"/>
      <c r="KR40" s="821">
        <v>12</v>
      </c>
      <c r="KS40" s="829"/>
      <c r="KT40" s="829"/>
      <c r="KU40" s="830"/>
      <c r="KV40" s="821">
        <v>5</v>
      </c>
      <c r="KW40" s="829"/>
      <c r="KX40" s="829"/>
      <c r="KY40" s="830"/>
      <c r="KZ40" s="821">
        <v>6</v>
      </c>
      <c r="LA40" s="829"/>
      <c r="LB40" s="829"/>
      <c r="LC40" s="830"/>
      <c r="LD40" s="821">
        <v>8</v>
      </c>
      <c r="LE40" s="829"/>
      <c r="LF40" s="829"/>
      <c r="LG40" s="830"/>
      <c r="LH40" s="821">
        <v>10</v>
      </c>
      <c r="LI40" s="829"/>
      <c r="LJ40" s="829"/>
      <c r="LK40" s="830"/>
      <c r="LL40" s="821">
        <v>6</v>
      </c>
      <c r="LM40" s="829"/>
      <c r="LN40" s="829"/>
      <c r="LO40" s="830"/>
      <c r="LP40" s="821">
        <v>10</v>
      </c>
      <c r="LQ40" s="829"/>
      <c r="LR40" s="829"/>
      <c r="LS40" s="830"/>
      <c r="LT40" s="821">
        <v>9</v>
      </c>
      <c r="LU40" s="829"/>
      <c r="LV40" s="829"/>
      <c r="LW40" s="830"/>
      <c r="LX40" s="821">
        <v>6</v>
      </c>
      <c r="LY40" s="829"/>
      <c r="LZ40" s="829"/>
      <c r="MA40" s="830"/>
      <c r="MB40" s="821">
        <v>3</v>
      </c>
      <c r="MC40" s="829"/>
      <c r="MD40" s="829"/>
      <c r="ME40" s="830"/>
      <c r="MF40" s="821">
        <v>7</v>
      </c>
      <c r="MG40" s="829"/>
      <c r="MH40" s="829"/>
      <c r="MI40" s="830"/>
      <c r="MJ40" s="821">
        <v>6</v>
      </c>
      <c r="MK40" s="829"/>
      <c r="ML40" s="829"/>
      <c r="MM40" s="830"/>
      <c r="MN40" s="821">
        <v>1</v>
      </c>
      <c r="MO40" s="829"/>
      <c r="MP40" s="829"/>
      <c r="MQ40" s="830"/>
      <c r="MR40" s="821">
        <v>7</v>
      </c>
      <c r="MS40" s="829"/>
      <c r="MT40" s="829"/>
      <c r="MU40" s="830"/>
      <c r="MV40" s="821">
        <v>12</v>
      </c>
      <c r="MW40" s="829"/>
      <c r="MX40" s="829"/>
      <c r="MY40" s="830"/>
      <c r="MZ40" s="821">
        <v>5</v>
      </c>
      <c r="NA40" s="829"/>
      <c r="NB40" s="829"/>
      <c r="NC40" s="830"/>
      <c r="ND40" s="821">
        <v>5</v>
      </c>
      <c r="NE40" s="829"/>
      <c r="NF40" s="829"/>
      <c r="NG40" s="830"/>
      <c r="NH40" s="975"/>
      <c r="NI40" s="979" t="s">
        <v>294</v>
      </c>
      <c r="NJ40" s="980" t="s">
        <v>295</v>
      </c>
      <c r="NK40" s="977"/>
      <c r="NL40" s="977"/>
    </row>
    <row r="41" spans="1:377" ht="13.6" thickBot="1">
      <c r="A41" s="874"/>
      <c r="B41" s="971"/>
      <c r="C41" s="957"/>
      <c r="D41" s="825"/>
      <c r="E41" s="817"/>
      <c r="F41" s="817"/>
      <c r="G41" s="819"/>
      <c r="H41" s="825"/>
      <c r="I41" s="817"/>
      <c r="J41" s="817"/>
      <c r="K41" s="819"/>
      <c r="L41" s="825"/>
      <c r="M41" s="817"/>
      <c r="N41" s="817"/>
      <c r="O41" s="819"/>
      <c r="P41" s="825"/>
      <c r="Q41" s="817"/>
      <c r="R41" s="817"/>
      <c r="S41" s="819"/>
      <c r="T41" s="825"/>
      <c r="U41" s="817"/>
      <c r="V41" s="817"/>
      <c r="W41" s="819"/>
      <c r="X41" s="825"/>
      <c r="Y41" s="817"/>
      <c r="Z41" s="817"/>
      <c r="AA41" s="819"/>
      <c r="AB41" s="825"/>
      <c r="AC41" s="817"/>
      <c r="AD41" s="817"/>
      <c r="AE41" s="819"/>
      <c r="AF41" s="825"/>
      <c r="AG41" s="817"/>
      <c r="AH41" s="817"/>
      <c r="AI41" s="819"/>
      <c r="AJ41" s="825"/>
      <c r="AK41" s="817"/>
      <c r="AL41" s="817"/>
      <c r="AM41" s="819"/>
      <c r="AN41" s="825"/>
      <c r="AO41" s="817"/>
      <c r="AP41" s="817"/>
      <c r="AQ41" s="819"/>
      <c r="AR41" s="825"/>
      <c r="AS41" s="817"/>
      <c r="AT41" s="817"/>
      <c r="AU41" s="819"/>
      <c r="AV41" s="825"/>
      <c r="AW41" s="817"/>
      <c r="AX41" s="817"/>
      <c r="AY41" s="819"/>
      <c r="AZ41" s="825"/>
      <c r="BA41" s="817"/>
      <c r="BB41" s="817"/>
      <c r="BC41" s="819"/>
      <c r="BD41" s="825"/>
      <c r="BE41" s="817"/>
      <c r="BF41" s="817"/>
      <c r="BG41" s="819"/>
      <c r="BH41" s="825"/>
      <c r="BI41" s="817"/>
      <c r="BJ41" s="817"/>
      <c r="BK41" s="819"/>
      <c r="BL41" s="825"/>
      <c r="BM41" s="817"/>
      <c r="BN41" s="817"/>
      <c r="BO41" s="819"/>
      <c r="BP41" s="825"/>
      <c r="BQ41" s="817"/>
      <c r="BR41" s="817"/>
      <c r="BS41" s="819"/>
      <c r="BT41" s="826"/>
      <c r="BU41" s="815"/>
      <c r="BV41" s="815"/>
      <c r="BW41" s="823"/>
      <c r="BX41" s="825"/>
      <c r="BY41" s="817"/>
      <c r="BZ41" s="817"/>
      <c r="CA41" s="819"/>
      <c r="CB41" s="825"/>
      <c r="CC41" s="817"/>
      <c r="CD41" s="817"/>
      <c r="CE41" s="819"/>
      <c r="CF41" s="826"/>
      <c r="CG41" s="815"/>
      <c r="CH41" s="815"/>
      <c r="CI41" s="823"/>
      <c r="CJ41" s="826"/>
      <c r="CK41" s="815"/>
      <c r="CL41" s="815"/>
      <c r="CM41" s="823"/>
      <c r="CN41" s="825"/>
      <c r="CO41" s="817"/>
      <c r="CP41" s="817"/>
      <c r="CQ41" s="819"/>
      <c r="CR41" s="826"/>
      <c r="CS41" s="815"/>
      <c r="CT41" s="815"/>
      <c r="CU41" s="823"/>
      <c r="CV41" s="825"/>
      <c r="CW41" s="817"/>
      <c r="CX41" s="817"/>
      <c r="CY41" s="819"/>
      <c r="CZ41" s="826"/>
      <c r="DA41" s="815"/>
      <c r="DB41" s="815"/>
      <c r="DC41" s="823"/>
      <c r="DD41" s="826"/>
      <c r="DE41" s="815"/>
      <c r="DF41" s="815"/>
      <c r="DG41" s="823"/>
      <c r="DH41" s="825"/>
      <c r="DI41" s="817"/>
      <c r="DJ41" s="817"/>
      <c r="DK41" s="819"/>
      <c r="DL41" s="825"/>
      <c r="DM41" s="817"/>
      <c r="DN41" s="817"/>
      <c r="DO41" s="819"/>
      <c r="DP41" s="826"/>
      <c r="DQ41" s="815"/>
      <c r="DR41" s="815"/>
      <c r="DS41" s="823"/>
      <c r="DT41" s="826"/>
      <c r="DU41" s="815"/>
      <c r="DV41" s="815"/>
      <c r="DW41" s="823"/>
      <c r="DX41" s="825"/>
      <c r="DY41" s="817"/>
      <c r="DZ41" s="817"/>
      <c r="EA41" s="819"/>
      <c r="EB41" s="825"/>
      <c r="EC41" s="817"/>
      <c r="ED41" s="817"/>
      <c r="EE41" s="819"/>
      <c r="EF41" s="826"/>
      <c r="EG41" s="815"/>
      <c r="EH41" s="815"/>
      <c r="EI41" s="823"/>
      <c r="EJ41" s="826"/>
      <c r="EK41" s="815"/>
      <c r="EL41" s="815"/>
      <c r="EM41" s="823"/>
      <c r="EN41" s="826"/>
      <c r="EO41" s="815"/>
      <c r="EP41" s="815"/>
      <c r="EQ41" s="823"/>
      <c r="ER41" s="825"/>
      <c r="ES41" s="817"/>
      <c r="ET41" s="817"/>
      <c r="EU41" s="819"/>
      <c r="EV41" s="826"/>
      <c r="EW41" s="815"/>
      <c r="EX41" s="815"/>
      <c r="EY41" s="823"/>
      <c r="EZ41" s="826"/>
      <c r="FA41" s="815"/>
      <c r="FB41" s="815"/>
      <c r="FC41" s="823"/>
      <c r="FD41" s="826"/>
      <c r="FE41" s="815"/>
      <c r="FF41" s="815"/>
      <c r="FG41" s="823"/>
      <c r="FH41" s="825"/>
      <c r="FI41" s="817"/>
      <c r="FJ41" s="817"/>
      <c r="FK41" s="819"/>
      <c r="FL41" s="825"/>
      <c r="FM41" s="817"/>
      <c r="FN41" s="817"/>
      <c r="FO41" s="819"/>
      <c r="FP41" s="825"/>
      <c r="FQ41" s="817"/>
      <c r="FR41" s="817"/>
      <c r="FS41" s="819"/>
      <c r="FT41" s="825"/>
      <c r="FU41" s="817"/>
      <c r="FV41" s="817"/>
      <c r="FW41" s="819"/>
      <c r="FX41" s="825"/>
      <c r="FY41" s="817"/>
      <c r="FZ41" s="817"/>
      <c r="GA41" s="819"/>
      <c r="GB41" s="826"/>
      <c r="GC41" s="815"/>
      <c r="GD41" s="815"/>
      <c r="GE41" s="823"/>
      <c r="GF41" s="825"/>
      <c r="GG41" s="817"/>
      <c r="GH41" s="817"/>
      <c r="GI41" s="819"/>
      <c r="GJ41" s="825"/>
      <c r="GK41" s="817"/>
      <c r="GL41" s="817"/>
      <c r="GM41" s="819"/>
      <c r="GN41" s="826"/>
      <c r="GO41" s="815"/>
      <c r="GP41" s="815"/>
      <c r="GQ41" s="823"/>
      <c r="GR41" s="826"/>
      <c r="GS41" s="815"/>
      <c r="GT41" s="815"/>
      <c r="GU41" s="823"/>
      <c r="GV41" s="826"/>
      <c r="GW41" s="815"/>
      <c r="GX41" s="815"/>
      <c r="GY41" s="823"/>
      <c r="GZ41" s="826"/>
      <c r="HA41" s="815"/>
      <c r="HB41" s="815"/>
      <c r="HC41" s="823"/>
      <c r="HD41" s="826"/>
      <c r="HE41" s="815"/>
      <c r="HF41" s="815"/>
      <c r="HG41" s="823"/>
      <c r="HH41" s="826"/>
      <c r="HI41" s="815"/>
      <c r="HJ41" s="815"/>
      <c r="HK41" s="823"/>
      <c r="HL41" s="826"/>
      <c r="HM41" s="815"/>
      <c r="HN41" s="815"/>
      <c r="HO41" s="823"/>
      <c r="HP41" s="826"/>
      <c r="HQ41" s="815"/>
      <c r="HR41" s="815"/>
      <c r="HS41" s="823"/>
      <c r="HT41" s="826"/>
      <c r="HU41" s="815"/>
      <c r="HV41" s="815"/>
      <c r="HW41" s="823"/>
      <c r="HX41" s="826"/>
      <c r="HY41" s="815"/>
      <c r="HZ41" s="815"/>
      <c r="IA41" s="823"/>
      <c r="IB41" s="826"/>
      <c r="IC41" s="815"/>
      <c r="ID41" s="815"/>
      <c r="IE41" s="823"/>
      <c r="IF41" s="826"/>
      <c r="IG41" s="815"/>
      <c r="IH41" s="815"/>
      <c r="II41" s="823"/>
      <c r="IJ41" s="826"/>
      <c r="IK41" s="815"/>
      <c r="IL41" s="815"/>
      <c r="IM41" s="823"/>
      <c r="IN41" s="870"/>
      <c r="IO41" s="871"/>
      <c r="IP41" s="871"/>
      <c r="IQ41" s="872"/>
      <c r="IR41" s="870"/>
      <c r="IS41" s="871"/>
      <c r="IT41" s="871"/>
      <c r="IU41" s="872"/>
      <c r="IV41" s="870"/>
      <c r="IW41" s="871"/>
      <c r="IX41" s="871"/>
      <c r="IY41" s="872"/>
      <c r="IZ41" s="870"/>
      <c r="JA41" s="871"/>
      <c r="JB41" s="871"/>
      <c r="JC41" s="872"/>
      <c r="JD41" s="826"/>
      <c r="JE41" s="815"/>
      <c r="JF41" s="815"/>
      <c r="JG41" s="823"/>
      <c r="JH41" s="826"/>
      <c r="JI41" s="815"/>
      <c r="JJ41" s="815"/>
      <c r="JK41" s="823"/>
      <c r="JL41" s="826"/>
      <c r="JM41" s="815"/>
      <c r="JN41" s="815"/>
      <c r="JO41" s="823"/>
      <c r="JP41" s="826"/>
      <c r="JQ41" s="815"/>
      <c r="JR41" s="815"/>
      <c r="JS41" s="823"/>
      <c r="JT41" s="826"/>
      <c r="JU41" s="815"/>
      <c r="JV41" s="815"/>
      <c r="JW41" s="823"/>
      <c r="JX41" s="826"/>
      <c r="JY41" s="815"/>
      <c r="JZ41" s="815"/>
      <c r="KA41" s="823"/>
      <c r="KB41" s="826"/>
      <c r="KC41" s="815"/>
      <c r="KD41" s="815"/>
      <c r="KE41" s="823"/>
      <c r="KF41" s="826"/>
      <c r="KG41" s="815"/>
      <c r="KH41" s="815"/>
      <c r="KI41" s="823"/>
      <c r="KJ41" s="826"/>
      <c r="KK41" s="815"/>
      <c r="KL41" s="815"/>
      <c r="KM41" s="823"/>
      <c r="KN41" s="826"/>
      <c r="KO41" s="815"/>
      <c r="KP41" s="815"/>
      <c r="KQ41" s="823"/>
      <c r="KR41" s="826"/>
      <c r="KS41" s="815"/>
      <c r="KT41" s="815"/>
      <c r="KU41" s="823"/>
      <c r="KV41" s="826"/>
      <c r="KW41" s="815"/>
      <c r="KX41" s="815"/>
      <c r="KY41" s="823"/>
      <c r="KZ41" s="826"/>
      <c r="LA41" s="815"/>
      <c r="LB41" s="815"/>
      <c r="LC41" s="823"/>
      <c r="LD41" s="826"/>
      <c r="LE41" s="815"/>
      <c r="LF41" s="815"/>
      <c r="LG41" s="823"/>
      <c r="LH41" s="826"/>
      <c r="LI41" s="815"/>
      <c r="LJ41" s="815"/>
      <c r="LK41" s="823"/>
      <c r="LL41" s="826"/>
      <c r="LM41" s="815"/>
      <c r="LN41" s="815"/>
      <c r="LO41" s="823"/>
      <c r="LP41" s="870"/>
      <c r="LQ41" s="871"/>
      <c r="LR41" s="871"/>
      <c r="LS41" s="872"/>
      <c r="LT41" s="870"/>
      <c r="LU41" s="871"/>
      <c r="LV41" s="871"/>
      <c r="LW41" s="872"/>
      <c r="LX41" s="826"/>
      <c r="LY41" s="815"/>
      <c r="LZ41" s="815"/>
      <c r="MA41" s="823"/>
      <c r="MB41" s="826"/>
      <c r="MC41" s="815"/>
      <c r="MD41" s="815"/>
      <c r="ME41" s="823"/>
      <c r="MF41" s="826"/>
      <c r="MG41" s="815"/>
      <c r="MH41" s="815"/>
      <c r="MI41" s="823"/>
      <c r="MJ41" s="826"/>
      <c r="MK41" s="815"/>
      <c r="ML41" s="815"/>
      <c r="MM41" s="823"/>
      <c r="MN41" s="826"/>
      <c r="MO41" s="815"/>
      <c r="MP41" s="815"/>
      <c r="MQ41" s="823"/>
      <c r="MR41" s="826"/>
      <c r="MS41" s="815"/>
      <c r="MT41" s="815"/>
      <c r="MU41" s="823"/>
      <c r="MV41" s="826"/>
      <c r="MW41" s="815"/>
      <c r="MX41" s="815"/>
      <c r="MY41" s="823"/>
      <c r="MZ41" s="826"/>
      <c r="NA41" s="815"/>
      <c r="NB41" s="815"/>
      <c r="NC41" s="823"/>
      <c r="ND41" s="826"/>
      <c r="NE41" s="815"/>
      <c r="NF41" s="815"/>
      <c r="NG41" s="823"/>
      <c r="NH41" s="978"/>
      <c r="NI41" s="981" t="s">
        <v>296</v>
      </c>
      <c r="NJ41" s="982" t="s">
        <v>297</v>
      </c>
      <c r="NM41" s="977"/>
    </row>
    <row r="42" spans="1:377" ht="13.6">
      <c r="A42" s="874">
        <v>19</v>
      </c>
      <c r="B42" s="983"/>
      <c r="C42" s="1147" t="s">
        <v>93</v>
      </c>
      <c r="D42" s="1144" t="s">
        <v>94</v>
      </c>
      <c r="E42" s="1146" t="s">
        <v>95</v>
      </c>
      <c r="F42" s="1146" t="s">
        <v>96</v>
      </c>
      <c r="G42" s="831" t="s">
        <v>235</v>
      </c>
      <c r="H42" s="1144" t="s">
        <v>94</v>
      </c>
      <c r="I42" s="1146" t="s">
        <v>95</v>
      </c>
      <c r="J42" s="1146" t="s">
        <v>96</v>
      </c>
      <c r="K42" s="831" t="s">
        <v>235</v>
      </c>
      <c r="L42" s="1144" t="s">
        <v>94</v>
      </c>
      <c r="M42" s="1146" t="s">
        <v>95</v>
      </c>
      <c r="N42" s="1146" t="s">
        <v>96</v>
      </c>
      <c r="O42" s="831" t="s">
        <v>235</v>
      </c>
      <c r="P42" s="1144" t="s">
        <v>94</v>
      </c>
      <c r="Q42" s="1146" t="s">
        <v>95</v>
      </c>
      <c r="R42" s="1146" t="s">
        <v>96</v>
      </c>
      <c r="S42" s="831" t="s">
        <v>235</v>
      </c>
      <c r="T42" s="1144" t="s">
        <v>94</v>
      </c>
      <c r="U42" s="1146" t="s">
        <v>95</v>
      </c>
      <c r="V42" s="1146" t="s">
        <v>96</v>
      </c>
      <c r="W42" s="831" t="s">
        <v>235</v>
      </c>
      <c r="X42" s="1144" t="s">
        <v>94</v>
      </c>
      <c r="Y42" s="1146" t="s">
        <v>95</v>
      </c>
      <c r="Z42" s="1146" t="s">
        <v>96</v>
      </c>
      <c r="AA42" s="831" t="s">
        <v>235</v>
      </c>
      <c r="AB42" s="1144" t="s">
        <v>94</v>
      </c>
      <c r="AC42" s="1146" t="s">
        <v>95</v>
      </c>
      <c r="AD42" s="1146" t="s">
        <v>96</v>
      </c>
      <c r="AE42" s="831" t="s">
        <v>235</v>
      </c>
      <c r="AF42" s="1144" t="s">
        <v>94</v>
      </c>
      <c r="AG42" s="1146" t="s">
        <v>95</v>
      </c>
      <c r="AH42" s="1146" t="s">
        <v>96</v>
      </c>
      <c r="AI42" s="831" t="s">
        <v>235</v>
      </c>
      <c r="AJ42" s="1144" t="s">
        <v>94</v>
      </c>
      <c r="AK42" s="1146" t="s">
        <v>95</v>
      </c>
      <c r="AL42" s="1146" t="s">
        <v>96</v>
      </c>
      <c r="AM42" s="831" t="s">
        <v>235</v>
      </c>
      <c r="AN42" s="1144" t="s">
        <v>94</v>
      </c>
      <c r="AO42" s="1146" t="s">
        <v>95</v>
      </c>
      <c r="AP42" s="1146" t="s">
        <v>96</v>
      </c>
      <c r="AQ42" s="831" t="s">
        <v>235</v>
      </c>
      <c r="AR42" s="1144" t="s">
        <v>94</v>
      </c>
      <c r="AS42" s="1146" t="s">
        <v>95</v>
      </c>
      <c r="AT42" s="1146" t="s">
        <v>96</v>
      </c>
      <c r="AU42" s="831" t="s">
        <v>235</v>
      </c>
      <c r="AV42" s="1144" t="s">
        <v>94</v>
      </c>
      <c r="AW42" s="1146" t="s">
        <v>95</v>
      </c>
      <c r="AX42" s="1146" t="s">
        <v>96</v>
      </c>
      <c r="AY42" s="831" t="s">
        <v>235</v>
      </c>
      <c r="AZ42" s="1144" t="s">
        <v>94</v>
      </c>
      <c r="BA42" s="1146" t="s">
        <v>95</v>
      </c>
      <c r="BB42" s="1146" t="s">
        <v>96</v>
      </c>
      <c r="BC42" s="831" t="s">
        <v>235</v>
      </c>
      <c r="BD42" s="1144" t="s">
        <v>94</v>
      </c>
      <c r="BE42" s="1146" t="s">
        <v>95</v>
      </c>
      <c r="BF42" s="1146" t="s">
        <v>96</v>
      </c>
      <c r="BG42" s="831" t="s">
        <v>235</v>
      </c>
      <c r="BH42" s="1144" t="s">
        <v>94</v>
      </c>
      <c r="BI42" s="1146" t="s">
        <v>95</v>
      </c>
      <c r="BJ42" s="1146" t="s">
        <v>96</v>
      </c>
      <c r="BK42" s="831" t="s">
        <v>235</v>
      </c>
      <c r="BL42" s="1144" t="s">
        <v>94</v>
      </c>
      <c r="BM42" s="1146" t="s">
        <v>95</v>
      </c>
      <c r="BN42" s="1146" t="s">
        <v>96</v>
      </c>
      <c r="BO42" s="831" t="s">
        <v>235</v>
      </c>
      <c r="BP42" s="1144" t="s">
        <v>94</v>
      </c>
      <c r="BQ42" s="1146" t="s">
        <v>95</v>
      </c>
      <c r="BR42" s="1146" t="s">
        <v>96</v>
      </c>
      <c r="BS42" s="831" t="s">
        <v>235</v>
      </c>
      <c r="BT42" s="1144" t="s">
        <v>94</v>
      </c>
      <c r="BU42" s="1146" t="s">
        <v>95</v>
      </c>
      <c r="BV42" s="1146" t="s">
        <v>96</v>
      </c>
      <c r="BW42" s="831" t="s">
        <v>235</v>
      </c>
      <c r="BX42" s="1144" t="s">
        <v>94</v>
      </c>
      <c r="BY42" s="1146" t="s">
        <v>95</v>
      </c>
      <c r="BZ42" s="1146" t="s">
        <v>96</v>
      </c>
      <c r="CA42" s="831" t="s">
        <v>235</v>
      </c>
      <c r="CB42" s="1144" t="s">
        <v>94</v>
      </c>
      <c r="CC42" s="1146" t="s">
        <v>95</v>
      </c>
      <c r="CD42" s="1146" t="s">
        <v>96</v>
      </c>
      <c r="CE42" s="831" t="s">
        <v>235</v>
      </c>
      <c r="CF42" s="1144" t="s">
        <v>94</v>
      </c>
      <c r="CG42" s="1146" t="s">
        <v>95</v>
      </c>
      <c r="CH42" s="1146" t="s">
        <v>96</v>
      </c>
      <c r="CI42" s="831" t="s">
        <v>235</v>
      </c>
      <c r="CJ42" s="1144" t="s">
        <v>94</v>
      </c>
      <c r="CK42" s="1146" t="s">
        <v>95</v>
      </c>
      <c r="CL42" s="1146" t="s">
        <v>96</v>
      </c>
      <c r="CM42" s="831" t="s">
        <v>235</v>
      </c>
      <c r="CN42" s="1144" t="s">
        <v>94</v>
      </c>
      <c r="CO42" s="1146" t="s">
        <v>95</v>
      </c>
      <c r="CP42" s="1146" t="s">
        <v>96</v>
      </c>
      <c r="CQ42" s="831" t="s">
        <v>235</v>
      </c>
      <c r="CR42" s="1144" t="s">
        <v>94</v>
      </c>
      <c r="CS42" s="1146" t="s">
        <v>95</v>
      </c>
      <c r="CT42" s="1146" t="s">
        <v>96</v>
      </c>
      <c r="CU42" s="831" t="s">
        <v>235</v>
      </c>
      <c r="CV42" s="1144" t="s">
        <v>94</v>
      </c>
      <c r="CW42" s="1146" t="s">
        <v>95</v>
      </c>
      <c r="CX42" s="1146" t="s">
        <v>96</v>
      </c>
      <c r="CY42" s="831" t="s">
        <v>235</v>
      </c>
      <c r="CZ42" s="1144" t="s">
        <v>94</v>
      </c>
      <c r="DA42" s="1146" t="s">
        <v>95</v>
      </c>
      <c r="DB42" s="1146" t="s">
        <v>96</v>
      </c>
      <c r="DC42" s="831" t="s">
        <v>235</v>
      </c>
      <c r="DD42" s="1144" t="s">
        <v>94</v>
      </c>
      <c r="DE42" s="1146" t="s">
        <v>95</v>
      </c>
      <c r="DF42" s="1146" t="s">
        <v>96</v>
      </c>
      <c r="DG42" s="831" t="s">
        <v>235</v>
      </c>
      <c r="DH42" s="1144" t="s">
        <v>94</v>
      </c>
      <c r="DI42" s="1146" t="s">
        <v>95</v>
      </c>
      <c r="DJ42" s="1146" t="s">
        <v>96</v>
      </c>
      <c r="DK42" s="831" t="s">
        <v>235</v>
      </c>
      <c r="DL42" s="1144" t="s">
        <v>94</v>
      </c>
      <c r="DM42" s="1146" t="s">
        <v>95</v>
      </c>
      <c r="DN42" s="1146" t="s">
        <v>96</v>
      </c>
      <c r="DO42" s="831" t="s">
        <v>235</v>
      </c>
      <c r="DP42" s="1144" t="s">
        <v>94</v>
      </c>
      <c r="DQ42" s="1146" t="s">
        <v>95</v>
      </c>
      <c r="DR42" s="1146" t="s">
        <v>96</v>
      </c>
      <c r="DS42" s="831" t="s">
        <v>235</v>
      </c>
      <c r="DT42" s="1144" t="s">
        <v>94</v>
      </c>
      <c r="DU42" s="1146" t="s">
        <v>95</v>
      </c>
      <c r="DV42" s="1146" t="s">
        <v>96</v>
      </c>
      <c r="DW42" s="831" t="s">
        <v>235</v>
      </c>
      <c r="DX42" s="1144" t="s">
        <v>94</v>
      </c>
      <c r="DY42" s="1146" t="s">
        <v>95</v>
      </c>
      <c r="DZ42" s="1146" t="s">
        <v>96</v>
      </c>
      <c r="EA42" s="831" t="s">
        <v>235</v>
      </c>
      <c r="EB42" s="1144" t="s">
        <v>94</v>
      </c>
      <c r="EC42" s="1146" t="s">
        <v>95</v>
      </c>
      <c r="ED42" s="1146" t="s">
        <v>96</v>
      </c>
      <c r="EE42" s="831" t="s">
        <v>235</v>
      </c>
      <c r="EF42" s="1144" t="s">
        <v>94</v>
      </c>
      <c r="EG42" s="1146" t="s">
        <v>95</v>
      </c>
      <c r="EH42" s="1146" t="s">
        <v>96</v>
      </c>
      <c r="EI42" s="831" t="s">
        <v>235</v>
      </c>
      <c r="EJ42" s="1144" t="s">
        <v>94</v>
      </c>
      <c r="EK42" s="1146" t="s">
        <v>95</v>
      </c>
      <c r="EL42" s="1146" t="s">
        <v>96</v>
      </c>
      <c r="EM42" s="831" t="s">
        <v>235</v>
      </c>
      <c r="EN42" s="1144" t="s">
        <v>94</v>
      </c>
      <c r="EO42" s="1146" t="s">
        <v>95</v>
      </c>
      <c r="EP42" s="1146" t="s">
        <v>96</v>
      </c>
      <c r="EQ42" s="831" t="s">
        <v>235</v>
      </c>
      <c r="ER42" s="1144" t="s">
        <v>94</v>
      </c>
      <c r="ES42" s="1146" t="s">
        <v>95</v>
      </c>
      <c r="ET42" s="1146" t="s">
        <v>96</v>
      </c>
      <c r="EU42" s="831" t="s">
        <v>235</v>
      </c>
      <c r="EV42" s="1144" t="s">
        <v>94</v>
      </c>
      <c r="EW42" s="1146" t="s">
        <v>95</v>
      </c>
      <c r="EX42" s="1146" t="s">
        <v>96</v>
      </c>
      <c r="EY42" s="831" t="s">
        <v>235</v>
      </c>
      <c r="EZ42" s="1144" t="s">
        <v>94</v>
      </c>
      <c r="FA42" s="1146" t="s">
        <v>95</v>
      </c>
      <c r="FB42" s="1146" t="s">
        <v>96</v>
      </c>
      <c r="FC42" s="831" t="s">
        <v>235</v>
      </c>
      <c r="FD42" s="1144" t="s">
        <v>94</v>
      </c>
      <c r="FE42" s="1146" t="s">
        <v>95</v>
      </c>
      <c r="FF42" s="1146" t="s">
        <v>96</v>
      </c>
      <c r="FG42" s="831" t="s">
        <v>235</v>
      </c>
      <c r="FH42" s="1144" t="s">
        <v>94</v>
      </c>
      <c r="FI42" s="1146" t="s">
        <v>95</v>
      </c>
      <c r="FJ42" s="1146" t="s">
        <v>96</v>
      </c>
      <c r="FK42" s="831" t="s">
        <v>235</v>
      </c>
      <c r="FL42" s="1144" t="s">
        <v>94</v>
      </c>
      <c r="FM42" s="1146" t="s">
        <v>95</v>
      </c>
      <c r="FN42" s="1146" t="s">
        <v>96</v>
      </c>
      <c r="FO42" s="831" t="s">
        <v>235</v>
      </c>
      <c r="FP42" s="1144" t="s">
        <v>94</v>
      </c>
      <c r="FQ42" s="1146" t="s">
        <v>95</v>
      </c>
      <c r="FR42" s="1146" t="s">
        <v>96</v>
      </c>
      <c r="FS42" s="831" t="s">
        <v>235</v>
      </c>
      <c r="FT42" s="1144" t="s">
        <v>94</v>
      </c>
      <c r="FU42" s="1146" t="s">
        <v>95</v>
      </c>
      <c r="FV42" s="1146" t="s">
        <v>96</v>
      </c>
      <c r="FW42" s="831" t="s">
        <v>235</v>
      </c>
      <c r="FX42" s="1144" t="s">
        <v>94</v>
      </c>
      <c r="FY42" s="1146" t="s">
        <v>95</v>
      </c>
      <c r="FZ42" s="1146" t="s">
        <v>96</v>
      </c>
      <c r="GA42" s="831" t="s">
        <v>235</v>
      </c>
      <c r="GB42" s="1144" t="s">
        <v>94</v>
      </c>
      <c r="GC42" s="1146" t="s">
        <v>95</v>
      </c>
      <c r="GD42" s="1146" t="s">
        <v>96</v>
      </c>
      <c r="GE42" s="831" t="s">
        <v>235</v>
      </c>
      <c r="GF42" s="1144" t="s">
        <v>94</v>
      </c>
      <c r="GG42" s="1146" t="s">
        <v>95</v>
      </c>
      <c r="GH42" s="1146" t="s">
        <v>96</v>
      </c>
      <c r="GI42" s="831" t="s">
        <v>235</v>
      </c>
      <c r="GJ42" s="1144" t="s">
        <v>94</v>
      </c>
      <c r="GK42" s="1146" t="s">
        <v>95</v>
      </c>
      <c r="GL42" s="1146" t="s">
        <v>96</v>
      </c>
      <c r="GM42" s="831" t="s">
        <v>235</v>
      </c>
      <c r="GN42" s="1144" t="s">
        <v>94</v>
      </c>
      <c r="GO42" s="1146" t="s">
        <v>95</v>
      </c>
      <c r="GP42" s="1146" t="s">
        <v>96</v>
      </c>
      <c r="GQ42" s="831" t="s">
        <v>235</v>
      </c>
      <c r="GR42" s="1144" t="s">
        <v>94</v>
      </c>
      <c r="GS42" s="1146" t="s">
        <v>95</v>
      </c>
      <c r="GT42" s="1146" t="s">
        <v>96</v>
      </c>
      <c r="GU42" s="831" t="s">
        <v>235</v>
      </c>
      <c r="GV42" s="1144" t="s">
        <v>94</v>
      </c>
      <c r="GW42" s="1146" t="s">
        <v>95</v>
      </c>
      <c r="GX42" s="1146" t="s">
        <v>96</v>
      </c>
      <c r="GY42" s="831" t="s">
        <v>235</v>
      </c>
      <c r="GZ42" s="1144" t="s">
        <v>94</v>
      </c>
      <c r="HA42" s="1146" t="s">
        <v>95</v>
      </c>
      <c r="HB42" s="1146" t="s">
        <v>96</v>
      </c>
      <c r="HC42" s="831" t="s">
        <v>235</v>
      </c>
      <c r="HD42" s="1144" t="s">
        <v>94</v>
      </c>
      <c r="HE42" s="1146" t="s">
        <v>95</v>
      </c>
      <c r="HF42" s="1146" t="s">
        <v>96</v>
      </c>
      <c r="HG42" s="831" t="s">
        <v>235</v>
      </c>
      <c r="HH42" s="1144" t="s">
        <v>94</v>
      </c>
      <c r="HI42" s="1146" t="s">
        <v>95</v>
      </c>
      <c r="HJ42" s="1146" t="s">
        <v>96</v>
      </c>
      <c r="HK42" s="831" t="s">
        <v>235</v>
      </c>
      <c r="HL42" s="1144" t="s">
        <v>94</v>
      </c>
      <c r="HM42" s="1146" t="s">
        <v>95</v>
      </c>
      <c r="HN42" s="1146" t="s">
        <v>96</v>
      </c>
      <c r="HO42" s="831" t="s">
        <v>235</v>
      </c>
      <c r="HP42" s="1144" t="s">
        <v>94</v>
      </c>
      <c r="HQ42" s="1146" t="s">
        <v>95</v>
      </c>
      <c r="HR42" s="1146" t="s">
        <v>96</v>
      </c>
      <c r="HS42" s="831" t="s">
        <v>235</v>
      </c>
      <c r="HT42" s="1144" t="s">
        <v>94</v>
      </c>
      <c r="HU42" s="1146" t="s">
        <v>95</v>
      </c>
      <c r="HV42" s="1146" t="s">
        <v>96</v>
      </c>
      <c r="HW42" s="831" t="s">
        <v>235</v>
      </c>
      <c r="HX42" s="1144" t="s">
        <v>94</v>
      </c>
      <c r="HY42" s="1146" t="s">
        <v>95</v>
      </c>
      <c r="HZ42" s="1146" t="s">
        <v>96</v>
      </c>
      <c r="IA42" s="831" t="s">
        <v>235</v>
      </c>
      <c r="IB42" s="1144" t="s">
        <v>94</v>
      </c>
      <c r="IC42" s="1146" t="s">
        <v>95</v>
      </c>
      <c r="ID42" s="1146" t="s">
        <v>96</v>
      </c>
      <c r="IE42" s="831" t="s">
        <v>235</v>
      </c>
      <c r="IF42" s="1144" t="s">
        <v>94</v>
      </c>
      <c r="IG42" s="1146" t="s">
        <v>95</v>
      </c>
      <c r="IH42" s="1146" t="s">
        <v>96</v>
      </c>
      <c r="II42" s="831" t="s">
        <v>235</v>
      </c>
      <c r="IJ42" s="1144" t="s">
        <v>94</v>
      </c>
      <c r="IK42" s="1146" t="s">
        <v>95</v>
      </c>
      <c r="IL42" s="1146" t="s">
        <v>96</v>
      </c>
      <c r="IM42" s="831" t="s">
        <v>235</v>
      </c>
      <c r="IN42" s="1144" t="s">
        <v>94</v>
      </c>
      <c r="IO42" s="1146" t="s">
        <v>95</v>
      </c>
      <c r="IP42" s="1146" t="s">
        <v>96</v>
      </c>
      <c r="IQ42" s="831" t="s">
        <v>235</v>
      </c>
      <c r="IR42" s="1144" t="s">
        <v>94</v>
      </c>
      <c r="IS42" s="1146" t="s">
        <v>95</v>
      </c>
      <c r="IT42" s="1146" t="s">
        <v>96</v>
      </c>
      <c r="IU42" s="831" t="s">
        <v>235</v>
      </c>
      <c r="IV42" s="1144" t="s">
        <v>94</v>
      </c>
      <c r="IW42" s="1146" t="s">
        <v>95</v>
      </c>
      <c r="IX42" s="1146" t="s">
        <v>96</v>
      </c>
      <c r="IY42" s="831" t="s">
        <v>235</v>
      </c>
      <c r="IZ42" s="1144" t="s">
        <v>94</v>
      </c>
      <c r="JA42" s="1146" t="s">
        <v>95</v>
      </c>
      <c r="JB42" s="1146" t="s">
        <v>96</v>
      </c>
      <c r="JC42" s="831" t="s">
        <v>235</v>
      </c>
      <c r="JD42" s="1144" t="s">
        <v>94</v>
      </c>
      <c r="JE42" s="1146" t="s">
        <v>95</v>
      </c>
      <c r="JF42" s="1146" t="s">
        <v>96</v>
      </c>
      <c r="JG42" s="831" t="s">
        <v>235</v>
      </c>
      <c r="JH42" s="1144" t="s">
        <v>94</v>
      </c>
      <c r="JI42" s="1146" t="s">
        <v>95</v>
      </c>
      <c r="JJ42" s="1146" t="s">
        <v>96</v>
      </c>
      <c r="JK42" s="831" t="s">
        <v>235</v>
      </c>
      <c r="JL42" s="1144" t="s">
        <v>94</v>
      </c>
      <c r="JM42" s="1146" t="s">
        <v>95</v>
      </c>
      <c r="JN42" s="1146" t="s">
        <v>96</v>
      </c>
      <c r="JO42" s="831" t="s">
        <v>235</v>
      </c>
      <c r="JP42" s="1144" t="s">
        <v>94</v>
      </c>
      <c r="JQ42" s="1146" t="s">
        <v>95</v>
      </c>
      <c r="JR42" s="1146" t="s">
        <v>96</v>
      </c>
      <c r="JS42" s="831" t="s">
        <v>235</v>
      </c>
      <c r="JT42" s="1144" t="s">
        <v>94</v>
      </c>
      <c r="JU42" s="1146" t="s">
        <v>95</v>
      </c>
      <c r="JV42" s="1146" t="s">
        <v>96</v>
      </c>
      <c r="JW42" s="831" t="s">
        <v>235</v>
      </c>
      <c r="JX42" s="1144" t="s">
        <v>94</v>
      </c>
      <c r="JY42" s="1146" t="s">
        <v>95</v>
      </c>
      <c r="JZ42" s="1146" t="s">
        <v>96</v>
      </c>
      <c r="KA42" s="831" t="s">
        <v>235</v>
      </c>
      <c r="KB42" s="1144" t="s">
        <v>94</v>
      </c>
      <c r="KC42" s="1146" t="s">
        <v>95</v>
      </c>
      <c r="KD42" s="1146" t="s">
        <v>96</v>
      </c>
      <c r="KE42" s="831" t="s">
        <v>235</v>
      </c>
      <c r="KF42" s="1144" t="s">
        <v>94</v>
      </c>
      <c r="KG42" s="1146" t="s">
        <v>95</v>
      </c>
      <c r="KH42" s="1146" t="s">
        <v>96</v>
      </c>
      <c r="KI42" s="831" t="s">
        <v>235</v>
      </c>
      <c r="KJ42" s="1144" t="s">
        <v>94</v>
      </c>
      <c r="KK42" s="1146" t="s">
        <v>95</v>
      </c>
      <c r="KL42" s="1146" t="s">
        <v>96</v>
      </c>
      <c r="KM42" s="831" t="s">
        <v>235</v>
      </c>
      <c r="KN42" s="1144" t="s">
        <v>94</v>
      </c>
      <c r="KO42" s="1146" t="s">
        <v>95</v>
      </c>
      <c r="KP42" s="1146" t="s">
        <v>96</v>
      </c>
      <c r="KQ42" s="831" t="s">
        <v>235</v>
      </c>
      <c r="KR42" s="1144" t="s">
        <v>94</v>
      </c>
      <c r="KS42" s="1146" t="s">
        <v>95</v>
      </c>
      <c r="KT42" s="1146" t="s">
        <v>96</v>
      </c>
      <c r="KU42" s="831" t="s">
        <v>235</v>
      </c>
      <c r="KV42" s="1144" t="s">
        <v>94</v>
      </c>
      <c r="KW42" s="1146" t="s">
        <v>95</v>
      </c>
      <c r="KX42" s="1146" t="s">
        <v>96</v>
      </c>
      <c r="KY42" s="831" t="s">
        <v>235</v>
      </c>
      <c r="KZ42" s="1144" t="s">
        <v>94</v>
      </c>
      <c r="LA42" s="1146" t="s">
        <v>95</v>
      </c>
      <c r="LB42" s="1146" t="s">
        <v>96</v>
      </c>
      <c r="LC42" s="831" t="s">
        <v>235</v>
      </c>
      <c r="LD42" s="1144" t="s">
        <v>94</v>
      </c>
      <c r="LE42" s="1146" t="s">
        <v>95</v>
      </c>
      <c r="LF42" s="1146" t="s">
        <v>96</v>
      </c>
      <c r="LG42" s="831" t="s">
        <v>235</v>
      </c>
      <c r="LH42" s="1144" t="s">
        <v>94</v>
      </c>
      <c r="LI42" s="1146" t="s">
        <v>95</v>
      </c>
      <c r="LJ42" s="1146" t="s">
        <v>96</v>
      </c>
      <c r="LK42" s="831" t="s">
        <v>235</v>
      </c>
      <c r="LL42" s="1144" t="s">
        <v>94</v>
      </c>
      <c r="LM42" s="1146" t="s">
        <v>95</v>
      </c>
      <c r="LN42" s="1146" t="s">
        <v>96</v>
      </c>
      <c r="LO42" s="831" t="s">
        <v>235</v>
      </c>
      <c r="LP42" s="1144" t="s">
        <v>94</v>
      </c>
      <c r="LQ42" s="1146" t="s">
        <v>95</v>
      </c>
      <c r="LR42" s="1146" t="s">
        <v>96</v>
      </c>
      <c r="LS42" s="831" t="s">
        <v>235</v>
      </c>
      <c r="LT42" s="1144" t="s">
        <v>94</v>
      </c>
      <c r="LU42" s="1146" t="s">
        <v>95</v>
      </c>
      <c r="LV42" s="1146" t="s">
        <v>96</v>
      </c>
      <c r="LW42" s="831" t="s">
        <v>235</v>
      </c>
      <c r="LX42" s="1144" t="s">
        <v>94</v>
      </c>
      <c r="LY42" s="1146" t="s">
        <v>95</v>
      </c>
      <c r="LZ42" s="1146" t="s">
        <v>96</v>
      </c>
      <c r="MA42" s="831" t="s">
        <v>235</v>
      </c>
      <c r="MB42" s="1144" t="s">
        <v>94</v>
      </c>
      <c r="MC42" s="1146" t="s">
        <v>95</v>
      </c>
      <c r="MD42" s="1146" t="s">
        <v>96</v>
      </c>
      <c r="ME42" s="831" t="s">
        <v>235</v>
      </c>
      <c r="MF42" s="1144" t="s">
        <v>94</v>
      </c>
      <c r="MG42" s="1146" t="s">
        <v>95</v>
      </c>
      <c r="MH42" s="1146" t="s">
        <v>96</v>
      </c>
      <c r="MI42" s="831" t="s">
        <v>235</v>
      </c>
      <c r="MJ42" s="1144" t="s">
        <v>94</v>
      </c>
      <c r="MK42" s="1146" t="s">
        <v>95</v>
      </c>
      <c r="ML42" s="1146" t="s">
        <v>96</v>
      </c>
      <c r="MM42" s="831" t="s">
        <v>235</v>
      </c>
      <c r="MN42" s="1144" t="s">
        <v>94</v>
      </c>
      <c r="MO42" s="1146" t="s">
        <v>95</v>
      </c>
      <c r="MP42" s="1146" t="s">
        <v>96</v>
      </c>
      <c r="MQ42" s="831" t="s">
        <v>235</v>
      </c>
      <c r="MR42" s="1144" t="s">
        <v>94</v>
      </c>
      <c r="MS42" s="1146" t="s">
        <v>95</v>
      </c>
      <c r="MT42" s="1146" t="s">
        <v>96</v>
      </c>
      <c r="MU42" s="831" t="s">
        <v>235</v>
      </c>
      <c r="MV42" s="1144" t="s">
        <v>94</v>
      </c>
      <c r="MW42" s="1146" t="s">
        <v>95</v>
      </c>
      <c r="MX42" s="1146" t="s">
        <v>96</v>
      </c>
      <c r="MY42" s="831" t="s">
        <v>235</v>
      </c>
      <c r="MZ42" s="1144" t="s">
        <v>94</v>
      </c>
      <c r="NA42" s="1146" t="s">
        <v>95</v>
      </c>
      <c r="NB42" s="1146" t="s">
        <v>96</v>
      </c>
      <c r="NC42" s="831" t="s">
        <v>235</v>
      </c>
      <c r="ND42" s="1144" t="s">
        <v>94</v>
      </c>
      <c r="NE42" s="1146" t="s">
        <v>95</v>
      </c>
      <c r="NF42" s="1146" t="s">
        <v>96</v>
      </c>
      <c r="NG42" s="831" t="s">
        <v>235</v>
      </c>
      <c r="NH42" s="954" t="s">
        <v>813</v>
      </c>
      <c r="NI42" s="1144" t="s">
        <v>255</v>
      </c>
      <c r="NJ42" s="832" t="s">
        <v>255</v>
      </c>
      <c r="NK42" s="977"/>
      <c r="NL42" s="977"/>
    </row>
    <row r="43" spans="1:377">
      <c r="A43" s="874">
        <v>20</v>
      </c>
      <c r="B43" s="984" t="s">
        <v>97</v>
      </c>
      <c r="C43" s="985">
        <v>2006</v>
      </c>
      <c r="D43" s="971"/>
      <c r="E43" s="965"/>
      <c r="F43" s="965"/>
      <c r="G43" s="819"/>
      <c r="H43" s="986">
        <f>+H$38</f>
        <v>1076817</v>
      </c>
      <c r="I43" s="817">
        <f>+H$38/51/12*(12.5-H$40)</f>
        <v>6158.2671568627447</v>
      </c>
      <c r="J43" s="987">
        <f t="shared" ref="J43:J62" si="0">+H43-I43</f>
        <v>1070658.7328431373</v>
      </c>
      <c r="K43" s="988"/>
      <c r="L43" s="986"/>
      <c r="M43" s="817"/>
      <c r="N43" s="987"/>
      <c r="O43" s="988"/>
      <c r="P43" s="971"/>
      <c r="Q43" s="965"/>
      <c r="R43" s="965"/>
      <c r="S43" s="819"/>
      <c r="T43" s="971"/>
      <c r="U43" s="965"/>
      <c r="V43" s="965"/>
      <c r="W43" s="819"/>
      <c r="X43" s="971"/>
      <c r="Y43" s="965"/>
      <c r="Z43" s="965"/>
      <c r="AA43" s="819"/>
      <c r="AB43" s="971"/>
      <c r="AC43" s="965"/>
      <c r="AD43" s="965"/>
      <c r="AE43" s="819"/>
      <c r="AF43" s="971"/>
      <c r="AG43" s="965"/>
      <c r="AH43" s="965"/>
      <c r="AI43" s="819"/>
      <c r="AJ43" s="971"/>
      <c r="AK43" s="965"/>
      <c r="AL43" s="965"/>
      <c r="AM43" s="819"/>
      <c r="AN43" s="971"/>
      <c r="AO43" s="965"/>
      <c r="AP43" s="965"/>
      <c r="AQ43" s="819"/>
      <c r="AR43" s="971"/>
      <c r="AS43" s="965"/>
      <c r="AT43" s="965"/>
      <c r="AU43" s="819"/>
      <c r="AV43" s="971"/>
      <c r="AW43" s="965"/>
      <c r="AX43" s="965"/>
      <c r="AY43" s="819"/>
      <c r="AZ43" s="971"/>
      <c r="BA43" s="965"/>
      <c r="BB43" s="965"/>
      <c r="BC43" s="819"/>
      <c r="BD43" s="971"/>
      <c r="BE43" s="965"/>
      <c r="BF43" s="965"/>
      <c r="BG43" s="819"/>
      <c r="BH43" s="971"/>
      <c r="BI43" s="965"/>
      <c r="BJ43" s="965"/>
      <c r="BK43" s="819"/>
      <c r="BL43" s="971"/>
      <c r="BM43" s="965"/>
      <c r="BN43" s="965"/>
      <c r="BO43" s="819"/>
      <c r="BP43" s="971"/>
      <c r="BQ43" s="965"/>
      <c r="BR43" s="965"/>
      <c r="BS43" s="819"/>
      <c r="BT43" s="971"/>
      <c r="BU43" s="965"/>
      <c r="BV43" s="965"/>
      <c r="BW43" s="819"/>
      <c r="BX43" s="971"/>
      <c r="BY43" s="965"/>
      <c r="BZ43" s="965"/>
      <c r="CA43" s="819"/>
      <c r="CB43" s="971"/>
      <c r="CC43" s="965"/>
      <c r="CD43" s="965"/>
      <c r="CE43" s="819"/>
      <c r="CF43" s="971"/>
      <c r="CG43" s="965"/>
      <c r="CH43" s="965"/>
      <c r="CI43" s="819"/>
      <c r="CJ43" s="971"/>
      <c r="CK43" s="965"/>
      <c r="CL43" s="965"/>
      <c r="CM43" s="819"/>
      <c r="CN43" s="971"/>
      <c r="CO43" s="965"/>
      <c r="CP43" s="965"/>
      <c r="CQ43" s="819"/>
      <c r="CR43" s="971"/>
      <c r="CS43" s="965"/>
      <c r="CT43" s="965"/>
      <c r="CU43" s="819"/>
      <c r="CV43" s="971"/>
      <c r="CW43" s="965"/>
      <c r="CX43" s="965"/>
      <c r="CY43" s="819"/>
      <c r="CZ43" s="971"/>
      <c r="DA43" s="965"/>
      <c r="DB43" s="965"/>
      <c r="DC43" s="819"/>
      <c r="DD43" s="971"/>
      <c r="DE43" s="965"/>
      <c r="DF43" s="965"/>
      <c r="DG43" s="819"/>
      <c r="DH43" s="971"/>
      <c r="DI43" s="965"/>
      <c r="DJ43" s="965"/>
      <c r="DK43" s="819"/>
      <c r="DL43" s="971"/>
      <c r="DM43" s="965"/>
      <c r="DN43" s="965"/>
      <c r="DO43" s="819"/>
      <c r="DP43" s="971"/>
      <c r="DQ43" s="965"/>
      <c r="DR43" s="965"/>
      <c r="DS43" s="819"/>
      <c r="DT43" s="971"/>
      <c r="DU43" s="965"/>
      <c r="DV43" s="965"/>
      <c r="DW43" s="819"/>
      <c r="DX43" s="971"/>
      <c r="DY43" s="965"/>
      <c r="DZ43" s="965"/>
      <c r="EA43" s="819"/>
      <c r="EB43" s="971"/>
      <c r="EC43" s="965"/>
      <c r="ED43" s="965"/>
      <c r="EE43" s="819"/>
      <c r="EF43" s="971"/>
      <c r="EG43" s="965"/>
      <c r="EH43" s="965"/>
      <c r="EI43" s="819"/>
      <c r="EJ43" s="971"/>
      <c r="EK43" s="965"/>
      <c r="EL43" s="965"/>
      <c r="EM43" s="819"/>
      <c r="EN43" s="971"/>
      <c r="EO43" s="965"/>
      <c r="EP43" s="965"/>
      <c r="EQ43" s="819"/>
      <c r="ER43" s="971"/>
      <c r="ES43" s="965"/>
      <c r="ET43" s="965"/>
      <c r="EU43" s="819"/>
      <c r="EV43" s="971"/>
      <c r="EW43" s="965"/>
      <c r="EX43" s="965"/>
      <c r="EY43" s="819"/>
      <c r="EZ43" s="971"/>
      <c r="FA43" s="965"/>
      <c r="FB43" s="965"/>
      <c r="FC43" s="819"/>
      <c r="FD43" s="971"/>
      <c r="FE43" s="965"/>
      <c r="FF43" s="965"/>
      <c r="FG43" s="819"/>
      <c r="FH43" s="971"/>
      <c r="FI43" s="965"/>
      <c r="FJ43" s="965"/>
      <c r="FK43" s="819"/>
      <c r="FL43" s="971"/>
      <c r="FM43" s="965"/>
      <c r="FN43" s="965"/>
      <c r="FO43" s="819"/>
      <c r="FP43" s="971"/>
      <c r="FQ43" s="965"/>
      <c r="FR43" s="965"/>
      <c r="FS43" s="819"/>
      <c r="FT43" s="971"/>
      <c r="FU43" s="965"/>
      <c r="FV43" s="965"/>
      <c r="FW43" s="819"/>
      <c r="FX43" s="971"/>
      <c r="FY43" s="965"/>
      <c r="FZ43" s="965"/>
      <c r="GA43" s="819"/>
      <c r="GB43" s="971"/>
      <c r="GC43" s="965"/>
      <c r="GD43" s="965"/>
      <c r="GE43" s="819"/>
      <c r="GF43" s="971"/>
      <c r="GG43" s="965"/>
      <c r="GH43" s="965"/>
      <c r="GI43" s="819"/>
      <c r="GJ43" s="971"/>
      <c r="GK43" s="965"/>
      <c r="GL43" s="965"/>
      <c r="GM43" s="819"/>
      <c r="GN43" s="971"/>
      <c r="GO43" s="965"/>
      <c r="GP43" s="965"/>
      <c r="GQ43" s="819"/>
      <c r="GR43" s="971"/>
      <c r="GS43" s="965"/>
      <c r="GT43" s="965"/>
      <c r="GU43" s="819"/>
      <c r="GV43" s="971"/>
      <c r="GW43" s="965"/>
      <c r="GX43" s="965"/>
      <c r="GY43" s="819"/>
      <c r="GZ43" s="971"/>
      <c r="HA43" s="965"/>
      <c r="HB43" s="965"/>
      <c r="HC43" s="819"/>
      <c r="HD43" s="971"/>
      <c r="HE43" s="965"/>
      <c r="HF43" s="965"/>
      <c r="HG43" s="819"/>
      <c r="HH43" s="971"/>
      <c r="HI43" s="965"/>
      <c r="HJ43" s="965"/>
      <c r="HK43" s="819"/>
      <c r="HL43" s="971"/>
      <c r="HM43" s="965"/>
      <c r="HN43" s="965"/>
      <c r="HO43" s="819"/>
      <c r="HP43" s="971"/>
      <c r="HQ43" s="965"/>
      <c r="HR43" s="965"/>
      <c r="HS43" s="819"/>
      <c r="HT43" s="971"/>
      <c r="HU43" s="965"/>
      <c r="HV43" s="965"/>
      <c r="HW43" s="819"/>
      <c r="HX43" s="971"/>
      <c r="HY43" s="965"/>
      <c r="HZ43" s="965"/>
      <c r="IA43" s="819"/>
      <c r="IB43" s="971"/>
      <c r="IC43" s="965"/>
      <c r="ID43" s="965"/>
      <c r="IE43" s="819"/>
      <c r="IF43" s="971"/>
      <c r="IG43" s="965"/>
      <c r="IH43" s="965"/>
      <c r="II43" s="819"/>
      <c r="IJ43" s="971"/>
      <c r="IK43" s="965"/>
      <c r="IL43" s="965"/>
      <c r="IM43" s="819"/>
      <c r="IN43" s="971"/>
      <c r="IO43" s="965"/>
      <c r="IP43" s="965"/>
      <c r="IQ43" s="819"/>
      <c r="IR43" s="971"/>
      <c r="IS43" s="965"/>
      <c r="IT43" s="965"/>
      <c r="IU43" s="819"/>
      <c r="IV43" s="971"/>
      <c r="IW43" s="965"/>
      <c r="IX43" s="965"/>
      <c r="IY43" s="819"/>
      <c r="IZ43" s="971"/>
      <c r="JA43" s="965"/>
      <c r="JB43" s="965"/>
      <c r="JC43" s="819"/>
      <c r="JD43" s="971"/>
      <c r="JE43" s="965"/>
      <c r="JF43" s="965"/>
      <c r="JG43" s="819"/>
      <c r="JH43" s="971"/>
      <c r="JI43" s="965"/>
      <c r="JJ43" s="965"/>
      <c r="JK43" s="819"/>
      <c r="JL43" s="971"/>
      <c r="JM43" s="965"/>
      <c r="JN43" s="965"/>
      <c r="JO43" s="819"/>
      <c r="JP43" s="971"/>
      <c r="JQ43" s="965"/>
      <c r="JR43" s="965"/>
      <c r="JS43" s="819"/>
      <c r="JT43" s="971"/>
      <c r="JU43" s="965"/>
      <c r="JV43" s="965"/>
      <c r="JW43" s="819"/>
      <c r="JX43" s="971"/>
      <c r="JY43" s="965"/>
      <c r="JZ43" s="965"/>
      <c r="KA43" s="819"/>
      <c r="KB43" s="971"/>
      <c r="KC43" s="965"/>
      <c r="KD43" s="965"/>
      <c r="KE43" s="819"/>
      <c r="KF43" s="971"/>
      <c r="KG43" s="965"/>
      <c r="KH43" s="965"/>
      <c r="KI43" s="819"/>
      <c r="KJ43" s="971"/>
      <c r="KK43" s="965"/>
      <c r="KL43" s="965"/>
      <c r="KM43" s="819"/>
      <c r="KN43" s="971"/>
      <c r="KO43" s="965"/>
      <c r="KP43" s="965"/>
      <c r="KQ43" s="819"/>
      <c r="KR43" s="971"/>
      <c r="KS43" s="965"/>
      <c r="KT43" s="965"/>
      <c r="KU43" s="819"/>
      <c r="KV43" s="971"/>
      <c r="KW43" s="965"/>
      <c r="KX43" s="965"/>
      <c r="KY43" s="819"/>
      <c r="KZ43" s="971"/>
      <c r="LA43" s="965"/>
      <c r="LB43" s="965"/>
      <c r="LC43" s="819"/>
      <c r="LD43" s="971"/>
      <c r="LE43" s="965"/>
      <c r="LF43" s="965"/>
      <c r="LG43" s="819"/>
      <c r="LH43" s="971"/>
      <c r="LI43" s="965"/>
      <c r="LJ43" s="965"/>
      <c r="LK43" s="819"/>
      <c r="LL43" s="971"/>
      <c r="LM43" s="965"/>
      <c r="LN43" s="965"/>
      <c r="LO43" s="819"/>
      <c r="LP43" s="971"/>
      <c r="LQ43" s="965"/>
      <c r="LR43" s="965"/>
      <c r="LS43" s="819"/>
      <c r="LT43" s="971"/>
      <c r="LU43" s="965"/>
      <c r="LV43" s="965"/>
      <c r="LW43" s="819"/>
      <c r="LX43" s="971"/>
      <c r="LY43" s="965"/>
      <c r="LZ43" s="965"/>
      <c r="MA43" s="819"/>
      <c r="MB43" s="971"/>
      <c r="MC43" s="965"/>
      <c r="MD43" s="965"/>
      <c r="ME43" s="819"/>
      <c r="MF43" s="971"/>
      <c r="MG43" s="965"/>
      <c r="MH43" s="965"/>
      <c r="MI43" s="819"/>
      <c r="MJ43" s="971"/>
      <c r="MK43" s="965"/>
      <c r="ML43" s="965"/>
      <c r="MM43" s="819"/>
      <c r="MN43" s="971"/>
      <c r="MO43" s="965"/>
      <c r="MP43" s="965"/>
      <c r="MQ43" s="819"/>
      <c r="MR43" s="971"/>
      <c r="MS43" s="965"/>
      <c r="MT43" s="965"/>
      <c r="MU43" s="819"/>
      <c r="MV43" s="971"/>
      <c r="MW43" s="965"/>
      <c r="MX43" s="965"/>
      <c r="MY43" s="819"/>
      <c r="MZ43" s="971"/>
      <c r="NA43" s="965"/>
      <c r="NB43" s="965"/>
      <c r="NC43" s="819"/>
      <c r="ND43" s="971"/>
      <c r="NE43" s="965"/>
      <c r="NF43" s="965"/>
      <c r="NG43" s="819"/>
      <c r="NH43" s="962"/>
      <c r="NI43" s="963"/>
      <c r="NJ43" s="823"/>
    </row>
    <row r="44" spans="1:377">
      <c r="A44" s="874">
        <v>21</v>
      </c>
      <c r="B44" s="984" t="s">
        <v>98</v>
      </c>
      <c r="C44" s="985">
        <v>2006</v>
      </c>
      <c r="D44" s="971"/>
      <c r="E44" s="965"/>
      <c r="F44" s="965"/>
      <c r="G44" s="819"/>
      <c r="H44" s="986">
        <f>+H43</f>
        <v>1076817</v>
      </c>
      <c r="I44" s="817">
        <f>+I43</f>
        <v>6158.2671568627447</v>
      </c>
      <c r="J44" s="987">
        <f t="shared" si="0"/>
        <v>1070658.7328431373</v>
      </c>
      <c r="K44" s="988"/>
      <c r="L44" s="986"/>
      <c r="M44" s="817"/>
      <c r="N44" s="987"/>
      <c r="O44" s="988"/>
      <c r="P44" s="971"/>
      <c r="Q44" s="965"/>
      <c r="R44" s="965"/>
      <c r="S44" s="819"/>
      <c r="T44" s="971"/>
      <c r="U44" s="965"/>
      <c r="V44" s="965"/>
      <c r="W44" s="819"/>
      <c r="X44" s="971"/>
      <c r="Y44" s="965"/>
      <c r="Z44" s="965"/>
      <c r="AA44" s="819"/>
      <c r="AB44" s="971"/>
      <c r="AC44" s="965"/>
      <c r="AD44" s="965"/>
      <c r="AE44" s="819"/>
      <c r="AF44" s="971"/>
      <c r="AG44" s="965"/>
      <c r="AH44" s="965"/>
      <c r="AI44" s="819"/>
      <c r="AJ44" s="971"/>
      <c r="AK44" s="965"/>
      <c r="AL44" s="965"/>
      <c r="AM44" s="819"/>
      <c r="AN44" s="971"/>
      <c r="AO44" s="965"/>
      <c r="AP44" s="965"/>
      <c r="AQ44" s="819"/>
      <c r="AR44" s="971"/>
      <c r="AS44" s="965"/>
      <c r="AT44" s="965"/>
      <c r="AU44" s="819"/>
      <c r="AV44" s="971"/>
      <c r="AW44" s="965"/>
      <c r="AX44" s="965"/>
      <c r="AY44" s="819"/>
      <c r="AZ44" s="971"/>
      <c r="BA44" s="965"/>
      <c r="BB44" s="965"/>
      <c r="BC44" s="819"/>
      <c r="BD44" s="971"/>
      <c r="BE44" s="965"/>
      <c r="BF44" s="965"/>
      <c r="BG44" s="819"/>
      <c r="BH44" s="971"/>
      <c r="BI44" s="965"/>
      <c r="BJ44" s="965"/>
      <c r="BK44" s="819"/>
      <c r="BL44" s="971"/>
      <c r="BM44" s="965"/>
      <c r="BN44" s="965"/>
      <c r="BO44" s="819"/>
      <c r="BP44" s="971"/>
      <c r="BQ44" s="965"/>
      <c r="BR44" s="965"/>
      <c r="BS44" s="819"/>
      <c r="BT44" s="971"/>
      <c r="BU44" s="965"/>
      <c r="BV44" s="965"/>
      <c r="BW44" s="819"/>
      <c r="BX44" s="971"/>
      <c r="BY44" s="965"/>
      <c r="BZ44" s="965"/>
      <c r="CA44" s="819"/>
      <c r="CB44" s="971"/>
      <c r="CC44" s="965"/>
      <c r="CD44" s="965"/>
      <c r="CE44" s="819"/>
      <c r="CF44" s="971"/>
      <c r="CG44" s="965"/>
      <c r="CH44" s="965"/>
      <c r="CI44" s="819"/>
      <c r="CJ44" s="971"/>
      <c r="CK44" s="965"/>
      <c r="CL44" s="965"/>
      <c r="CM44" s="819"/>
      <c r="CN44" s="971"/>
      <c r="CO44" s="965"/>
      <c r="CP44" s="965"/>
      <c r="CQ44" s="819"/>
      <c r="CR44" s="971"/>
      <c r="CS44" s="965"/>
      <c r="CT44" s="965"/>
      <c r="CU44" s="819"/>
      <c r="CV44" s="971"/>
      <c r="CW44" s="965"/>
      <c r="CX44" s="965"/>
      <c r="CY44" s="819"/>
      <c r="CZ44" s="971"/>
      <c r="DA44" s="965"/>
      <c r="DB44" s="965"/>
      <c r="DC44" s="819"/>
      <c r="DD44" s="971"/>
      <c r="DE44" s="965"/>
      <c r="DF44" s="965"/>
      <c r="DG44" s="819"/>
      <c r="DH44" s="971"/>
      <c r="DI44" s="965"/>
      <c r="DJ44" s="965"/>
      <c r="DK44" s="819"/>
      <c r="DL44" s="971"/>
      <c r="DM44" s="965"/>
      <c r="DN44" s="965"/>
      <c r="DO44" s="819"/>
      <c r="DP44" s="971"/>
      <c r="DQ44" s="965"/>
      <c r="DR44" s="965"/>
      <c r="DS44" s="819"/>
      <c r="DT44" s="971"/>
      <c r="DU44" s="965"/>
      <c r="DV44" s="965"/>
      <c r="DW44" s="819"/>
      <c r="DX44" s="971"/>
      <c r="DY44" s="965"/>
      <c r="DZ44" s="965"/>
      <c r="EA44" s="819"/>
      <c r="EB44" s="971"/>
      <c r="EC44" s="965"/>
      <c r="ED44" s="965"/>
      <c r="EE44" s="819"/>
      <c r="EF44" s="971"/>
      <c r="EG44" s="965"/>
      <c r="EH44" s="965"/>
      <c r="EI44" s="819"/>
      <c r="EJ44" s="971"/>
      <c r="EK44" s="965"/>
      <c r="EL44" s="965"/>
      <c r="EM44" s="819"/>
      <c r="EN44" s="971"/>
      <c r="EO44" s="965"/>
      <c r="EP44" s="965"/>
      <c r="EQ44" s="819"/>
      <c r="ER44" s="971"/>
      <c r="ES44" s="965"/>
      <c r="ET44" s="965"/>
      <c r="EU44" s="819"/>
      <c r="EV44" s="971"/>
      <c r="EW44" s="965"/>
      <c r="EX44" s="965"/>
      <c r="EY44" s="819"/>
      <c r="EZ44" s="971"/>
      <c r="FA44" s="965"/>
      <c r="FB44" s="965"/>
      <c r="FC44" s="819"/>
      <c r="FD44" s="971"/>
      <c r="FE44" s="965"/>
      <c r="FF44" s="965"/>
      <c r="FG44" s="819"/>
      <c r="FH44" s="971"/>
      <c r="FI44" s="965"/>
      <c r="FJ44" s="965"/>
      <c r="FK44" s="819"/>
      <c r="FL44" s="971"/>
      <c r="FM44" s="965"/>
      <c r="FN44" s="965"/>
      <c r="FO44" s="819"/>
      <c r="FP44" s="971"/>
      <c r="FQ44" s="965"/>
      <c r="FR44" s="965"/>
      <c r="FS44" s="819"/>
      <c r="FT44" s="971"/>
      <c r="FU44" s="965"/>
      <c r="FV44" s="965"/>
      <c r="FW44" s="819"/>
      <c r="FX44" s="971"/>
      <c r="FY44" s="965"/>
      <c r="FZ44" s="965"/>
      <c r="GA44" s="819"/>
      <c r="GB44" s="971"/>
      <c r="GC44" s="965"/>
      <c r="GD44" s="965"/>
      <c r="GE44" s="819"/>
      <c r="GF44" s="971"/>
      <c r="GG44" s="965"/>
      <c r="GH44" s="965"/>
      <c r="GI44" s="819"/>
      <c r="GJ44" s="971"/>
      <c r="GK44" s="965"/>
      <c r="GL44" s="965"/>
      <c r="GM44" s="819"/>
      <c r="GN44" s="971"/>
      <c r="GO44" s="965"/>
      <c r="GP44" s="965"/>
      <c r="GQ44" s="819"/>
      <c r="GR44" s="971"/>
      <c r="GS44" s="965"/>
      <c r="GT44" s="965"/>
      <c r="GU44" s="819"/>
      <c r="GV44" s="971"/>
      <c r="GW44" s="965"/>
      <c r="GX44" s="965"/>
      <c r="GY44" s="819"/>
      <c r="GZ44" s="971"/>
      <c r="HA44" s="965"/>
      <c r="HB44" s="965"/>
      <c r="HC44" s="819"/>
      <c r="HD44" s="971"/>
      <c r="HE44" s="965"/>
      <c r="HF44" s="965"/>
      <c r="HG44" s="819"/>
      <c r="HH44" s="971"/>
      <c r="HI44" s="965"/>
      <c r="HJ44" s="965"/>
      <c r="HK44" s="819"/>
      <c r="HL44" s="971"/>
      <c r="HM44" s="965"/>
      <c r="HN44" s="965"/>
      <c r="HO44" s="819"/>
      <c r="HP44" s="971"/>
      <c r="HQ44" s="965"/>
      <c r="HR44" s="965"/>
      <c r="HS44" s="819"/>
      <c r="HT44" s="971"/>
      <c r="HU44" s="965"/>
      <c r="HV44" s="965"/>
      <c r="HW44" s="819"/>
      <c r="HX44" s="971"/>
      <c r="HY44" s="965"/>
      <c r="HZ44" s="965"/>
      <c r="IA44" s="819"/>
      <c r="IB44" s="971"/>
      <c r="IC44" s="965"/>
      <c r="ID44" s="965"/>
      <c r="IE44" s="819"/>
      <c r="IF44" s="971"/>
      <c r="IG44" s="965"/>
      <c r="IH44" s="965"/>
      <c r="II44" s="819"/>
      <c r="IJ44" s="971"/>
      <c r="IK44" s="965"/>
      <c r="IL44" s="965"/>
      <c r="IM44" s="819"/>
      <c r="IN44" s="971"/>
      <c r="IO44" s="965"/>
      <c r="IP44" s="965"/>
      <c r="IQ44" s="819"/>
      <c r="IR44" s="971"/>
      <c r="IS44" s="965"/>
      <c r="IT44" s="965"/>
      <c r="IU44" s="819"/>
      <c r="IV44" s="971"/>
      <c r="IW44" s="965"/>
      <c r="IX44" s="965"/>
      <c r="IY44" s="819"/>
      <c r="IZ44" s="971"/>
      <c r="JA44" s="965"/>
      <c r="JB44" s="965"/>
      <c r="JC44" s="819"/>
      <c r="JD44" s="971"/>
      <c r="JE44" s="965"/>
      <c r="JF44" s="965"/>
      <c r="JG44" s="819"/>
      <c r="JH44" s="971"/>
      <c r="JI44" s="965"/>
      <c r="JJ44" s="965"/>
      <c r="JK44" s="819"/>
      <c r="JL44" s="971"/>
      <c r="JM44" s="965"/>
      <c r="JN44" s="965"/>
      <c r="JO44" s="819"/>
      <c r="JP44" s="971"/>
      <c r="JQ44" s="965"/>
      <c r="JR44" s="965"/>
      <c r="JS44" s="819"/>
      <c r="JT44" s="971"/>
      <c r="JU44" s="965"/>
      <c r="JV44" s="965"/>
      <c r="JW44" s="819"/>
      <c r="JX44" s="971"/>
      <c r="JY44" s="965"/>
      <c r="JZ44" s="965"/>
      <c r="KA44" s="819"/>
      <c r="KB44" s="971"/>
      <c r="KC44" s="965"/>
      <c r="KD44" s="965"/>
      <c r="KE44" s="819"/>
      <c r="KF44" s="971"/>
      <c r="KG44" s="965"/>
      <c r="KH44" s="965"/>
      <c r="KI44" s="819"/>
      <c r="KJ44" s="971"/>
      <c r="KK44" s="965"/>
      <c r="KL44" s="965"/>
      <c r="KM44" s="819"/>
      <c r="KN44" s="971"/>
      <c r="KO44" s="965"/>
      <c r="KP44" s="965"/>
      <c r="KQ44" s="819"/>
      <c r="KR44" s="971"/>
      <c r="KS44" s="965"/>
      <c r="KT44" s="965"/>
      <c r="KU44" s="819"/>
      <c r="KV44" s="971"/>
      <c r="KW44" s="965"/>
      <c r="KX44" s="965"/>
      <c r="KY44" s="819"/>
      <c r="KZ44" s="971"/>
      <c r="LA44" s="965"/>
      <c r="LB44" s="965"/>
      <c r="LC44" s="819"/>
      <c r="LD44" s="971"/>
      <c r="LE44" s="965"/>
      <c r="LF44" s="965"/>
      <c r="LG44" s="819"/>
      <c r="LH44" s="971"/>
      <c r="LI44" s="965"/>
      <c r="LJ44" s="965"/>
      <c r="LK44" s="819"/>
      <c r="LL44" s="971"/>
      <c r="LM44" s="965"/>
      <c r="LN44" s="965"/>
      <c r="LO44" s="819"/>
      <c r="LP44" s="971"/>
      <c r="LQ44" s="965"/>
      <c r="LR44" s="965"/>
      <c r="LS44" s="819"/>
      <c r="LT44" s="971"/>
      <c r="LU44" s="965"/>
      <c r="LV44" s="965"/>
      <c r="LW44" s="819"/>
      <c r="LX44" s="971"/>
      <c r="LY44" s="965"/>
      <c r="LZ44" s="965"/>
      <c r="MA44" s="819"/>
      <c r="MB44" s="971"/>
      <c r="MC44" s="965"/>
      <c r="MD44" s="965"/>
      <c r="ME44" s="819"/>
      <c r="MF44" s="971"/>
      <c r="MG44" s="965"/>
      <c r="MH44" s="965"/>
      <c r="MI44" s="819"/>
      <c r="MJ44" s="971"/>
      <c r="MK44" s="965"/>
      <c r="ML44" s="965"/>
      <c r="MM44" s="819"/>
      <c r="MN44" s="971"/>
      <c r="MO44" s="965"/>
      <c r="MP44" s="965"/>
      <c r="MQ44" s="819"/>
      <c r="MR44" s="971"/>
      <c r="MS44" s="965"/>
      <c r="MT44" s="965"/>
      <c r="MU44" s="819"/>
      <c r="MV44" s="971"/>
      <c r="MW44" s="965"/>
      <c r="MX44" s="965"/>
      <c r="MY44" s="819"/>
      <c r="MZ44" s="971"/>
      <c r="NA44" s="965"/>
      <c r="NB44" s="965"/>
      <c r="NC44" s="819"/>
      <c r="ND44" s="971"/>
      <c r="NE44" s="965"/>
      <c r="NF44" s="965"/>
      <c r="NG44" s="819"/>
      <c r="NH44" s="962"/>
      <c r="NI44" s="963"/>
      <c r="NJ44" s="823"/>
    </row>
    <row r="45" spans="1:377">
      <c r="A45" s="874">
        <v>22</v>
      </c>
      <c r="B45" s="989" t="str">
        <f t="shared" ref="B45:B62" si="1">+B43</f>
        <v>W / O incentive</v>
      </c>
      <c r="C45" s="985">
        <f t="shared" ref="C45:C62" si="2">+C43+1</f>
        <v>2007</v>
      </c>
      <c r="D45" s="963">
        <f>+D$38</f>
        <v>1911923</v>
      </c>
      <c r="E45" s="817">
        <f>+D$38/51/12*(12.5-D$40)</f>
        <v>1562.0285947712418</v>
      </c>
      <c r="F45" s="990">
        <f t="shared" ref="F45:F62" si="3">+D45-E45</f>
        <v>1910360.9714052288</v>
      </c>
      <c r="G45" s="819"/>
      <c r="H45" s="963">
        <f>+J44</f>
        <v>1070658.7328431373</v>
      </c>
      <c r="I45" s="991">
        <f>+H$38/51</f>
        <v>21114.058823529413</v>
      </c>
      <c r="J45" s="990">
        <f t="shared" si="0"/>
        <v>1049544.6740196079</v>
      </c>
      <c r="K45" s="819"/>
      <c r="L45" s="963"/>
      <c r="M45" s="991"/>
      <c r="N45" s="990"/>
      <c r="O45" s="819"/>
      <c r="P45" s="963">
        <f>+P$38</f>
        <v>8222247</v>
      </c>
      <c r="Q45" s="817">
        <f>+P$38/51/12*(12.5-P$40)</f>
        <v>60457.698529411762</v>
      </c>
      <c r="R45" s="990">
        <f t="shared" ref="R45:R62" si="4">+P45-Q45</f>
        <v>8161789.301470588</v>
      </c>
      <c r="S45" s="819"/>
      <c r="T45" s="963">
        <f>+T$38</f>
        <v>7184742</v>
      </c>
      <c r="U45" s="817">
        <f>+T$38/51/12*(12.5-T$40)</f>
        <v>17609.661764705881</v>
      </c>
      <c r="V45" s="990">
        <f t="shared" ref="V45:V62" si="5">+T45-U45</f>
        <v>7167132.3382352944</v>
      </c>
      <c r="W45" s="819"/>
      <c r="X45" s="963"/>
      <c r="Y45" s="817"/>
      <c r="Z45" s="990"/>
      <c r="AA45" s="819"/>
      <c r="AB45" s="963"/>
      <c r="AC45" s="817"/>
      <c r="AD45" s="990"/>
      <c r="AE45" s="819"/>
      <c r="AF45" s="963"/>
      <c r="AG45" s="817"/>
      <c r="AH45" s="990"/>
      <c r="AI45" s="819"/>
      <c r="AJ45" s="963"/>
      <c r="AK45" s="817"/>
      <c r="AL45" s="990"/>
      <c r="AM45" s="819"/>
      <c r="AN45" s="963"/>
      <c r="AO45" s="817"/>
      <c r="AP45" s="990"/>
      <c r="AQ45" s="819"/>
      <c r="AR45" s="963"/>
      <c r="AS45" s="817"/>
      <c r="AT45" s="990"/>
      <c r="AU45" s="819"/>
      <c r="AV45" s="963"/>
      <c r="AW45" s="817"/>
      <c r="AX45" s="990"/>
      <c r="AY45" s="819"/>
      <c r="AZ45" s="963"/>
      <c r="BA45" s="817"/>
      <c r="BB45" s="990"/>
      <c r="BC45" s="819"/>
      <c r="BD45" s="963"/>
      <c r="BE45" s="817"/>
      <c r="BF45" s="990"/>
      <c r="BG45" s="819"/>
      <c r="BH45" s="963"/>
      <c r="BI45" s="817"/>
      <c r="BJ45" s="990"/>
      <c r="BK45" s="819"/>
      <c r="BL45" s="963"/>
      <c r="BM45" s="817"/>
      <c r="BN45" s="990"/>
      <c r="BO45" s="819"/>
      <c r="BP45" s="963"/>
      <c r="BQ45" s="817"/>
      <c r="BR45" s="990"/>
      <c r="BS45" s="819"/>
      <c r="BT45" s="963"/>
      <c r="BU45" s="817"/>
      <c r="BV45" s="990"/>
      <c r="BW45" s="819"/>
      <c r="BX45" s="963"/>
      <c r="BY45" s="817"/>
      <c r="BZ45" s="990"/>
      <c r="CA45" s="819"/>
      <c r="CB45" s="963"/>
      <c r="CC45" s="817"/>
      <c r="CD45" s="990"/>
      <c r="CE45" s="819"/>
      <c r="CF45" s="963"/>
      <c r="CG45" s="817"/>
      <c r="CH45" s="990"/>
      <c r="CI45" s="819"/>
      <c r="CJ45" s="963"/>
      <c r="CK45" s="817"/>
      <c r="CL45" s="990"/>
      <c r="CM45" s="819"/>
      <c r="CN45" s="963"/>
      <c r="CO45" s="817"/>
      <c r="CP45" s="990"/>
      <c r="CQ45" s="819"/>
      <c r="CR45" s="963"/>
      <c r="CS45" s="817"/>
      <c r="CT45" s="990"/>
      <c r="CU45" s="819"/>
      <c r="CV45" s="963"/>
      <c r="CW45" s="817"/>
      <c r="CX45" s="990"/>
      <c r="CY45" s="819"/>
      <c r="CZ45" s="963"/>
      <c r="DA45" s="817"/>
      <c r="DB45" s="990"/>
      <c r="DC45" s="819"/>
      <c r="DD45" s="963"/>
      <c r="DE45" s="817"/>
      <c r="DF45" s="990"/>
      <c r="DG45" s="819"/>
      <c r="DH45" s="963"/>
      <c r="DI45" s="817"/>
      <c r="DJ45" s="990"/>
      <c r="DK45" s="819"/>
      <c r="DL45" s="963"/>
      <c r="DM45" s="817"/>
      <c r="DN45" s="990"/>
      <c r="DO45" s="819"/>
      <c r="DP45" s="963"/>
      <c r="DQ45" s="817"/>
      <c r="DR45" s="990"/>
      <c r="DS45" s="819"/>
      <c r="DT45" s="963"/>
      <c r="DU45" s="817"/>
      <c r="DV45" s="990"/>
      <c r="DW45" s="819"/>
      <c r="DX45" s="963"/>
      <c r="DY45" s="817"/>
      <c r="DZ45" s="990"/>
      <c r="EA45" s="819"/>
      <c r="EB45" s="963"/>
      <c r="EC45" s="817"/>
      <c r="ED45" s="990"/>
      <c r="EE45" s="819"/>
      <c r="EF45" s="963"/>
      <c r="EG45" s="817"/>
      <c r="EH45" s="990"/>
      <c r="EI45" s="819"/>
      <c r="EJ45" s="963"/>
      <c r="EK45" s="817"/>
      <c r="EL45" s="990"/>
      <c r="EM45" s="819"/>
      <c r="EN45" s="963"/>
      <c r="EO45" s="817"/>
      <c r="EP45" s="990"/>
      <c r="EQ45" s="819"/>
      <c r="ER45" s="963"/>
      <c r="ES45" s="817"/>
      <c r="ET45" s="990"/>
      <c r="EU45" s="819"/>
      <c r="EV45" s="963"/>
      <c r="EW45" s="817"/>
      <c r="EX45" s="990"/>
      <c r="EY45" s="819"/>
      <c r="EZ45" s="963"/>
      <c r="FA45" s="817"/>
      <c r="FB45" s="990"/>
      <c r="FC45" s="819"/>
      <c r="FD45" s="963"/>
      <c r="FE45" s="817"/>
      <c r="FF45" s="990"/>
      <c r="FG45" s="819"/>
      <c r="FH45" s="963"/>
      <c r="FI45" s="817"/>
      <c r="FJ45" s="990"/>
      <c r="FK45" s="819"/>
      <c r="FL45" s="963"/>
      <c r="FM45" s="817"/>
      <c r="FN45" s="990"/>
      <c r="FO45" s="819"/>
      <c r="FP45" s="963"/>
      <c r="FQ45" s="817"/>
      <c r="FR45" s="990"/>
      <c r="FS45" s="819"/>
      <c r="FT45" s="963"/>
      <c r="FU45" s="817"/>
      <c r="FV45" s="990"/>
      <c r="FW45" s="819"/>
      <c r="FX45" s="963"/>
      <c r="FY45" s="817"/>
      <c r="FZ45" s="990"/>
      <c r="GA45" s="819"/>
      <c r="GB45" s="963"/>
      <c r="GC45" s="817"/>
      <c r="GD45" s="990"/>
      <c r="GE45" s="819"/>
      <c r="GF45" s="963"/>
      <c r="GG45" s="817"/>
      <c r="GH45" s="990"/>
      <c r="GI45" s="819"/>
      <c r="GJ45" s="963"/>
      <c r="GK45" s="817"/>
      <c r="GL45" s="990"/>
      <c r="GM45" s="819"/>
      <c r="GN45" s="963"/>
      <c r="GO45" s="817"/>
      <c r="GP45" s="990"/>
      <c r="GQ45" s="819"/>
      <c r="GR45" s="963"/>
      <c r="GS45" s="817"/>
      <c r="GT45" s="990"/>
      <c r="GU45" s="819"/>
      <c r="GV45" s="963"/>
      <c r="GW45" s="817"/>
      <c r="GX45" s="990"/>
      <c r="GY45" s="819"/>
      <c r="GZ45" s="963"/>
      <c r="HA45" s="817"/>
      <c r="HB45" s="990"/>
      <c r="HC45" s="819"/>
      <c r="HD45" s="963"/>
      <c r="HE45" s="817"/>
      <c r="HF45" s="990"/>
      <c r="HG45" s="819"/>
      <c r="HH45" s="963"/>
      <c r="HI45" s="817"/>
      <c r="HJ45" s="990"/>
      <c r="HK45" s="819"/>
      <c r="HL45" s="963"/>
      <c r="HM45" s="817"/>
      <c r="HN45" s="990"/>
      <c r="HO45" s="819"/>
      <c r="HP45" s="963"/>
      <c r="HQ45" s="817"/>
      <c r="HR45" s="990"/>
      <c r="HS45" s="819"/>
      <c r="HT45" s="963"/>
      <c r="HU45" s="817"/>
      <c r="HV45" s="990"/>
      <c r="HW45" s="819"/>
      <c r="HX45" s="963"/>
      <c r="HY45" s="817"/>
      <c r="HZ45" s="990"/>
      <c r="IA45" s="819"/>
      <c r="IB45" s="963"/>
      <c r="IC45" s="817"/>
      <c r="ID45" s="990"/>
      <c r="IE45" s="819"/>
      <c r="IF45" s="963"/>
      <c r="IG45" s="817"/>
      <c r="IH45" s="990"/>
      <c r="II45" s="819"/>
      <c r="IJ45" s="963"/>
      <c r="IK45" s="817"/>
      <c r="IL45" s="990"/>
      <c r="IM45" s="819"/>
      <c r="IN45" s="963"/>
      <c r="IO45" s="817"/>
      <c r="IP45" s="990"/>
      <c r="IQ45" s="819"/>
      <c r="IR45" s="963"/>
      <c r="IS45" s="817"/>
      <c r="IT45" s="990"/>
      <c r="IU45" s="819"/>
      <c r="IV45" s="963"/>
      <c r="IW45" s="817"/>
      <c r="IX45" s="990"/>
      <c r="IY45" s="819"/>
      <c r="IZ45" s="963"/>
      <c r="JA45" s="817"/>
      <c r="JB45" s="990"/>
      <c r="JC45" s="819"/>
      <c r="JD45" s="963"/>
      <c r="JE45" s="817"/>
      <c r="JF45" s="990"/>
      <c r="JG45" s="819"/>
      <c r="JH45" s="963"/>
      <c r="JI45" s="817"/>
      <c r="JJ45" s="990"/>
      <c r="JK45" s="819"/>
      <c r="JL45" s="963"/>
      <c r="JM45" s="817"/>
      <c r="JN45" s="990"/>
      <c r="JO45" s="819"/>
      <c r="JP45" s="963"/>
      <c r="JQ45" s="817"/>
      <c r="JR45" s="990"/>
      <c r="JS45" s="819"/>
      <c r="JT45" s="963"/>
      <c r="JU45" s="817"/>
      <c r="JV45" s="990"/>
      <c r="JW45" s="819"/>
      <c r="JX45" s="963"/>
      <c r="JY45" s="817"/>
      <c r="JZ45" s="990"/>
      <c r="KA45" s="819"/>
      <c r="KB45" s="963"/>
      <c r="KC45" s="817"/>
      <c r="KD45" s="990"/>
      <c r="KE45" s="819"/>
      <c r="KF45" s="963"/>
      <c r="KG45" s="817"/>
      <c r="KH45" s="990"/>
      <c r="KI45" s="819"/>
      <c r="KJ45" s="963"/>
      <c r="KK45" s="817"/>
      <c r="KL45" s="990"/>
      <c r="KM45" s="819"/>
      <c r="KN45" s="963"/>
      <c r="KO45" s="817"/>
      <c r="KP45" s="990"/>
      <c r="KQ45" s="819"/>
      <c r="KR45" s="963"/>
      <c r="KS45" s="817"/>
      <c r="KT45" s="990"/>
      <c r="KU45" s="819"/>
      <c r="KV45" s="963"/>
      <c r="KW45" s="817"/>
      <c r="KX45" s="990"/>
      <c r="KY45" s="819"/>
      <c r="KZ45" s="963"/>
      <c r="LA45" s="817"/>
      <c r="LB45" s="990"/>
      <c r="LC45" s="819"/>
      <c r="LD45" s="963"/>
      <c r="LE45" s="817"/>
      <c r="LF45" s="990"/>
      <c r="LG45" s="819"/>
      <c r="LH45" s="963"/>
      <c r="LI45" s="817"/>
      <c r="LJ45" s="990"/>
      <c r="LK45" s="819"/>
      <c r="LL45" s="963"/>
      <c r="LM45" s="817"/>
      <c r="LN45" s="990"/>
      <c r="LO45" s="819"/>
      <c r="LP45" s="963"/>
      <c r="LQ45" s="817"/>
      <c r="LR45" s="990"/>
      <c r="LS45" s="819"/>
      <c r="LT45" s="963"/>
      <c r="LU45" s="817"/>
      <c r="LV45" s="990"/>
      <c r="LW45" s="819"/>
      <c r="LX45" s="963"/>
      <c r="LY45" s="817"/>
      <c r="LZ45" s="990"/>
      <c r="MA45" s="819"/>
      <c r="MB45" s="963"/>
      <c r="MC45" s="817"/>
      <c r="MD45" s="990"/>
      <c r="ME45" s="819"/>
      <c r="MF45" s="963"/>
      <c r="MG45" s="817"/>
      <c r="MH45" s="990"/>
      <c r="MI45" s="819"/>
      <c r="MJ45" s="963"/>
      <c r="MK45" s="817"/>
      <c r="ML45" s="990"/>
      <c r="MM45" s="819"/>
      <c r="MN45" s="963"/>
      <c r="MO45" s="817"/>
      <c r="MP45" s="990"/>
      <c r="MQ45" s="819"/>
      <c r="MR45" s="963"/>
      <c r="MS45" s="817"/>
      <c r="MT45" s="990"/>
      <c r="MU45" s="819"/>
      <c r="MV45" s="963"/>
      <c r="MW45" s="817"/>
      <c r="MX45" s="990"/>
      <c r="MY45" s="819"/>
      <c r="MZ45" s="963"/>
      <c r="NA45" s="817"/>
      <c r="NB45" s="990"/>
      <c r="NC45" s="819"/>
      <c r="ND45" s="963"/>
      <c r="NE45" s="817"/>
      <c r="NF45" s="990"/>
      <c r="NG45" s="819"/>
      <c r="NH45" s="962"/>
      <c r="NI45" s="963"/>
      <c r="NJ45" s="823"/>
    </row>
    <row r="46" spans="1:377">
      <c r="A46" s="874">
        <v>23</v>
      </c>
      <c r="B46" s="989" t="str">
        <f t="shared" si="1"/>
        <v>W incentive</v>
      </c>
      <c r="C46" s="985">
        <f t="shared" si="2"/>
        <v>2007</v>
      </c>
      <c r="D46" s="963">
        <f>+D45</f>
        <v>1911923</v>
      </c>
      <c r="E46" s="817">
        <f>+E45</f>
        <v>1562.0285947712418</v>
      </c>
      <c r="F46" s="990">
        <f t="shared" si="3"/>
        <v>1910360.9714052288</v>
      </c>
      <c r="G46" s="819"/>
      <c r="H46" s="963">
        <f>+H45</f>
        <v>1070658.7328431373</v>
      </c>
      <c r="I46" s="991">
        <f>I45</f>
        <v>21114.058823529413</v>
      </c>
      <c r="J46" s="990">
        <f t="shared" si="0"/>
        <v>1049544.6740196079</v>
      </c>
      <c r="K46" s="819"/>
      <c r="L46" s="963"/>
      <c r="M46" s="991"/>
      <c r="N46" s="990"/>
      <c r="O46" s="819"/>
      <c r="P46" s="963">
        <f>+P45</f>
        <v>8222247</v>
      </c>
      <c r="Q46" s="817">
        <f>+Q45</f>
        <v>60457.698529411762</v>
      </c>
      <c r="R46" s="990">
        <f t="shared" si="4"/>
        <v>8161789.301470588</v>
      </c>
      <c r="S46" s="819"/>
      <c r="T46" s="963">
        <f>+T45</f>
        <v>7184742</v>
      </c>
      <c r="U46" s="817">
        <f>+U45</f>
        <v>17609.661764705881</v>
      </c>
      <c r="V46" s="990">
        <f t="shared" si="5"/>
        <v>7167132.3382352944</v>
      </c>
      <c r="W46" s="819"/>
      <c r="X46" s="963"/>
      <c r="Y46" s="817"/>
      <c r="Z46" s="990"/>
      <c r="AA46" s="819"/>
      <c r="AB46" s="963"/>
      <c r="AC46" s="817"/>
      <c r="AD46" s="990"/>
      <c r="AE46" s="819"/>
      <c r="AF46" s="963"/>
      <c r="AG46" s="817"/>
      <c r="AH46" s="990"/>
      <c r="AI46" s="819"/>
      <c r="AJ46" s="963"/>
      <c r="AK46" s="817"/>
      <c r="AL46" s="990"/>
      <c r="AM46" s="819"/>
      <c r="AN46" s="963"/>
      <c r="AO46" s="817"/>
      <c r="AP46" s="990"/>
      <c r="AQ46" s="819"/>
      <c r="AR46" s="963"/>
      <c r="AS46" s="817"/>
      <c r="AT46" s="990"/>
      <c r="AU46" s="819"/>
      <c r="AV46" s="963"/>
      <c r="AW46" s="817"/>
      <c r="AX46" s="990"/>
      <c r="AY46" s="819"/>
      <c r="AZ46" s="963"/>
      <c r="BA46" s="817"/>
      <c r="BB46" s="990"/>
      <c r="BC46" s="819"/>
      <c r="BD46" s="963"/>
      <c r="BE46" s="817"/>
      <c r="BF46" s="990"/>
      <c r="BG46" s="819"/>
      <c r="BH46" s="963"/>
      <c r="BI46" s="817"/>
      <c r="BJ46" s="990"/>
      <c r="BK46" s="819"/>
      <c r="BL46" s="963"/>
      <c r="BM46" s="817"/>
      <c r="BN46" s="990"/>
      <c r="BO46" s="819"/>
      <c r="BP46" s="963"/>
      <c r="BQ46" s="817"/>
      <c r="BR46" s="990"/>
      <c r="BS46" s="819"/>
      <c r="BT46" s="963"/>
      <c r="BU46" s="817"/>
      <c r="BV46" s="990"/>
      <c r="BW46" s="819"/>
      <c r="BX46" s="963"/>
      <c r="BY46" s="817"/>
      <c r="BZ46" s="990"/>
      <c r="CA46" s="819"/>
      <c r="CB46" s="963"/>
      <c r="CC46" s="817"/>
      <c r="CD46" s="990"/>
      <c r="CE46" s="819"/>
      <c r="CF46" s="963"/>
      <c r="CG46" s="817"/>
      <c r="CH46" s="990"/>
      <c r="CI46" s="819"/>
      <c r="CJ46" s="963"/>
      <c r="CK46" s="817"/>
      <c r="CL46" s="990"/>
      <c r="CM46" s="819"/>
      <c r="CN46" s="963"/>
      <c r="CO46" s="817"/>
      <c r="CP46" s="990"/>
      <c r="CQ46" s="819"/>
      <c r="CR46" s="963"/>
      <c r="CS46" s="817"/>
      <c r="CT46" s="990"/>
      <c r="CU46" s="819"/>
      <c r="CV46" s="963"/>
      <c r="CW46" s="817"/>
      <c r="CX46" s="990"/>
      <c r="CY46" s="819"/>
      <c r="CZ46" s="963"/>
      <c r="DA46" s="817"/>
      <c r="DB46" s="990"/>
      <c r="DC46" s="819"/>
      <c r="DD46" s="963"/>
      <c r="DE46" s="817"/>
      <c r="DF46" s="990"/>
      <c r="DG46" s="819"/>
      <c r="DH46" s="963"/>
      <c r="DI46" s="817"/>
      <c r="DJ46" s="990"/>
      <c r="DK46" s="819"/>
      <c r="DL46" s="963"/>
      <c r="DM46" s="817"/>
      <c r="DN46" s="990"/>
      <c r="DO46" s="819"/>
      <c r="DP46" s="963"/>
      <c r="DQ46" s="817"/>
      <c r="DR46" s="990"/>
      <c r="DS46" s="819"/>
      <c r="DT46" s="963"/>
      <c r="DU46" s="817"/>
      <c r="DV46" s="990"/>
      <c r="DW46" s="819"/>
      <c r="DX46" s="963"/>
      <c r="DY46" s="817"/>
      <c r="DZ46" s="990"/>
      <c r="EA46" s="819"/>
      <c r="EB46" s="963"/>
      <c r="EC46" s="817"/>
      <c r="ED46" s="990"/>
      <c r="EE46" s="819"/>
      <c r="EF46" s="963"/>
      <c r="EG46" s="817"/>
      <c r="EH46" s="990"/>
      <c r="EI46" s="819"/>
      <c r="EJ46" s="963"/>
      <c r="EK46" s="817"/>
      <c r="EL46" s="990"/>
      <c r="EM46" s="819"/>
      <c r="EN46" s="963"/>
      <c r="EO46" s="817"/>
      <c r="EP46" s="990"/>
      <c r="EQ46" s="819"/>
      <c r="ER46" s="963"/>
      <c r="ES46" s="817"/>
      <c r="ET46" s="990"/>
      <c r="EU46" s="819"/>
      <c r="EV46" s="963"/>
      <c r="EW46" s="817"/>
      <c r="EX46" s="990"/>
      <c r="EY46" s="819"/>
      <c r="EZ46" s="963"/>
      <c r="FA46" s="817"/>
      <c r="FB46" s="990"/>
      <c r="FC46" s="819"/>
      <c r="FD46" s="963"/>
      <c r="FE46" s="817"/>
      <c r="FF46" s="990"/>
      <c r="FG46" s="819"/>
      <c r="FH46" s="963"/>
      <c r="FI46" s="817"/>
      <c r="FJ46" s="990"/>
      <c r="FK46" s="819"/>
      <c r="FL46" s="963"/>
      <c r="FM46" s="817"/>
      <c r="FN46" s="990"/>
      <c r="FO46" s="819"/>
      <c r="FP46" s="963"/>
      <c r="FQ46" s="817"/>
      <c r="FR46" s="990"/>
      <c r="FS46" s="819"/>
      <c r="FT46" s="963"/>
      <c r="FU46" s="817"/>
      <c r="FV46" s="990"/>
      <c r="FW46" s="819"/>
      <c r="FX46" s="963"/>
      <c r="FY46" s="817"/>
      <c r="FZ46" s="990"/>
      <c r="GA46" s="819"/>
      <c r="GB46" s="963"/>
      <c r="GC46" s="817"/>
      <c r="GD46" s="990"/>
      <c r="GE46" s="819"/>
      <c r="GF46" s="963"/>
      <c r="GG46" s="817"/>
      <c r="GH46" s="990"/>
      <c r="GI46" s="819"/>
      <c r="GJ46" s="963"/>
      <c r="GK46" s="817"/>
      <c r="GL46" s="990"/>
      <c r="GM46" s="819"/>
      <c r="GN46" s="963"/>
      <c r="GO46" s="817"/>
      <c r="GP46" s="990"/>
      <c r="GQ46" s="819"/>
      <c r="GR46" s="963"/>
      <c r="GS46" s="817"/>
      <c r="GT46" s="990"/>
      <c r="GU46" s="819"/>
      <c r="GV46" s="963"/>
      <c r="GW46" s="817"/>
      <c r="GX46" s="990"/>
      <c r="GY46" s="819"/>
      <c r="GZ46" s="963"/>
      <c r="HA46" s="817"/>
      <c r="HB46" s="990"/>
      <c r="HC46" s="819"/>
      <c r="HD46" s="963"/>
      <c r="HE46" s="817"/>
      <c r="HF46" s="990"/>
      <c r="HG46" s="819"/>
      <c r="HH46" s="963"/>
      <c r="HI46" s="817"/>
      <c r="HJ46" s="990"/>
      <c r="HK46" s="819"/>
      <c r="HL46" s="963"/>
      <c r="HM46" s="817"/>
      <c r="HN46" s="990"/>
      <c r="HO46" s="819"/>
      <c r="HP46" s="963"/>
      <c r="HQ46" s="817"/>
      <c r="HR46" s="990"/>
      <c r="HS46" s="819"/>
      <c r="HT46" s="963"/>
      <c r="HU46" s="817"/>
      <c r="HV46" s="990"/>
      <c r="HW46" s="819"/>
      <c r="HX46" s="963"/>
      <c r="HY46" s="817"/>
      <c r="HZ46" s="990"/>
      <c r="IA46" s="819"/>
      <c r="IB46" s="963"/>
      <c r="IC46" s="817"/>
      <c r="ID46" s="990"/>
      <c r="IE46" s="819"/>
      <c r="IF46" s="963"/>
      <c r="IG46" s="817"/>
      <c r="IH46" s="990"/>
      <c r="II46" s="819"/>
      <c r="IJ46" s="963"/>
      <c r="IK46" s="817"/>
      <c r="IL46" s="990"/>
      <c r="IM46" s="819"/>
      <c r="IN46" s="963"/>
      <c r="IO46" s="817"/>
      <c r="IP46" s="990"/>
      <c r="IQ46" s="819"/>
      <c r="IR46" s="963"/>
      <c r="IS46" s="817"/>
      <c r="IT46" s="990"/>
      <c r="IU46" s="819"/>
      <c r="IV46" s="963"/>
      <c r="IW46" s="817"/>
      <c r="IX46" s="990"/>
      <c r="IY46" s="819"/>
      <c r="IZ46" s="963"/>
      <c r="JA46" s="817"/>
      <c r="JB46" s="990"/>
      <c r="JC46" s="819"/>
      <c r="JD46" s="963"/>
      <c r="JE46" s="817"/>
      <c r="JF46" s="990"/>
      <c r="JG46" s="819"/>
      <c r="JH46" s="963"/>
      <c r="JI46" s="817"/>
      <c r="JJ46" s="990"/>
      <c r="JK46" s="819"/>
      <c r="JL46" s="963"/>
      <c r="JM46" s="817"/>
      <c r="JN46" s="990"/>
      <c r="JO46" s="819"/>
      <c r="JP46" s="963"/>
      <c r="JQ46" s="817"/>
      <c r="JR46" s="990"/>
      <c r="JS46" s="819"/>
      <c r="JT46" s="963"/>
      <c r="JU46" s="817"/>
      <c r="JV46" s="990"/>
      <c r="JW46" s="819"/>
      <c r="JX46" s="963"/>
      <c r="JY46" s="817"/>
      <c r="JZ46" s="990"/>
      <c r="KA46" s="819"/>
      <c r="KB46" s="963"/>
      <c r="KC46" s="817"/>
      <c r="KD46" s="990"/>
      <c r="KE46" s="819"/>
      <c r="KF46" s="963"/>
      <c r="KG46" s="817"/>
      <c r="KH46" s="990"/>
      <c r="KI46" s="819"/>
      <c r="KJ46" s="963"/>
      <c r="KK46" s="817"/>
      <c r="KL46" s="990"/>
      <c r="KM46" s="819"/>
      <c r="KN46" s="963"/>
      <c r="KO46" s="817"/>
      <c r="KP46" s="990"/>
      <c r="KQ46" s="819"/>
      <c r="KR46" s="963"/>
      <c r="KS46" s="817"/>
      <c r="KT46" s="990"/>
      <c r="KU46" s="819"/>
      <c r="KV46" s="963"/>
      <c r="KW46" s="817"/>
      <c r="KX46" s="990"/>
      <c r="KY46" s="819"/>
      <c r="KZ46" s="963"/>
      <c r="LA46" s="817"/>
      <c r="LB46" s="990"/>
      <c r="LC46" s="819"/>
      <c r="LD46" s="963"/>
      <c r="LE46" s="817"/>
      <c r="LF46" s="990"/>
      <c r="LG46" s="819"/>
      <c r="LH46" s="963"/>
      <c r="LI46" s="817"/>
      <c r="LJ46" s="990"/>
      <c r="LK46" s="819"/>
      <c r="LL46" s="963"/>
      <c r="LM46" s="817"/>
      <c r="LN46" s="990"/>
      <c r="LO46" s="819"/>
      <c r="LP46" s="963"/>
      <c r="LQ46" s="817"/>
      <c r="LR46" s="990"/>
      <c r="LS46" s="819"/>
      <c r="LT46" s="963"/>
      <c r="LU46" s="817"/>
      <c r="LV46" s="990"/>
      <c r="LW46" s="819"/>
      <c r="LX46" s="963"/>
      <c r="LY46" s="817"/>
      <c r="LZ46" s="990"/>
      <c r="MA46" s="819"/>
      <c r="MB46" s="963"/>
      <c r="MC46" s="817"/>
      <c r="MD46" s="990"/>
      <c r="ME46" s="819"/>
      <c r="MF46" s="963"/>
      <c r="MG46" s="817"/>
      <c r="MH46" s="990"/>
      <c r="MI46" s="819"/>
      <c r="MJ46" s="963"/>
      <c r="MK46" s="817"/>
      <c r="ML46" s="990"/>
      <c r="MM46" s="819"/>
      <c r="MN46" s="963"/>
      <c r="MO46" s="817"/>
      <c r="MP46" s="990"/>
      <c r="MQ46" s="819"/>
      <c r="MR46" s="963"/>
      <c r="MS46" s="817"/>
      <c r="MT46" s="990"/>
      <c r="MU46" s="819"/>
      <c r="MV46" s="963"/>
      <c r="MW46" s="817"/>
      <c r="MX46" s="990"/>
      <c r="MY46" s="819"/>
      <c r="MZ46" s="963"/>
      <c r="NA46" s="817"/>
      <c r="NB46" s="990"/>
      <c r="NC46" s="819"/>
      <c r="ND46" s="963"/>
      <c r="NE46" s="817"/>
      <c r="NF46" s="990"/>
      <c r="NG46" s="819"/>
      <c r="NH46" s="962"/>
      <c r="NI46" s="963"/>
      <c r="NJ46" s="823"/>
    </row>
    <row r="47" spans="1:377">
      <c r="A47" s="874">
        <v>24</v>
      </c>
      <c r="B47" s="992" t="str">
        <f t="shared" si="1"/>
        <v>W / O incentive</v>
      </c>
      <c r="C47" s="993">
        <f t="shared" si="2"/>
        <v>2008</v>
      </c>
      <c r="D47" s="994">
        <f>+F46</f>
        <v>1910360.9714052288</v>
      </c>
      <c r="E47" s="991">
        <f>+D$38/51</f>
        <v>37488.686274509804</v>
      </c>
      <c r="F47" s="991">
        <f t="shared" si="3"/>
        <v>1872872.285130719</v>
      </c>
      <c r="G47" s="828"/>
      <c r="H47" s="994">
        <f>+J46</f>
        <v>1049544.6740196079</v>
      </c>
      <c r="I47" s="991">
        <f t="shared" ref="I47" si="6">+H$38/51</f>
        <v>21114.058823529413</v>
      </c>
      <c r="J47" s="991">
        <f t="shared" si="0"/>
        <v>1028430.6151960786</v>
      </c>
      <c r="K47" s="828"/>
      <c r="L47" s="994"/>
      <c r="M47" s="991"/>
      <c r="N47" s="991"/>
      <c r="O47" s="828"/>
      <c r="P47" s="994">
        <f>+R46</f>
        <v>8161789.301470588</v>
      </c>
      <c r="Q47" s="991">
        <f>+P$38/51</f>
        <v>161220.5294117647</v>
      </c>
      <c r="R47" s="991">
        <f t="shared" si="4"/>
        <v>8000568.7720588231</v>
      </c>
      <c r="S47" s="828"/>
      <c r="T47" s="994">
        <f>+V46</f>
        <v>7167132.3382352944</v>
      </c>
      <c r="U47" s="991">
        <f>+T$38/51</f>
        <v>140877.29411764705</v>
      </c>
      <c r="V47" s="991">
        <f t="shared" si="5"/>
        <v>7026255.0441176472</v>
      </c>
      <c r="W47" s="828"/>
      <c r="X47" s="994"/>
      <c r="Y47" s="991"/>
      <c r="Z47" s="991"/>
      <c r="AA47" s="828"/>
      <c r="AB47" s="994"/>
      <c r="AC47" s="991"/>
      <c r="AD47" s="991"/>
      <c r="AE47" s="828"/>
      <c r="AF47" s="994"/>
      <c r="AG47" s="991"/>
      <c r="AH47" s="991"/>
      <c r="AI47" s="828"/>
      <c r="AJ47" s="994"/>
      <c r="AK47" s="991"/>
      <c r="AL47" s="991"/>
      <c r="AM47" s="828"/>
      <c r="AN47" s="994"/>
      <c r="AO47" s="991"/>
      <c r="AP47" s="991"/>
      <c r="AQ47" s="828"/>
      <c r="AR47" s="994"/>
      <c r="AS47" s="991"/>
      <c r="AT47" s="991"/>
      <c r="AU47" s="828"/>
      <c r="AV47" s="994"/>
      <c r="AW47" s="991"/>
      <c r="AX47" s="991"/>
      <c r="AY47" s="828"/>
      <c r="AZ47" s="994"/>
      <c r="BA47" s="991"/>
      <c r="BB47" s="991"/>
      <c r="BC47" s="828"/>
      <c r="BD47" s="994"/>
      <c r="BE47" s="991"/>
      <c r="BF47" s="991"/>
      <c r="BG47" s="828"/>
      <c r="BH47" s="994"/>
      <c r="BI47" s="991"/>
      <c r="BJ47" s="991"/>
      <c r="BK47" s="828"/>
      <c r="BL47" s="994"/>
      <c r="BM47" s="991"/>
      <c r="BN47" s="991"/>
      <c r="BO47" s="828"/>
      <c r="BP47" s="994"/>
      <c r="BQ47" s="991"/>
      <c r="BR47" s="991"/>
      <c r="BS47" s="828"/>
      <c r="BT47" s="994"/>
      <c r="BU47" s="991"/>
      <c r="BV47" s="991"/>
      <c r="BW47" s="828"/>
      <c r="BX47" s="994"/>
      <c r="BY47" s="991"/>
      <c r="BZ47" s="991"/>
      <c r="CA47" s="828"/>
      <c r="CB47" s="994"/>
      <c r="CC47" s="991"/>
      <c r="CD47" s="991"/>
      <c r="CE47" s="828"/>
      <c r="CF47" s="994"/>
      <c r="CG47" s="991"/>
      <c r="CH47" s="991"/>
      <c r="CI47" s="828"/>
      <c r="CJ47" s="994"/>
      <c r="CK47" s="991"/>
      <c r="CL47" s="991"/>
      <c r="CM47" s="828"/>
      <c r="CN47" s="994"/>
      <c r="CO47" s="991"/>
      <c r="CP47" s="991"/>
      <c r="CQ47" s="828"/>
      <c r="CR47" s="994"/>
      <c r="CS47" s="991"/>
      <c r="CT47" s="991"/>
      <c r="CU47" s="828"/>
      <c r="CV47" s="994"/>
      <c r="CW47" s="991"/>
      <c r="CX47" s="991"/>
      <c r="CY47" s="828"/>
      <c r="CZ47" s="994"/>
      <c r="DA47" s="991"/>
      <c r="DB47" s="991"/>
      <c r="DC47" s="828"/>
      <c r="DD47" s="994"/>
      <c r="DE47" s="991"/>
      <c r="DF47" s="991"/>
      <c r="DG47" s="828"/>
      <c r="DH47" s="994"/>
      <c r="DI47" s="991"/>
      <c r="DJ47" s="991"/>
      <c r="DK47" s="828"/>
      <c r="DL47" s="994"/>
      <c r="DM47" s="991"/>
      <c r="DN47" s="991"/>
      <c r="DO47" s="828"/>
      <c r="DP47" s="994"/>
      <c r="DQ47" s="991"/>
      <c r="DR47" s="991"/>
      <c r="DS47" s="828"/>
      <c r="DT47" s="994"/>
      <c r="DU47" s="991"/>
      <c r="DV47" s="991"/>
      <c r="DW47" s="828"/>
      <c r="DX47" s="994"/>
      <c r="DY47" s="991"/>
      <c r="DZ47" s="991"/>
      <c r="EA47" s="828"/>
      <c r="EB47" s="994"/>
      <c r="EC47" s="991"/>
      <c r="ED47" s="991"/>
      <c r="EE47" s="828"/>
      <c r="EF47" s="994"/>
      <c r="EG47" s="991"/>
      <c r="EH47" s="991"/>
      <c r="EI47" s="828"/>
      <c r="EJ47" s="994"/>
      <c r="EK47" s="991"/>
      <c r="EL47" s="991"/>
      <c r="EM47" s="828"/>
      <c r="EN47" s="994"/>
      <c r="EO47" s="991"/>
      <c r="EP47" s="991"/>
      <c r="EQ47" s="828"/>
      <c r="ER47" s="994"/>
      <c r="ES47" s="991"/>
      <c r="ET47" s="991"/>
      <c r="EU47" s="828"/>
      <c r="EV47" s="994"/>
      <c r="EW47" s="991"/>
      <c r="EX47" s="991"/>
      <c r="EY47" s="828"/>
      <c r="EZ47" s="994"/>
      <c r="FA47" s="991"/>
      <c r="FB47" s="991"/>
      <c r="FC47" s="828"/>
      <c r="FD47" s="994"/>
      <c r="FE47" s="991"/>
      <c r="FF47" s="991"/>
      <c r="FG47" s="828"/>
      <c r="FH47" s="994"/>
      <c r="FI47" s="991"/>
      <c r="FJ47" s="991"/>
      <c r="FK47" s="828"/>
      <c r="FL47" s="994"/>
      <c r="FM47" s="991"/>
      <c r="FN47" s="991"/>
      <c r="FO47" s="828"/>
      <c r="FP47" s="994"/>
      <c r="FQ47" s="991"/>
      <c r="FR47" s="991"/>
      <c r="FS47" s="828"/>
      <c r="FT47" s="994"/>
      <c r="FU47" s="991"/>
      <c r="FV47" s="991"/>
      <c r="FW47" s="828"/>
      <c r="FX47" s="994"/>
      <c r="FY47" s="991"/>
      <c r="FZ47" s="991"/>
      <c r="GA47" s="828"/>
      <c r="GB47" s="994"/>
      <c r="GC47" s="991"/>
      <c r="GD47" s="991"/>
      <c r="GE47" s="828"/>
      <c r="GF47" s="994"/>
      <c r="GG47" s="991"/>
      <c r="GH47" s="991"/>
      <c r="GI47" s="828"/>
      <c r="GJ47" s="994"/>
      <c r="GK47" s="991"/>
      <c r="GL47" s="991"/>
      <c r="GM47" s="828"/>
      <c r="GN47" s="994"/>
      <c r="GO47" s="991"/>
      <c r="GP47" s="991"/>
      <c r="GQ47" s="828"/>
      <c r="GR47" s="994"/>
      <c r="GS47" s="991"/>
      <c r="GT47" s="991"/>
      <c r="GU47" s="828"/>
      <c r="GV47" s="994"/>
      <c r="GW47" s="991"/>
      <c r="GX47" s="991"/>
      <c r="GY47" s="828"/>
      <c r="GZ47" s="994"/>
      <c r="HA47" s="991"/>
      <c r="HB47" s="991"/>
      <c r="HC47" s="828"/>
      <c r="HD47" s="994"/>
      <c r="HE47" s="991"/>
      <c r="HF47" s="991"/>
      <c r="HG47" s="828"/>
      <c r="HH47" s="994"/>
      <c r="HI47" s="991"/>
      <c r="HJ47" s="991"/>
      <c r="HK47" s="828"/>
      <c r="HL47" s="994"/>
      <c r="HM47" s="991"/>
      <c r="HN47" s="991"/>
      <c r="HO47" s="828"/>
      <c r="HP47" s="994"/>
      <c r="HQ47" s="991"/>
      <c r="HR47" s="991"/>
      <c r="HS47" s="828"/>
      <c r="HT47" s="994"/>
      <c r="HU47" s="991"/>
      <c r="HV47" s="991"/>
      <c r="HW47" s="828"/>
      <c r="HX47" s="994"/>
      <c r="HY47" s="991"/>
      <c r="HZ47" s="991"/>
      <c r="IA47" s="828"/>
      <c r="IB47" s="994"/>
      <c r="IC47" s="991"/>
      <c r="ID47" s="991"/>
      <c r="IE47" s="828"/>
      <c r="IF47" s="994"/>
      <c r="IG47" s="991"/>
      <c r="IH47" s="991"/>
      <c r="II47" s="828"/>
      <c r="IJ47" s="994"/>
      <c r="IK47" s="991"/>
      <c r="IL47" s="991"/>
      <c r="IM47" s="828"/>
      <c r="IN47" s="994"/>
      <c r="IO47" s="991"/>
      <c r="IP47" s="991"/>
      <c r="IQ47" s="828"/>
      <c r="IR47" s="994"/>
      <c r="IS47" s="991"/>
      <c r="IT47" s="991"/>
      <c r="IU47" s="828"/>
      <c r="IV47" s="994"/>
      <c r="IW47" s="991"/>
      <c r="IX47" s="991"/>
      <c r="IY47" s="828"/>
      <c r="IZ47" s="994"/>
      <c r="JA47" s="991"/>
      <c r="JB47" s="991"/>
      <c r="JC47" s="828"/>
      <c r="JD47" s="994"/>
      <c r="JE47" s="991"/>
      <c r="JF47" s="991"/>
      <c r="JG47" s="828"/>
      <c r="JH47" s="994"/>
      <c r="JI47" s="991"/>
      <c r="JJ47" s="991"/>
      <c r="JK47" s="828"/>
      <c r="JL47" s="994"/>
      <c r="JM47" s="991"/>
      <c r="JN47" s="991"/>
      <c r="JO47" s="828"/>
      <c r="JP47" s="994"/>
      <c r="JQ47" s="991"/>
      <c r="JR47" s="991"/>
      <c r="JS47" s="828"/>
      <c r="JT47" s="994"/>
      <c r="JU47" s="991"/>
      <c r="JV47" s="991"/>
      <c r="JW47" s="828"/>
      <c r="JX47" s="994"/>
      <c r="JY47" s="991"/>
      <c r="JZ47" s="991"/>
      <c r="KA47" s="828"/>
      <c r="KB47" s="994"/>
      <c r="KC47" s="991"/>
      <c r="KD47" s="991"/>
      <c r="KE47" s="828"/>
      <c r="KF47" s="994"/>
      <c r="KG47" s="991"/>
      <c r="KH47" s="991"/>
      <c r="KI47" s="828"/>
      <c r="KJ47" s="994"/>
      <c r="KK47" s="991"/>
      <c r="KL47" s="991"/>
      <c r="KM47" s="828"/>
      <c r="KN47" s="994"/>
      <c r="KO47" s="991"/>
      <c r="KP47" s="991"/>
      <c r="KQ47" s="828"/>
      <c r="KR47" s="994"/>
      <c r="KS47" s="991"/>
      <c r="KT47" s="991"/>
      <c r="KU47" s="828"/>
      <c r="KV47" s="994"/>
      <c r="KW47" s="991"/>
      <c r="KX47" s="991"/>
      <c r="KY47" s="828"/>
      <c r="KZ47" s="994"/>
      <c r="LA47" s="991"/>
      <c r="LB47" s="991"/>
      <c r="LC47" s="828"/>
      <c r="LD47" s="994"/>
      <c r="LE47" s="991"/>
      <c r="LF47" s="991"/>
      <c r="LG47" s="828"/>
      <c r="LH47" s="994"/>
      <c r="LI47" s="991"/>
      <c r="LJ47" s="991"/>
      <c r="LK47" s="828"/>
      <c r="LL47" s="994"/>
      <c r="LM47" s="991"/>
      <c r="LN47" s="991"/>
      <c r="LO47" s="828"/>
      <c r="LP47" s="994"/>
      <c r="LQ47" s="991"/>
      <c r="LR47" s="991"/>
      <c r="LS47" s="828"/>
      <c r="LT47" s="994"/>
      <c r="LU47" s="991"/>
      <c r="LV47" s="991"/>
      <c r="LW47" s="828"/>
      <c r="LX47" s="994"/>
      <c r="LY47" s="991"/>
      <c r="LZ47" s="991"/>
      <c r="MA47" s="828"/>
      <c r="MB47" s="994"/>
      <c r="MC47" s="991"/>
      <c r="MD47" s="991"/>
      <c r="ME47" s="828"/>
      <c r="MF47" s="994"/>
      <c r="MG47" s="991"/>
      <c r="MH47" s="991"/>
      <c r="MI47" s="828"/>
      <c r="MJ47" s="994"/>
      <c r="MK47" s="991"/>
      <c r="ML47" s="991"/>
      <c r="MM47" s="828"/>
      <c r="MN47" s="994"/>
      <c r="MO47" s="991"/>
      <c r="MP47" s="991"/>
      <c r="MQ47" s="828"/>
      <c r="MR47" s="994"/>
      <c r="MS47" s="991"/>
      <c r="MT47" s="991"/>
      <c r="MU47" s="828"/>
      <c r="MV47" s="994"/>
      <c r="MW47" s="991"/>
      <c r="MX47" s="991"/>
      <c r="MY47" s="828"/>
      <c r="MZ47" s="994"/>
      <c r="NA47" s="991"/>
      <c r="NB47" s="991"/>
      <c r="NC47" s="828"/>
      <c r="ND47" s="994"/>
      <c r="NE47" s="991"/>
      <c r="NF47" s="991"/>
      <c r="NG47" s="828"/>
      <c r="NH47" s="995"/>
      <c r="NI47" s="994"/>
      <c r="NJ47" s="830"/>
    </row>
    <row r="48" spans="1:377">
      <c r="A48" s="874">
        <v>25</v>
      </c>
      <c r="B48" s="992" t="str">
        <f t="shared" si="1"/>
        <v>W incentive</v>
      </c>
      <c r="C48" s="993">
        <f t="shared" si="2"/>
        <v>2008</v>
      </c>
      <c r="D48" s="994">
        <f>+D47</f>
        <v>1910360.9714052288</v>
      </c>
      <c r="E48" s="991">
        <f>E47</f>
        <v>37488.686274509804</v>
      </c>
      <c r="F48" s="991">
        <f t="shared" si="3"/>
        <v>1872872.285130719</v>
      </c>
      <c r="G48" s="828"/>
      <c r="H48" s="994">
        <f>+H47</f>
        <v>1049544.6740196079</v>
      </c>
      <c r="I48" s="991">
        <f t="shared" ref="I48" si="7">I47</f>
        <v>21114.058823529413</v>
      </c>
      <c r="J48" s="991">
        <f t="shared" si="0"/>
        <v>1028430.6151960786</v>
      </c>
      <c r="K48" s="828"/>
      <c r="L48" s="994"/>
      <c r="M48" s="991"/>
      <c r="N48" s="991"/>
      <c r="O48" s="828"/>
      <c r="P48" s="994">
        <f>+P47</f>
        <v>8161789.301470588</v>
      </c>
      <c r="Q48" s="991">
        <f>Q47</f>
        <v>161220.5294117647</v>
      </c>
      <c r="R48" s="991">
        <f t="shared" si="4"/>
        <v>8000568.7720588231</v>
      </c>
      <c r="S48" s="828"/>
      <c r="T48" s="994">
        <f>+T47</f>
        <v>7167132.3382352944</v>
      </c>
      <c r="U48" s="991">
        <f>U47</f>
        <v>140877.29411764705</v>
      </c>
      <c r="V48" s="991">
        <f t="shared" si="5"/>
        <v>7026255.0441176472</v>
      </c>
      <c r="W48" s="828"/>
      <c r="X48" s="994"/>
      <c r="Y48" s="991"/>
      <c r="Z48" s="991"/>
      <c r="AA48" s="828"/>
      <c r="AB48" s="994"/>
      <c r="AC48" s="991"/>
      <c r="AD48" s="991"/>
      <c r="AE48" s="828"/>
      <c r="AF48" s="994"/>
      <c r="AG48" s="991"/>
      <c r="AH48" s="991"/>
      <c r="AI48" s="828"/>
      <c r="AJ48" s="994"/>
      <c r="AK48" s="991"/>
      <c r="AL48" s="991"/>
      <c r="AM48" s="828"/>
      <c r="AN48" s="994"/>
      <c r="AO48" s="991"/>
      <c r="AP48" s="991"/>
      <c r="AQ48" s="828"/>
      <c r="AR48" s="994"/>
      <c r="AS48" s="991"/>
      <c r="AT48" s="991"/>
      <c r="AU48" s="828"/>
      <c r="AV48" s="994"/>
      <c r="AW48" s="991"/>
      <c r="AX48" s="991"/>
      <c r="AY48" s="828"/>
      <c r="AZ48" s="994"/>
      <c r="BA48" s="991"/>
      <c r="BB48" s="991"/>
      <c r="BC48" s="828"/>
      <c r="BD48" s="994"/>
      <c r="BE48" s="991"/>
      <c r="BF48" s="991"/>
      <c r="BG48" s="828"/>
      <c r="BH48" s="994"/>
      <c r="BI48" s="991"/>
      <c r="BJ48" s="991"/>
      <c r="BK48" s="828"/>
      <c r="BL48" s="994"/>
      <c r="BM48" s="991"/>
      <c r="BN48" s="991"/>
      <c r="BO48" s="828"/>
      <c r="BP48" s="994"/>
      <c r="BQ48" s="991"/>
      <c r="BR48" s="991"/>
      <c r="BS48" s="828"/>
      <c r="BT48" s="994"/>
      <c r="BU48" s="991"/>
      <c r="BV48" s="991"/>
      <c r="BW48" s="828"/>
      <c r="BX48" s="994"/>
      <c r="BY48" s="991"/>
      <c r="BZ48" s="991"/>
      <c r="CA48" s="828"/>
      <c r="CB48" s="994"/>
      <c r="CC48" s="991"/>
      <c r="CD48" s="991"/>
      <c r="CE48" s="828"/>
      <c r="CF48" s="994"/>
      <c r="CG48" s="991"/>
      <c r="CH48" s="991"/>
      <c r="CI48" s="828"/>
      <c r="CJ48" s="994"/>
      <c r="CK48" s="991"/>
      <c r="CL48" s="991"/>
      <c r="CM48" s="828"/>
      <c r="CN48" s="994"/>
      <c r="CO48" s="991"/>
      <c r="CP48" s="991"/>
      <c r="CQ48" s="828"/>
      <c r="CR48" s="994"/>
      <c r="CS48" s="991"/>
      <c r="CT48" s="991"/>
      <c r="CU48" s="828"/>
      <c r="CV48" s="994"/>
      <c r="CW48" s="991"/>
      <c r="CX48" s="991"/>
      <c r="CY48" s="828"/>
      <c r="CZ48" s="994"/>
      <c r="DA48" s="991"/>
      <c r="DB48" s="991"/>
      <c r="DC48" s="828"/>
      <c r="DD48" s="994"/>
      <c r="DE48" s="991"/>
      <c r="DF48" s="991"/>
      <c r="DG48" s="828"/>
      <c r="DH48" s="994"/>
      <c r="DI48" s="991"/>
      <c r="DJ48" s="991"/>
      <c r="DK48" s="828"/>
      <c r="DL48" s="994"/>
      <c r="DM48" s="991"/>
      <c r="DN48" s="991"/>
      <c r="DO48" s="828"/>
      <c r="DP48" s="994"/>
      <c r="DQ48" s="991"/>
      <c r="DR48" s="991"/>
      <c r="DS48" s="828"/>
      <c r="DT48" s="994"/>
      <c r="DU48" s="991"/>
      <c r="DV48" s="991"/>
      <c r="DW48" s="828"/>
      <c r="DX48" s="994"/>
      <c r="DY48" s="991"/>
      <c r="DZ48" s="991"/>
      <c r="EA48" s="828"/>
      <c r="EB48" s="994"/>
      <c r="EC48" s="991"/>
      <c r="ED48" s="991"/>
      <c r="EE48" s="828"/>
      <c r="EF48" s="994"/>
      <c r="EG48" s="991"/>
      <c r="EH48" s="991"/>
      <c r="EI48" s="828"/>
      <c r="EJ48" s="994"/>
      <c r="EK48" s="991"/>
      <c r="EL48" s="991"/>
      <c r="EM48" s="828"/>
      <c r="EN48" s="994"/>
      <c r="EO48" s="991"/>
      <c r="EP48" s="991"/>
      <c r="EQ48" s="828"/>
      <c r="ER48" s="994"/>
      <c r="ES48" s="991"/>
      <c r="ET48" s="991"/>
      <c r="EU48" s="828"/>
      <c r="EV48" s="994"/>
      <c r="EW48" s="991"/>
      <c r="EX48" s="991"/>
      <c r="EY48" s="828"/>
      <c r="EZ48" s="994"/>
      <c r="FA48" s="991"/>
      <c r="FB48" s="991"/>
      <c r="FC48" s="828"/>
      <c r="FD48" s="994"/>
      <c r="FE48" s="991"/>
      <c r="FF48" s="991"/>
      <c r="FG48" s="828"/>
      <c r="FH48" s="994"/>
      <c r="FI48" s="991"/>
      <c r="FJ48" s="991"/>
      <c r="FK48" s="828"/>
      <c r="FL48" s="994"/>
      <c r="FM48" s="991"/>
      <c r="FN48" s="991"/>
      <c r="FO48" s="828"/>
      <c r="FP48" s="994"/>
      <c r="FQ48" s="991"/>
      <c r="FR48" s="991"/>
      <c r="FS48" s="828"/>
      <c r="FT48" s="994"/>
      <c r="FU48" s="991"/>
      <c r="FV48" s="991"/>
      <c r="FW48" s="828"/>
      <c r="FX48" s="994"/>
      <c r="FY48" s="991"/>
      <c r="FZ48" s="991"/>
      <c r="GA48" s="828"/>
      <c r="GB48" s="994"/>
      <c r="GC48" s="991"/>
      <c r="GD48" s="991"/>
      <c r="GE48" s="828"/>
      <c r="GF48" s="994"/>
      <c r="GG48" s="991"/>
      <c r="GH48" s="991"/>
      <c r="GI48" s="828"/>
      <c r="GJ48" s="994"/>
      <c r="GK48" s="991"/>
      <c r="GL48" s="991"/>
      <c r="GM48" s="828"/>
      <c r="GN48" s="994"/>
      <c r="GO48" s="991"/>
      <c r="GP48" s="991"/>
      <c r="GQ48" s="828"/>
      <c r="GR48" s="994"/>
      <c r="GS48" s="991"/>
      <c r="GT48" s="991"/>
      <c r="GU48" s="828"/>
      <c r="GV48" s="994"/>
      <c r="GW48" s="991"/>
      <c r="GX48" s="991"/>
      <c r="GY48" s="828"/>
      <c r="GZ48" s="994"/>
      <c r="HA48" s="991"/>
      <c r="HB48" s="991"/>
      <c r="HC48" s="828"/>
      <c r="HD48" s="994"/>
      <c r="HE48" s="991"/>
      <c r="HF48" s="991"/>
      <c r="HG48" s="828"/>
      <c r="HH48" s="994"/>
      <c r="HI48" s="991"/>
      <c r="HJ48" s="991"/>
      <c r="HK48" s="828"/>
      <c r="HL48" s="994"/>
      <c r="HM48" s="991"/>
      <c r="HN48" s="991"/>
      <c r="HO48" s="828"/>
      <c r="HP48" s="994"/>
      <c r="HQ48" s="991"/>
      <c r="HR48" s="991"/>
      <c r="HS48" s="828"/>
      <c r="HT48" s="994"/>
      <c r="HU48" s="991"/>
      <c r="HV48" s="991"/>
      <c r="HW48" s="828"/>
      <c r="HX48" s="994"/>
      <c r="HY48" s="991"/>
      <c r="HZ48" s="991"/>
      <c r="IA48" s="828"/>
      <c r="IB48" s="994"/>
      <c r="IC48" s="991"/>
      <c r="ID48" s="991"/>
      <c r="IE48" s="828"/>
      <c r="IF48" s="994"/>
      <c r="IG48" s="991"/>
      <c r="IH48" s="991"/>
      <c r="II48" s="828"/>
      <c r="IJ48" s="994"/>
      <c r="IK48" s="991"/>
      <c r="IL48" s="991"/>
      <c r="IM48" s="828"/>
      <c r="IN48" s="994"/>
      <c r="IO48" s="991"/>
      <c r="IP48" s="991"/>
      <c r="IQ48" s="828"/>
      <c r="IR48" s="994"/>
      <c r="IS48" s="991"/>
      <c r="IT48" s="991"/>
      <c r="IU48" s="828"/>
      <c r="IV48" s="994"/>
      <c r="IW48" s="991"/>
      <c r="IX48" s="991"/>
      <c r="IY48" s="828"/>
      <c r="IZ48" s="994"/>
      <c r="JA48" s="991"/>
      <c r="JB48" s="991"/>
      <c r="JC48" s="828"/>
      <c r="JD48" s="994"/>
      <c r="JE48" s="991"/>
      <c r="JF48" s="991"/>
      <c r="JG48" s="828"/>
      <c r="JH48" s="994"/>
      <c r="JI48" s="991"/>
      <c r="JJ48" s="991"/>
      <c r="JK48" s="828"/>
      <c r="JL48" s="994"/>
      <c r="JM48" s="991"/>
      <c r="JN48" s="991"/>
      <c r="JO48" s="828"/>
      <c r="JP48" s="994"/>
      <c r="JQ48" s="991"/>
      <c r="JR48" s="991"/>
      <c r="JS48" s="828"/>
      <c r="JT48" s="994"/>
      <c r="JU48" s="991"/>
      <c r="JV48" s="991"/>
      <c r="JW48" s="828"/>
      <c r="JX48" s="994"/>
      <c r="JY48" s="991"/>
      <c r="JZ48" s="991"/>
      <c r="KA48" s="828"/>
      <c r="KB48" s="994"/>
      <c r="KC48" s="991"/>
      <c r="KD48" s="991"/>
      <c r="KE48" s="828"/>
      <c r="KF48" s="994"/>
      <c r="KG48" s="991"/>
      <c r="KH48" s="991"/>
      <c r="KI48" s="828"/>
      <c r="KJ48" s="994"/>
      <c r="KK48" s="991"/>
      <c r="KL48" s="991"/>
      <c r="KM48" s="828"/>
      <c r="KN48" s="994"/>
      <c r="KO48" s="991"/>
      <c r="KP48" s="991"/>
      <c r="KQ48" s="828"/>
      <c r="KR48" s="994"/>
      <c r="KS48" s="991"/>
      <c r="KT48" s="991"/>
      <c r="KU48" s="828"/>
      <c r="KV48" s="994"/>
      <c r="KW48" s="991"/>
      <c r="KX48" s="991"/>
      <c r="KY48" s="828"/>
      <c r="KZ48" s="994"/>
      <c r="LA48" s="991"/>
      <c r="LB48" s="991"/>
      <c r="LC48" s="828"/>
      <c r="LD48" s="994"/>
      <c r="LE48" s="991"/>
      <c r="LF48" s="991"/>
      <c r="LG48" s="828"/>
      <c r="LH48" s="994"/>
      <c r="LI48" s="991"/>
      <c r="LJ48" s="991"/>
      <c r="LK48" s="828"/>
      <c r="LL48" s="994"/>
      <c r="LM48" s="991"/>
      <c r="LN48" s="991"/>
      <c r="LO48" s="828"/>
      <c r="LP48" s="994"/>
      <c r="LQ48" s="991"/>
      <c r="LR48" s="991"/>
      <c r="LS48" s="828"/>
      <c r="LT48" s="994"/>
      <c r="LU48" s="991"/>
      <c r="LV48" s="991"/>
      <c r="LW48" s="828"/>
      <c r="LX48" s="994"/>
      <c r="LY48" s="991"/>
      <c r="LZ48" s="991"/>
      <c r="MA48" s="828"/>
      <c r="MB48" s="994"/>
      <c r="MC48" s="991"/>
      <c r="MD48" s="991"/>
      <c r="ME48" s="828"/>
      <c r="MF48" s="994"/>
      <c r="MG48" s="991"/>
      <c r="MH48" s="991"/>
      <c r="MI48" s="828"/>
      <c r="MJ48" s="994"/>
      <c r="MK48" s="991"/>
      <c r="ML48" s="991"/>
      <c r="MM48" s="828"/>
      <c r="MN48" s="994"/>
      <c r="MO48" s="991"/>
      <c r="MP48" s="991"/>
      <c r="MQ48" s="828"/>
      <c r="MR48" s="994"/>
      <c r="MS48" s="991"/>
      <c r="MT48" s="991"/>
      <c r="MU48" s="828"/>
      <c r="MV48" s="994"/>
      <c r="MW48" s="991"/>
      <c r="MX48" s="991"/>
      <c r="MY48" s="828"/>
      <c r="MZ48" s="994"/>
      <c r="NA48" s="991"/>
      <c r="NB48" s="991"/>
      <c r="NC48" s="828"/>
      <c r="ND48" s="994"/>
      <c r="NE48" s="991"/>
      <c r="NF48" s="991"/>
      <c r="NG48" s="828"/>
      <c r="NH48" s="995"/>
      <c r="NI48" s="994"/>
      <c r="NJ48" s="830"/>
    </row>
    <row r="49" spans="1:376">
      <c r="A49" s="874">
        <v>26</v>
      </c>
      <c r="B49" s="992" t="str">
        <f t="shared" si="1"/>
        <v>W / O incentive</v>
      </c>
      <c r="C49" s="993">
        <f t="shared" si="2"/>
        <v>2009</v>
      </c>
      <c r="D49" s="994">
        <f>+F48</f>
        <v>1872872.285130719</v>
      </c>
      <c r="E49" s="991">
        <f t="shared" ref="E49" si="8">+D$38/51</f>
        <v>37488.686274509804</v>
      </c>
      <c r="F49" s="991">
        <f t="shared" si="3"/>
        <v>1835383.5988562091</v>
      </c>
      <c r="G49" s="828"/>
      <c r="H49" s="994">
        <f>+J48</f>
        <v>1028430.6151960786</v>
      </c>
      <c r="I49" s="991">
        <f t="shared" ref="I49" si="9">+H$38/51</f>
        <v>21114.058823529413</v>
      </c>
      <c r="J49" s="991">
        <f t="shared" si="0"/>
        <v>1007316.5563725492</v>
      </c>
      <c r="K49" s="828"/>
      <c r="L49" s="994"/>
      <c r="M49" s="991"/>
      <c r="N49" s="991"/>
      <c r="O49" s="828"/>
      <c r="P49" s="994">
        <f>+R48</f>
        <v>8000568.7720588231</v>
      </c>
      <c r="Q49" s="991">
        <f t="shared" ref="Q49" si="10">+P$38/51</f>
        <v>161220.5294117647</v>
      </c>
      <c r="R49" s="991">
        <f t="shared" si="4"/>
        <v>7839348.2426470583</v>
      </c>
      <c r="S49" s="828"/>
      <c r="T49" s="994">
        <f>+V48</f>
        <v>7026255.0441176472</v>
      </c>
      <c r="U49" s="991">
        <f t="shared" ref="U49" si="11">+T$38/51</f>
        <v>140877.29411764705</v>
      </c>
      <c r="V49" s="991">
        <f t="shared" si="5"/>
        <v>6885377.75</v>
      </c>
      <c r="W49" s="828"/>
      <c r="X49" s="994">
        <f>+X$38</f>
        <v>2414294</v>
      </c>
      <c r="Y49" s="817">
        <f>+X$38/51/12*(12.5-X$40)</f>
        <v>33531.861111111109</v>
      </c>
      <c r="Z49" s="991">
        <f>+X49-Y49</f>
        <v>2380762.138888889</v>
      </c>
      <c r="AA49" s="828"/>
      <c r="AB49" s="994">
        <f>+AB$38</f>
        <v>21850320</v>
      </c>
      <c r="AC49" s="817">
        <f>+AB$38/51/12*(12.5-AB$40)</f>
        <v>232070.39215686277</v>
      </c>
      <c r="AD49" s="991">
        <f>+AB49-AC49</f>
        <v>21618249.607843138</v>
      </c>
      <c r="AE49" s="828"/>
      <c r="AF49" s="994">
        <f>+AF$38</f>
        <v>45089209</v>
      </c>
      <c r="AG49" s="817">
        <f>+AF$38/51/12*(12.5-AF$40)</f>
        <v>36837.589052287578</v>
      </c>
      <c r="AH49" s="991">
        <f>+AF49-AG49</f>
        <v>45052371.41094771</v>
      </c>
      <c r="AI49" s="828"/>
      <c r="AJ49" s="994"/>
      <c r="AK49" s="991"/>
      <c r="AL49" s="991"/>
      <c r="AM49" s="828"/>
      <c r="AN49" s="994"/>
      <c r="AO49" s="991"/>
      <c r="AP49" s="991"/>
      <c r="AQ49" s="828"/>
      <c r="AR49" s="994"/>
      <c r="AS49" s="991"/>
      <c r="AT49" s="991"/>
      <c r="AU49" s="828"/>
      <c r="AV49" s="994"/>
      <c r="AW49" s="991"/>
      <c r="AX49" s="991"/>
      <c r="AY49" s="828"/>
      <c r="AZ49" s="994"/>
      <c r="BA49" s="991"/>
      <c r="BB49" s="991"/>
      <c r="BC49" s="828"/>
      <c r="BD49" s="994"/>
      <c r="BE49" s="991"/>
      <c r="BF49" s="991"/>
      <c r="BG49" s="828"/>
      <c r="BH49" s="994"/>
      <c r="BI49" s="991"/>
      <c r="BJ49" s="991"/>
      <c r="BK49" s="828"/>
      <c r="BL49" s="994"/>
      <c r="BM49" s="991"/>
      <c r="BN49" s="991"/>
      <c r="BO49" s="828"/>
      <c r="BP49" s="994">
        <f>+BP$38</f>
        <v>2434850</v>
      </c>
      <c r="BQ49" s="817">
        <f>+BP$38/51/12*(12.5-BP$40)</f>
        <v>1989.2565359477123</v>
      </c>
      <c r="BR49" s="991">
        <f>+BP49-BQ49</f>
        <v>2432860.7434640522</v>
      </c>
      <c r="BS49" s="828"/>
      <c r="BT49" s="994"/>
      <c r="BU49" s="991"/>
      <c r="BV49" s="991"/>
      <c r="BW49" s="828"/>
      <c r="BX49" s="994"/>
      <c r="BY49" s="991"/>
      <c r="BZ49" s="991"/>
      <c r="CA49" s="828"/>
      <c r="CB49" s="994"/>
      <c r="CC49" s="991"/>
      <c r="CD49" s="991"/>
      <c r="CE49" s="828"/>
      <c r="CF49" s="994">
        <f>+CF$38</f>
        <v>13672006</v>
      </c>
      <c r="CG49" s="817">
        <f>+CF$38/51/12*(12.5-CF$40)</f>
        <v>11169.93954248366</v>
      </c>
      <c r="CH49" s="991">
        <f>+CF49-CG49</f>
        <v>13660836.060457516</v>
      </c>
      <c r="CI49" s="828"/>
      <c r="CJ49" s="994"/>
      <c r="CK49" s="991"/>
      <c r="CL49" s="991"/>
      <c r="CM49" s="828"/>
      <c r="CN49" s="994">
        <f>+CN$38</f>
        <v>10714404</v>
      </c>
      <c r="CO49" s="817">
        <f>+CN$38/51/12*(12.5-CN$40)</f>
        <v>96289.57843137256</v>
      </c>
      <c r="CP49" s="991">
        <f>+CN49-CO49</f>
        <v>10618114.421568627</v>
      </c>
      <c r="CQ49" s="828"/>
      <c r="CR49" s="994">
        <f>+CR$38</f>
        <v>3072185</v>
      </c>
      <c r="CS49" s="817">
        <f>+CR$38/51/12*(12.5-CR$40)</f>
        <v>2509.955065359477</v>
      </c>
      <c r="CT49" s="991">
        <f>+CR49-CS49</f>
        <v>3069675.0449346406</v>
      </c>
      <c r="CU49" s="828"/>
      <c r="CV49" s="994">
        <f>+CV$38</f>
        <v>11501538</v>
      </c>
      <c r="CW49" s="817">
        <f>+CV$38/51/12*(12.5-CV$40)</f>
        <v>178536.94607843136</v>
      </c>
      <c r="CX49" s="991">
        <f>+CV49-CW49</f>
        <v>11323001.053921569</v>
      </c>
      <c r="CY49" s="828"/>
      <c r="CZ49" s="994"/>
      <c r="DA49" s="991"/>
      <c r="DB49" s="991"/>
      <c r="DC49" s="828"/>
      <c r="DD49" s="994"/>
      <c r="DE49" s="991"/>
      <c r="DF49" s="991"/>
      <c r="DG49" s="828"/>
      <c r="DH49" s="994"/>
      <c r="DI49" s="991"/>
      <c r="DJ49" s="991"/>
      <c r="DK49" s="828"/>
      <c r="DL49" s="994"/>
      <c r="DM49" s="991"/>
      <c r="DN49" s="991"/>
      <c r="DO49" s="828"/>
      <c r="DP49" s="994"/>
      <c r="DQ49" s="991"/>
      <c r="DR49" s="991"/>
      <c r="DS49" s="828"/>
      <c r="DT49" s="994"/>
      <c r="DU49" s="991"/>
      <c r="DV49" s="991"/>
      <c r="DW49" s="828"/>
      <c r="DX49" s="994"/>
      <c r="DY49" s="991"/>
      <c r="DZ49" s="991"/>
      <c r="EA49" s="828"/>
      <c r="EB49" s="994"/>
      <c r="EC49" s="991"/>
      <c r="ED49" s="991"/>
      <c r="EE49" s="828"/>
      <c r="EF49" s="994"/>
      <c r="EG49" s="991"/>
      <c r="EH49" s="991"/>
      <c r="EI49" s="828"/>
      <c r="EJ49" s="994"/>
      <c r="EK49" s="991"/>
      <c r="EL49" s="991"/>
      <c r="EM49" s="828"/>
      <c r="EN49" s="994"/>
      <c r="EO49" s="991"/>
      <c r="EP49" s="991"/>
      <c r="EQ49" s="828"/>
      <c r="ER49" s="994"/>
      <c r="ES49" s="991"/>
      <c r="ET49" s="991"/>
      <c r="EU49" s="828"/>
      <c r="EV49" s="994"/>
      <c r="EW49" s="991"/>
      <c r="EX49" s="991"/>
      <c r="EY49" s="828"/>
      <c r="EZ49" s="994"/>
      <c r="FA49" s="991"/>
      <c r="FB49" s="991"/>
      <c r="FC49" s="828"/>
      <c r="FD49" s="994">
        <f>+FD$38</f>
        <v>6407258</v>
      </c>
      <c r="FE49" s="817">
        <f>+FD$38/51/12*(12.5-FD$40)</f>
        <v>99459.070261437912</v>
      </c>
      <c r="FF49" s="991">
        <f>+FD49-FE49</f>
        <v>6307798.9297385626</v>
      </c>
      <c r="FG49" s="828"/>
      <c r="FH49" s="994"/>
      <c r="FI49" s="991"/>
      <c r="FJ49" s="991"/>
      <c r="FK49" s="828"/>
      <c r="FL49" s="994">
        <f>+FL$38</f>
        <v>3196608</v>
      </c>
      <c r="FM49" s="817">
        <f>+FL$38/51/12*(12.5-FL$40)</f>
        <v>23504.470588235294</v>
      </c>
      <c r="FN49" s="991">
        <f>+FL49-FM49</f>
        <v>3173103.5294117648</v>
      </c>
      <c r="FO49" s="828"/>
      <c r="FP49" s="994">
        <f>+FP$38</f>
        <v>21911291</v>
      </c>
      <c r="FQ49" s="817">
        <f>+FP$38/51/12*(12.5-FP$40)</f>
        <v>53704.144607843133</v>
      </c>
      <c r="FR49" s="991">
        <f>+FP49-FQ49</f>
        <v>21857586.855392158</v>
      </c>
      <c r="FS49" s="828"/>
      <c r="FT49" s="994">
        <f>+FT$38</f>
        <v>4839985</v>
      </c>
      <c r="FU49" s="817">
        <f>+FT$38/51/12*(12.5-FT$40)</f>
        <v>11862.708333333334</v>
      </c>
      <c r="FV49" s="991">
        <f>+FT49-FU49</f>
        <v>4828122.291666667</v>
      </c>
      <c r="FW49" s="828"/>
      <c r="FX49" s="994">
        <f>+FX$38</f>
        <v>21403678</v>
      </c>
      <c r="FY49" s="817">
        <f>+FX$38/51/12*(12.5-FX$40)</f>
        <v>227326.64542483661</v>
      </c>
      <c r="FZ49" s="991">
        <f>+FX49-FY49</f>
        <v>21176351.354575165</v>
      </c>
      <c r="GA49" s="828"/>
      <c r="GB49" s="994">
        <f>GB38</f>
        <v>3554673</v>
      </c>
      <c r="GC49" s="817">
        <f>+GB$38/51/12*(12.5-GB$40)</f>
        <v>43562.169117647063</v>
      </c>
      <c r="GD49" s="991">
        <f>+GB49-GC49</f>
        <v>3511110.8308823528</v>
      </c>
      <c r="GE49" s="828"/>
      <c r="GF49" s="994">
        <f>GF38</f>
        <v>3355513</v>
      </c>
      <c r="GG49" s="817">
        <f>+GF$38/51/12*(12.5-GF$40)</f>
        <v>19190.025326797386</v>
      </c>
      <c r="GH49" s="991">
        <f>+GF49-GG49</f>
        <v>3336322.9746732027</v>
      </c>
      <c r="GI49" s="828"/>
      <c r="GJ49" s="994">
        <f>GJ38</f>
        <v>779172</v>
      </c>
      <c r="GK49" s="817">
        <f>+GJ$38/51/12*(12.5-GJ$40)</f>
        <v>8275.5196078431381</v>
      </c>
      <c r="GL49" s="991">
        <f>+GJ49-GK49</f>
        <v>770896.48039215687</v>
      </c>
      <c r="GM49" s="828"/>
      <c r="GN49" s="994"/>
      <c r="GO49" s="991"/>
      <c r="GP49" s="991"/>
      <c r="GQ49" s="828"/>
      <c r="GR49" s="994"/>
      <c r="GS49" s="991"/>
      <c r="GT49" s="991"/>
      <c r="GU49" s="828"/>
      <c r="GV49" s="994"/>
      <c r="GW49" s="991"/>
      <c r="GX49" s="991"/>
      <c r="GY49" s="828"/>
      <c r="GZ49" s="994"/>
      <c r="HA49" s="991"/>
      <c r="HB49" s="991"/>
      <c r="HC49" s="828"/>
      <c r="HD49" s="994"/>
      <c r="HE49" s="991"/>
      <c r="HF49" s="991"/>
      <c r="HG49" s="828"/>
      <c r="HH49" s="994"/>
      <c r="HI49" s="991"/>
      <c r="HJ49" s="991"/>
      <c r="HK49" s="828"/>
      <c r="HL49" s="994"/>
      <c r="HM49" s="991"/>
      <c r="HN49" s="991"/>
      <c r="HO49" s="828"/>
      <c r="HP49" s="994"/>
      <c r="HQ49" s="991"/>
      <c r="HR49" s="991"/>
      <c r="HS49" s="828"/>
      <c r="HT49" s="994"/>
      <c r="HU49" s="991"/>
      <c r="HV49" s="991"/>
      <c r="HW49" s="828"/>
      <c r="HX49" s="994"/>
      <c r="HY49" s="991"/>
      <c r="HZ49" s="991"/>
      <c r="IA49" s="828"/>
      <c r="IB49" s="994"/>
      <c r="IC49" s="991"/>
      <c r="ID49" s="991"/>
      <c r="IE49" s="828"/>
      <c r="IF49" s="994"/>
      <c r="IG49" s="991"/>
      <c r="IH49" s="991"/>
      <c r="II49" s="828"/>
      <c r="IJ49" s="994"/>
      <c r="IK49" s="991"/>
      <c r="IL49" s="991"/>
      <c r="IM49" s="828"/>
      <c r="IN49" s="994"/>
      <c r="IO49" s="991"/>
      <c r="IP49" s="991"/>
      <c r="IQ49" s="828"/>
      <c r="IR49" s="994"/>
      <c r="IS49" s="991"/>
      <c r="IT49" s="991"/>
      <c r="IU49" s="828"/>
      <c r="IV49" s="994"/>
      <c r="IW49" s="991"/>
      <c r="IX49" s="991"/>
      <c r="IY49" s="828"/>
      <c r="IZ49" s="994"/>
      <c r="JA49" s="991"/>
      <c r="JB49" s="991"/>
      <c r="JC49" s="828"/>
      <c r="JD49" s="994"/>
      <c r="JE49" s="991"/>
      <c r="JF49" s="991"/>
      <c r="JG49" s="828"/>
      <c r="JH49" s="994"/>
      <c r="JI49" s="991"/>
      <c r="JJ49" s="991"/>
      <c r="JK49" s="828"/>
      <c r="JL49" s="994"/>
      <c r="JM49" s="991"/>
      <c r="JN49" s="991"/>
      <c r="JO49" s="828"/>
      <c r="JP49" s="994"/>
      <c r="JQ49" s="991"/>
      <c r="JR49" s="991"/>
      <c r="JS49" s="828"/>
      <c r="JT49" s="994"/>
      <c r="JU49" s="991"/>
      <c r="JV49" s="991"/>
      <c r="JW49" s="828"/>
      <c r="JX49" s="994"/>
      <c r="JY49" s="991"/>
      <c r="JZ49" s="991"/>
      <c r="KA49" s="828"/>
      <c r="KB49" s="994"/>
      <c r="KC49" s="991"/>
      <c r="KD49" s="991"/>
      <c r="KE49" s="828"/>
      <c r="KF49" s="994"/>
      <c r="KG49" s="991"/>
      <c r="KH49" s="991"/>
      <c r="KI49" s="828"/>
      <c r="KJ49" s="994"/>
      <c r="KK49" s="991"/>
      <c r="KL49" s="991"/>
      <c r="KM49" s="828"/>
      <c r="KN49" s="994"/>
      <c r="KO49" s="991"/>
      <c r="KP49" s="991"/>
      <c r="KQ49" s="828"/>
      <c r="KR49" s="994"/>
      <c r="KS49" s="991"/>
      <c r="KT49" s="991"/>
      <c r="KU49" s="828"/>
      <c r="KV49" s="994"/>
      <c r="KW49" s="991"/>
      <c r="KX49" s="991"/>
      <c r="KY49" s="828"/>
      <c r="KZ49" s="994"/>
      <c r="LA49" s="991"/>
      <c r="LB49" s="991"/>
      <c r="LC49" s="828"/>
      <c r="LD49" s="994"/>
      <c r="LE49" s="991"/>
      <c r="LF49" s="991"/>
      <c r="LG49" s="828"/>
      <c r="LH49" s="994"/>
      <c r="LI49" s="991"/>
      <c r="LJ49" s="991"/>
      <c r="LK49" s="828"/>
      <c r="LL49" s="994"/>
      <c r="LM49" s="991"/>
      <c r="LN49" s="991"/>
      <c r="LO49" s="828"/>
      <c r="LP49" s="994"/>
      <c r="LQ49" s="991"/>
      <c r="LR49" s="991"/>
      <c r="LS49" s="828"/>
      <c r="LT49" s="994"/>
      <c r="LU49" s="991"/>
      <c r="LV49" s="991"/>
      <c r="LW49" s="828"/>
      <c r="LX49" s="994"/>
      <c r="LY49" s="991"/>
      <c r="LZ49" s="991"/>
      <c r="MA49" s="828"/>
      <c r="MB49" s="994"/>
      <c r="MC49" s="991"/>
      <c r="MD49" s="991"/>
      <c r="ME49" s="828"/>
      <c r="MF49" s="994"/>
      <c r="MG49" s="991"/>
      <c r="MH49" s="991"/>
      <c r="MI49" s="828"/>
      <c r="MJ49" s="994"/>
      <c r="MK49" s="991"/>
      <c r="ML49" s="991"/>
      <c r="MM49" s="828"/>
      <c r="MN49" s="994"/>
      <c r="MO49" s="991"/>
      <c r="MP49" s="991"/>
      <c r="MQ49" s="828"/>
      <c r="MR49" s="994"/>
      <c r="MS49" s="991"/>
      <c r="MT49" s="991"/>
      <c r="MU49" s="828"/>
      <c r="MV49" s="994"/>
      <c r="MW49" s="991"/>
      <c r="MX49" s="991"/>
      <c r="MY49" s="828"/>
      <c r="MZ49" s="994"/>
      <c r="NA49" s="991"/>
      <c r="NB49" s="991"/>
      <c r="NC49" s="828"/>
      <c r="ND49" s="994"/>
      <c r="NE49" s="991"/>
      <c r="NF49" s="991"/>
      <c r="NG49" s="828"/>
      <c r="NH49" s="995"/>
      <c r="NI49" s="994"/>
      <c r="NJ49" s="830"/>
    </row>
    <row r="50" spans="1:376">
      <c r="A50" s="874">
        <v>27</v>
      </c>
      <c r="B50" s="992" t="str">
        <f t="shared" si="1"/>
        <v>W incentive</v>
      </c>
      <c r="C50" s="993">
        <f t="shared" si="2"/>
        <v>2009</v>
      </c>
      <c r="D50" s="994">
        <f>+D49</f>
        <v>1872872.285130719</v>
      </c>
      <c r="E50" s="991">
        <f t="shared" ref="E50" si="12">E49</f>
        <v>37488.686274509804</v>
      </c>
      <c r="F50" s="991">
        <f t="shared" si="3"/>
        <v>1835383.5988562091</v>
      </c>
      <c r="G50" s="828"/>
      <c r="H50" s="994">
        <f>+H49</f>
        <v>1028430.6151960786</v>
      </c>
      <c r="I50" s="991">
        <f t="shared" ref="I50" si="13">I49</f>
        <v>21114.058823529413</v>
      </c>
      <c r="J50" s="991">
        <f t="shared" si="0"/>
        <v>1007316.5563725492</v>
      </c>
      <c r="K50" s="828"/>
      <c r="L50" s="994"/>
      <c r="M50" s="991"/>
      <c r="N50" s="991"/>
      <c r="O50" s="828"/>
      <c r="P50" s="994">
        <f>+P49</f>
        <v>8000568.7720588231</v>
      </c>
      <c r="Q50" s="991">
        <f t="shared" ref="Q50" si="14">Q49</f>
        <v>161220.5294117647</v>
      </c>
      <c r="R50" s="991">
        <f t="shared" si="4"/>
        <v>7839348.2426470583</v>
      </c>
      <c r="S50" s="828"/>
      <c r="T50" s="994">
        <f>+T49</f>
        <v>7026255.0441176472</v>
      </c>
      <c r="U50" s="991">
        <f t="shared" ref="U50" si="15">U49</f>
        <v>140877.29411764705</v>
      </c>
      <c r="V50" s="991">
        <f t="shared" si="5"/>
        <v>6885377.75</v>
      </c>
      <c r="W50" s="828"/>
      <c r="X50" s="994">
        <f>+X49</f>
        <v>2414294</v>
      </c>
      <c r="Y50" s="817">
        <f>+Y49</f>
        <v>33531.861111111109</v>
      </c>
      <c r="Z50" s="991">
        <f>+X50-Y50</f>
        <v>2380762.138888889</v>
      </c>
      <c r="AA50" s="828"/>
      <c r="AB50" s="994">
        <f>+AB49</f>
        <v>21850320</v>
      </c>
      <c r="AC50" s="817">
        <f>+AC49</f>
        <v>232070.39215686277</v>
      </c>
      <c r="AD50" s="991">
        <f>+AB50-AC50</f>
        <v>21618249.607843138</v>
      </c>
      <c r="AE50" s="828"/>
      <c r="AF50" s="994">
        <f>+AF49</f>
        <v>45089209</v>
      </c>
      <c r="AG50" s="817">
        <f>+AG49</f>
        <v>36837.589052287578</v>
      </c>
      <c r="AH50" s="991">
        <f>+AF50-AG50</f>
        <v>45052371.41094771</v>
      </c>
      <c r="AI50" s="828"/>
      <c r="AJ50" s="994"/>
      <c r="AK50" s="991"/>
      <c r="AL50" s="991"/>
      <c r="AM50" s="828"/>
      <c r="AN50" s="994"/>
      <c r="AO50" s="991"/>
      <c r="AP50" s="991"/>
      <c r="AQ50" s="828"/>
      <c r="AR50" s="994"/>
      <c r="AS50" s="991"/>
      <c r="AT50" s="991"/>
      <c r="AU50" s="828"/>
      <c r="AV50" s="994"/>
      <c r="AW50" s="991"/>
      <c r="AX50" s="991"/>
      <c r="AY50" s="828"/>
      <c r="AZ50" s="994"/>
      <c r="BA50" s="991"/>
      <c r="BB50" s="991"/>
      <c r="BC50" s="828"/>
      <c r="BD50" s="994"/>
      <c r="BE50" s="991"/>
      <c r="BF50" s="991"/>
      <c r="BG50" s="828"/>
      <c r="BH50" s="994"/>
      <c r="BI50" s="991"/>
      <c r="BJ50" s="991"/>
      <c r="BK50" s="828"/>
      <c r="BL50" s="994"/>
      <c r="BM50" s="991"/>
      <c r="BN50" s="991"/>
      <c r="BO50" s="828"/>
      <c r="BP50" s="994">
        <f>+BP49</f>
        <v>2434850</v>
      </c>
      <c r="BQ50" s="817">
        <f>+BQ49</f>
        <v>1989.2565359477123</v>
      </c>
      <c r="BR50" s="991">
        <f>+BP50-BQ50</f>
        <v>2432860.7434640522</v>
      </c>
      <c r="BS50" s="828"/>
      <c r="BT50" s="994"/>
      <c r="BU50" s="991"/>
      <c r="BV50" s="991"/>
      <c r="BW50" s="828"/>
      <c r="BX50" s="994"/>
      <c r="BY50" s="991"/>
      <c r="BZ50" s="991"/>
      <c r="CA50" s="828"/>
      <c r="CB50" s="994"/>
      <c r="CC50" s="991"/>
      <c r="CD50" s="991"/>
      <c r="CE50" s="828"/>
      <c r="CF50" s="994">
        <f>+CF49</f>
        <v>13672006</v>
      </c>
      <c r="CG50" s="817">
        <f>+CG49</f>
        <v>11169.93954248366</v>
      </c>
      <c r="CH50" s="991">
        <f>+CF50-CG50</f>
        <v>13660836.060457516</v>
      </c>
      <c r="CI50" s="828"/>
      <c r="CJ50" s="994"/>
      <c r="CK50" s="991"/>
      <c r="CL50" s="991"/>
      <c r="CM50" s="828"/>
      <c r="CN50" s="994">
        <f>+CN49</f>
        <v>10714404</v>
      </c>
      <c r="CO50" s="817">
        <f>+CO49</f>
        <v>96289.57843137256</v>
      </c>
      <c r="CP50" s="991">
        <f>+CN50-CO50</f>
        <v>10618114.421568627</v>
      </c>
      <c r="CQ50" s="828"/>
      <c r="CR50" s="994">
        <f>+CR49</f>
        <v>3072185</v>
      </c>
      <c r="CS50" s="817">
        <f>+CS49</f>
        <v>2509.955065359477</v>
      </c>
      <c r="CT50" s="991">
        <f>+CR50-CS50</f>
        <v>3069675.0449346406</v>
      </c>
      <c r="CU50" s="828"/>
      <c r="CV50" s="994">
        <f>+CV49</f>
        <v>11501538</v>
      </c>
      <c r="CW50" s="817">
        <f>+CW49</f>
        <v>178536.94607843136</v>
      </c>
      <c r="CX50" s="991">
        <f>+CV50-CW50</f>
        <v>11323001.053921569</v>
      </c>
      <c r="CY50" s="828"/>
      <c r="CZ50" s="994"/>
      <c r="DA50" s="991"/>
      <c r="DB50" s="991"/>
      <c r="DC50" s="828"/>
      <c r="DD50" s="994"/>
      <c r="DE50" s="991"/>
      <c r="DF50" s="991"/>
      <c r="DG50" s="828"/>
      <c r="DH50" s="994"/>
      <c r="DI50" s="991"/>
      <c r="DJ50" s="991"/>
      <c r="DK50" s="828"/>
      <c r="DL50" s="994"/>
      <c r="DM50" s="991"/>
      <c r="DN50" s="991"/>
      <c r="DO50" s="828"/>
      <c r="DP50" s="994"/>
      <c r="DQ50" s="991"/>
      <c r="DR50" s="991"/>
      <c r="DS50" s="828"/>
      <c r="DT50" s="994"/>
      <c r="DU50" s="991"/>
      <c r="DV50" s="991"/>
      <c r="DW50" s="828"/>
      <c r="DX50" s="994"/>
      <c r="DY50" s="991"/>
      <c r="DZ50" s="991"/>
      <c r="EA50" s="828"/>
      <c r="EB50" s="994"/>
      <c r="EC50" s="991"/>
      <c r="ED50" s="991"/>
      <c r="EE50" s="828"/>
      <c r="EF50" s="994"/>
      <c r="EG50" s="991"/>
      <c r="EH50" s="991"/>
      <c r="EI50" s="828"/>
      <c r="EJ50" s="994"/>
      <c r="EK50" s="991"/>
      <c r="EL50" s="991"/>
      <c r="EM50" s="828"/>
      <c r="EN50" s="994"/>
      <c r="EO50" s="991"/>
      <c r="EP50" s="991"/>
      <c r="EQ50" s="828"/>
      <c r="ER50" s="994"/>
      <c r="ES50" s="991"/>
      <c r="ET50" s="991"/>
      <c r="EU50" s="828"/>
      <c r="EV50" s="994"/>
      <c r="EW50" s="991"/>
      <c r="EX50" s="991"/>
      <c r="EY50" s="828"/>
      <c r="EZ50" s="994"/>
      <c r="FA50" s="991"/>
      <c r="FB50" s="991"/>
      <c r="FC50" s="828"/>
      <c r="FD50" s="994">
        <f>+FD49</f>
        <v>6407258</v>
      </c>
      <c r="FE50" s="817">
        <f>+FE49</f>
        <v>99459.070261437912</v>
      </c>
      <c r="FF50" s="991">
        <f>+FD50-FE50</f>
        <v>6307798.9297385626</v>
      </c>
      <c r="FG50" s="828"/>
      <c r="FH50" s="994"/>
      <c r="FI50" s="991"/>
      <c r="FJ50" s="991"/>
      <c r="FK50" s="828"/>
      <c r="FL50" s="994">
        <f>+FL49</f>
        <v>3196608</v>
      </c>
      <c r="FM50" s="817">
        <f>+FM49</f>
        <v>23504.470588235294</v>
      </c>
      <c r="FN50" s="991">
        <f>+FL50-FM50</f>
        <v>3173103.5294117648</v>
      </c>
      <c r="FO50" s="828"/>
      <c r="FP50" s="994">
        <f>+FP49</f>
        <v>21911291</v>
      </c>
      <c r="FQ50" s="817">
        <f>+FQ49</f>
        <v>53704.144607843133</v>
      </c>
      <c r="FR50" s="991">
        <f>+FP50-FQ50</f>
        <v>21857586.855392158</v>
      </c>
      <c r="FS50" s="828"/>
      <c r="FT50" s="994">
        <f>+FT49</f>
        <v>4839985</v>
      </c>
      <c r="FU50" s="817">
        <f>+FU49</f>
        <v>11862.708333333334</v>
      </c>
      <c r="FV50" s="991">
        <f>+FT50-FU50</f>
        <v>4828122.291666667</v>
      </c>
      <c r="FW50" s="828"/>
      <c r="FX50" s="994">
        <f>+FX49</f>
        <v>21403678</v>
      </c>
      <c r="FY50" s="817">
        <f>+FY49</f>
        <v>227326.64542483661</v>
      </c>
      <c r="FZ50" s="991">
        <f>+FX50-FY50</f>
        <v>21176351.354575165</v>
      </c>
      <c r="GA50" s="828"/>
      <c r="GB50" s="994">
        <f>+GB49</f>
        <v>3554673</v>
      </c>
      <c r="GC50" s="817">
        <f>+GC49</f>
        <v>43562.169117647063</v>
      </c>
      <c r="GD50" s="991">
        <f>+GB50-GC50</f>
        <v>3511110.8308823528</v>
      </c>
      <c r="GE50" s="828"/>
      <c r="GF50" s="994">
        <f>+GF49</f>
        <v>3355513</v>
      </c>
      <c r="GG50" s="817">
        <f>+GG49</f>
        <v>19190.025326797386</v>
      </c>
      <c r="GH50" s="991">
        <f>+GF50-GG50</f>
        <v>3336322.9746732027</v>
      </c>
      <c r="GI50" s="828"/>
      <c r="GJ50" s="994">
        <f>+GJ49</f>
        <v>779172</v>
      </c>
      <c r="GK50" s="817">
        <f>+GK49</f>
        <v>8275.5196078431381</v>
      </c>
      <c r="GL50" s="991">
        <f>+GJ50-GK50</f>
        <v>770896.48039215687</v>
      </c>
      <c r="GM50" s="828"/>
      <c r="GN50" s="994"/>
      <c r="GO50" s="991"/>
      <c r="GP50" s="991"/>
      <c r="GQ50" s="828"/>
      <c r="GR50" s="994"/>
      <c r="GS50" s="991"/>
      <c r="GT50" s="991"/>
      <c r="GU50" s="828"/>
      <c r="GV50" s="994"/>
      <c r="GW50" s="991"/>
      <c r="GX50" s="991"/>
      <c r="GY50" s="828"/>
      <c r="GZ50" s="994"/>
      <c r="HA50" s="991"/>
      <c r="HB50" s="991"/>
      <c r="HC50" s="828"/>
      <c r="HD50" s="994"/>
      <c r="HE50" s="991"/>
      <c r="HF50" s="991"/>
      <c r="HG50" s="828"/>
      <c r="HH50" s="994"/>
      <c r="HI50" s="991"/>
      <c r="HJ50" s="991"/>
      <c r="HK50" s="828"/>
      <c r="HL50" s="994"/>
      <c r="HM50" s="991"/>
      <c r="HN50" s="991"/>
      <c r="HO50" s="828"/>
      <c r="HP50" s="994"/>
      <c r="HQ50" s="991"/>
      <c r="HR50" s="991"/>
      <c r="HS50" s="828"/>
      <c r="HT50" s="994"/>
      <c r="HU50" s="991"/>
      <c r="HV50" s="991"/>
      <c r="HW50" s="828"/>
      <c r="HX50" s="994"/>
      <c r="HY50" s="991"/>
      <c r="HZ50" s="991"/>
      <c r="IA50" s="828"/>
      <c r="IB50" s="994"/>
      <c r="IC50" s="991"/>
      <c r="ID50" s="991"/>
      <c r="IE50" s="828"/>
      <c r="IF50" s="994"/>
      <c r="IG50" s="991"/>
      <c r="IH50" s="991"/>
      <c r="II50" s="828"/>
      <c r="IJ50" s="994"/>
      <c r="IK50" s="991"/>
      <c r="IL50" s="991"/>
      <c r="IM50" s="828"/>
      <c r="IN50" s="994"/>
      <c r="IO50" s="991"/>
      <c r="IP50" s="991"/>
      <c r="IQ50" s="828"/>
      <c r="IR50" s="994"/>
      <c r="IS50" s="991"/>
      <c r="IT50" s="991"/>
      <c r="IU50" s="828"/>
      <c r="IV50" s="994"/>
      <c r="IW50" s="991"/>
      <c r="IX50" s="991"/>
      <c r="IY50" s="828"/>
      <c r="IZ50" s="994"/>
      <c r="JA50" s="991"/>
      <c r="JB50" s="991"/>
      <c r="JC50" s="828"/>
      <c r="JD50" s="994"/>
      <c r="JE50" s="991"/>
      <c r="JF50" s="991"/>
      <c r="JG50" s="828"/>
      <c r="JH50" s="994"/>
      <c r="JI50" s="991"/>
      <c r="JJ50" s="991"/>
      <c r="JK50" s="828"/>
      <c r="JL50" s="994"/>
      <c r="JM50" s="991"/>
      <c r="JN50" s="991"/>
      <c r="JO50" s="828"/>
      <c r="JP50" s="994"/>
      <c r="JQ50" s="991"/>
      <c r="JR50" s="991"/>
      <c r="JS50" s="828"/>
      <c r="JT50" s="994"/>
      <c r="JU50" s="991"/>
      <c r="JV50" s="991"/>
      <c r="JW50" s="828"/>
      <c r="JX50" s="994"/>
      <c r="JY50" s="991"/>
      <c r="JZ50" s="991"/>
      <c r="KA50" s="828"/>
      <c r="KB50" s="994"/>
      <c r="KC50" s="991"/>
      <c r="KD50" s="991"/>
      <c r="KE50" s="828"/>
      <c r="KF50" s="994"/>
      <c r="KG50" s="991"/>
      <c r="KH50" s="991"/>
      <c r="KI50" s="828"/>
      <c r="KJ50" s="994"/>
      <c r="KK50" s="991"/>
      <c r="KL50" s="991"/>
      <c r="KM50" s="828"/>
      <c r="KN50" s="994"/>
      <c r="KO50" s="991"/>
      <c r="KP50" s="991"/>
      <c r="KQ50" s="828"/>
      <c r="KR50" s="994"/>
      <c r="KS50" s="991"/>
      <c r="KT50" s="991"/>
      <c r="KU50" s="828"/>
      <c r="KV50" s="994"/>
      <c r="KW50" s="991"/>
      <c r="KX50" s="991"/>
      <c r="KY50" s="828"/>
      <c r="KZ50" s="994"/>
      <c r="LA50" s="991"/>
      <c r="LB50" s="991"/>
      <c r="LC50" s="828"/>
      <c r="LD50" s="994"/>
      <c r="LE50" s="991"/>
      <c r="LF50" s="991"/>
      <c r="LG50" s="828"/>
      <c r="LH50" s="994"/>
      <c r="LI50" s="991"/>
      <c r="LJ50" s="991"/>
      <c r="LK50" s="828"/>
      <c r="LL50" s="994"/>
      <c r="LM50" s="991"/>
      <c r="LN50" s="991"/>
      <c r="LO50" s="828"/>
      <c r="LP50" s="994"/>
      <c r="LQ50" s="991"/>
      <c r="LR50" s="991"/>
      <c r="LS50" s="828"/>
      <c r="LT50" s="994"/>
      <c r="LU50" s="991"/>
      <c r="LV50" s="991"/>
      <c r="LW50" s="828"/>
      <c r="LX50" s="994"/>
      <c r="LY50" s="991"/>
      <c r="LZ50" s="991"/>
      <c r="MA50" s="828"/>
      <c r="MB50" s="994"/>
      <c r="MC50" s="991"/>
      <c r="MD50" s="991"/>
      <c r="ME50" s="828"/>
      <c r="MF50" s="994"/>
      <c r="MG50" s="991"/>
      <c r="MH50" s="991"/>
      <c r="MI50" s="828"/>
      <c r="MJ50" s="994"/>
      <c r="MK50" s="991"/>
      <c r="ML50" s="991"/>
      <c r="MM50" s="828"/>
      <c r="MN50" s="994"/>
      <c r="MO50" s="991"/>
      <c r="MP50" s="991"/>
      <c r="MQ50" s="828"/>
      <c r="MR50" s="994"/>
      <c r="MS50" s="991"/>
      <c r="MT50" s="991"/>
      <c r="MU50" s="828"/>
      <c r="MV50" s="994"/>
      <c r="MW50" s="991"/>
      <c r="MX50" s="991"/>
      <c r="MY50" s="828"/>
      <c r="MZ50" s="994"/>
      <c r="NA50" s="991"/>
      <c r="NB50" s="991"/>
      <c r="NC50" s="828"/>
      <c r="ND50" s="994"/>
      <c r="NE50" s="991"/>
      <c r="NF50" s="991"/>
      <c r="NG50" s="828"/>
      <c r="NH50" s="995"/>
      <c r="NI50" s="994"/>
      <c r="NJ50" s="830"/>
    </row>
    <row r="51" spans="1:376">
      <c r="A51" s="874">
        <v>28</v>
      </c>
      <c r="B51" s="992" t="str">
        <f t="shared" si="1"/>
        <v>W / O incentive</v>
      </c>
      <c r="C51" s="993">
        <f t="shared" si="2"/>
        <v>2010</v>
      </c>
      <c r="D51" s="992">
        <f>+F50</f>
        <v>1835383.5988562091</v>
      </c>
      <c r="E51" s="991">
        <f t="shared" ref="E51" si="16">+D$38/51</f>
        <v>37488.686274509804</v>
      </c>
      <c r="F51" s="996">
        <f t="shared" si="3"/>
        <v>1797894.9125816992</v>
      </c>
      <c r="G51" s="997"/>
      <c r="H51" s="992">
        <f>+J50</f>
        <v>1007316.5563725492</v>
      </c>
      <c r="I51" s="991">
        <f t="shared" ref="I51" si="17">+H$38/51</f>
        <v>21114.058823529413</v>
      </c>
      <c r="J51" s="996">
        <f t="shared" si="0"/>
        <v>986202.49754901975</v>
      </c>
      <c r="K51" s="997"/>
      <c r="L51" s="992"/>
      <c r="M51" s="991"/>
      <c r="N51" s="996"/>
      <c r="O51" s="997"/>
      <c r="P51" s="992">
        <f>+R50</f>
        <v>7839348.2426470583</v>
      </c>
      <c r="Q51" s="991">
        <f t="shared" ref="Q51" si="18">+P$38/51</f>
        <v>161220.5294117647</v>
      </c>
      <c r="R51" s="996">
        <f t="shared" si="4"/>
        <v>7678127.7132352935</v>
      </c>
      <c r="S51" s="997"/>
      <c r="T51" s="992">
        <f>+V50</f>
        <v>6885377.75</v>
      </c>
      <c r="U51" s="991">
        <f t="shared" ref="U51" si="19">+T$38/51</f>
        <v>140877.29411764705</v>
      </c>
      <c r="V51" s="996">
        <f t="shared" si="5"/>
        <v>6744500.4558823528</v>
      </c>
      <c r="W51" s="997"/>
      <c r="X51" s="992">
        <f>+Z50</f>
        <v>2380762.138888889</v>
      </c>
      <c r="Y51" s="991">
        <f>+X$38/51</f>
        <v>47339.098039215685</v>
      </c>
      <c r="Z51" s="996">
        <f>+X51-Y51</f>
        <v>2333423.0408496731</v>
      </c>
      <c r="AA51" s="997"/>
      <c r="AB51" s="992">
        <f>+AD50</f>
        <v>21618249.607843138</v>
      </c>
      <c r="AC51" s="991">
        <f>+AB$38/51</f>
        <v>428437.64705882355</v>
      </c>
      <c r="AD51" s="996">
        <f>+AB51-AC51</f>
        <v>21189811.960784316</v>
      </c>
      <c r="AE51" s="997"/>
      <c r="AF51" s="992">
        <f>+AH50</f>
        <v>45052371.41094771</v>
      </c>
      <c r="AG51" s="991">
        <f>+AF$38/51</f>
        <v>884102.13725490193</v>
      </c>
      <c r="AH51" s="996">
        <f>+AF51-AG51</f>
        <v>44168269.273692809</v>
      </c>
      <c r="AI51" s="997"/>
      <c r="AJ51" s="992">
        <f>+AJ$38</f>
        <v>13581000</v>
      </c>
      <c r="AK51" s="817">
        <f>+AJ$38/51/12*(12.5-AJ$40)</f>
        <v>122051.47058823529</v>
      </c>
      <c r="AL51" s="996">
        <f>+AJ51-AK51</f>
        <v>13458948.529411765</v>
      </c>
      <c r="AM51" s="997"/>
      <c r="AN51" s="992">
        <f>+AN$38</f>
        <v>11224281.67</v>
      </c>
      <c r="AO51" s="817">
        <f>+AN$38/51/12*(12.5-AN$40)</f>
        <v>155892.80097222223</v>
      </c>
      <c r="AP51" s="996">
        <f>+AN51-AO51</f>
        <v>11068388.869027779</v>
      </c>
      <c r="AQ51" s="997"/>
      <c r="AR51" s="992">
        <f>+AR$38</f>
        <v>14655559</v>
      </c>
      <c r="AS51" s="817">
        <f>+AR$38/51/12*(12.5-AR$40)</f>
        <v>155655.44689542486</v>
      </c>
      <c r="AT51" s="996">
        <f>+AR51-AS51</f>
        <v>14499903.553104576</v>
      </c>
      <c r="AU51" s="997"/>
      <c r="AV51" s="992">
        <f>+AV$38</f>
        <v>16900800</v>
      </c>
      <c r="AW51" s="817">
        <f>+AV$38/51/12*(12.5-AV$40)</f>
        <v>96654.901960784307</v>
      </c>
      <c r="AX51" s="996">
        <f>+AV51-AW51</f>
        <v>16804145.098039217</v>
      </c>
      <c r="AY51" s="997"/>
      <c r="AZ51" s="992">
        <f>+AZ$38</f>
        <v>11362770</v>
      </c>
      <c r="BA51" s="817">
        <f>+AZ$38/51/12*(12.5-AZ$40)</f>
        <v>9283.3088235294108</v>
      </c>
      <c r="BB51" s="996">
        <f>+AZ51-BA51</f>
        <v>11353486.69117647</v>
      </c>
      <c r="BC51" s="997"/>
      <c r="BD51" s="992"/>
      <c r="BE51" s="996"/>
      <c r="BF51" s="996"/>
      <c r="BG51" s="997"/>
      <c r="BH51" s="992"/>
      <c r="BI51" s="996"/>
      <c r="BJ51" s="996"/>
      <c r="BK51" s="997"/>
      <c r="BL51" s="992"/>
      <c r="BM51" s="996"/>
      <c r="BN51" s="996"/>
      <c r="BO51" s="997"/>
      <c r="BP51" s="992">
        <f>+BR50</f>
        <v>2432860.7434640522</v>
      </c>
      <c r="BQ51" s="991">
        <f>+BP$38/51</f>
        <v>47742.156862745098</v>
      </c>
      <c r="BR51" s="996">
        <f>+BP51-BQ51</f>
        <v>2385118.5866013071</v>
      </c>
      <c r="BS51" s="997"/>
      <c r="BT51" s="992"/>
      <c r="BU51" s="996"/>
      <c r="BV51" s="996"/>
      <c r="BW51" s="997"/>
      <c r="BX51" s="992"/>
      <c r="BY51" s="996"/>
      <c r="BZ51" s="996"/>
      <c r="CA51" s="997"/>
      <c r="CB51" s="992"/>
      <c r="CC51" s="996"/>
      <c r="CD51" s="996"/>
      <c r="CE51" s="997"/>
      <c r="CF51" s="992">
        <f>+CH50</f>
        <v>13660836.060457516</v>
      </c>
      <c r="CG51" s="991">
        <f>+CF$38/51</f>
        <v>268078.54901960783</v>
      </c>
      <c r="CH51" s="996">
        <f>+CF51-CG51</f>
        <v>13392757.511437908</v>
      </c>
      <c r="CI51" s="997"/>
      <c r="CJ51" s="992">
        <f>+CJ$38</f>
        <v>14628051</v>
      </c>
      <c r="CK51" s="817">
        <f>+CJ$38/51/12*(12.5-CJ$40)</f>
        <v>179265.33088235295</v>
      </c>
      <c r="CL51" s="996">
        <f>+CJ51-CK51</f>
        <v>14448785.669117646</v>
      </c>
      <c r="CM51" s="997"/>
      <c r="CN51" s="992">
        <f>+CP50</f>
        <v>10618114.421568627</v>
      </c>
      <c r="CO51" s="991">
        <f>+CN$38/51</f>
        <v>210086.35294117648</v>
      </c>
      <c r="CP51" s="996">
        <f>+CN51-CO51</f>
        <v>10408028.068627451</v>
      </c>
      <c r="CQ51" s="997"/>
      <c r="CR51" s="992">
        <f>+CT50</f>
        <v>3069675.0449346406</v>
      </c>
      <c r="CS51" s="991">
        <f>+CR$38/51</f>
        <v>60238.921568627447</v>
      </c>
      <c r="CT51" s="996">
        <f>+CR51-CS51</f>
        <v>3009436.1233660132</v>
      </c>
      <c r="CU51" s="997"/>
      <c r="CV51" s="992">
        <f>+CX50</f>
        <v>11323001.053921569</v>
      </c>
      <c r="CW51" s="991">
        <f>+CV$38/51</f>
        <v>225520.35294117648</v>
      </c>
      <c r="CX51" s="996">
        <f>+CV51-CW51</f>
        <v>11097480.700980393</v>
      </c>
      <c r="CY51" s="997"/>
      <c r="CZ51" s="992">
        <f>+CZ$38</f>
        <v>16559471</v>
      </c>
      <c r="DA51" s="817">
        <f>+CZ$38/51/12*(12.5-CZ$40)</f>
        <v>175876.73447712418</v>
      </c>
      <c r="DB51" s="996">
        <f>+CZ51-DA51</f>
        <v>16383594.265522875</v>
      </c>
      <c r="DC51" s="997"/>
      <c r="DD51" s="992">
        <f>+DD$38</f>
        <v>18887180</v>
      </c>
      <c r="DE51" s="817">
        <f>+DD$38/51/12*(12.5-DD$40)</f>
        <v>231460.53921568627</v>
      </c>
      <c r="DF51" s="996">
        <f>+DD51-DE51</f>
        <v>18655719.460784312</v>
      </c>
      <c r="DG51" s="997"/>
      <c r="DH51" s="992"/>
      <c r="DI51" s="996"/>
      <c r="DJ51" s="996"/>
      <c r="DK51" s="997"/>
      <c r="DL51" s="992"/>
      <c r="DM51" s="996"/>
      <c r="DN51" s="996"/>
      <c r="DO51" s="997"/>
      <c r="DP51" s="992">
        <f>+DP$38</f>
        <v>12056414</v>
      </c>
      <c r="DQ51" s="817">
        <f>+DP$38/51/12*(12.5-DP$40)</f>
        <v>9850.0114379084971</v>
      </c>
      <c r="DR51" s="996">
        <f>+DP51-DQ51</f>
        <v>12046563.988562092</v>
      </c>
      <c r="DS51" s="997"/>
      <c r="DT51" s="992">
        <f>+DT$38</f>
        <v>91286311</v>
      </c>
      <c r="DU51" s="817">
        <f>+DT$38/51/12*(12.5-DT$40)</f>
        <v>969544.15277777787</v>
      </c>
      <c r="DV51" s="996">
        <f>+DT51-DU51</f>
        <v>90316766.847222224</v>
      </c>
      <c r="DW51" s="997"/>
      <c r="DX51" s="992"/>
      <c r="DY51" s="996"/>
      <c r="DZ51" s="996"/>
      <c r="EA51" s="997"/>
      <c r="EB51" s="992"/>
      <c r="EC51" s="996"/>
      <c r="ED51" s="996"/>
      <c r="EE51" s="997"/>
      <c r="EF51" s="992">
        <f>+EF$38</f>
        <v>84690178</v>
      </c>
      <c r="EG51" s="817">
        <f>+EF$38/51/12*(12.5-EF$40)</f>
        <v>345956.60947712424</v>
      </c>
      <c r="EH51" s="996">
        <f>+EF51-EG51</f>
        <v>84344221.390522882</v>
      </c>
      <c r="EI51" s="997"/>
      <c r="EJ51" s="992"/>
      <c r="EK51" s="996"/>
      <c r="EL51" s="996"/>
      <c r="EM51" s="997"/>
      <c r="EN51" s="992">
        <f>+EN$38</f>
        <v>205578</v>
      </c>
      <c r="EO51" s="817">
        <f>+EN$38/51/12*(12.5-EN$40)</f>
        <v>2183.4264705882356</v>
      </c>
      <c r="EP51" s="996">
        <f>+EN51-EO51</f>
        <v>203394.57352941178</v>
      </c>
      <c r="EQ51" s="997"/>
      <c r="ER51" s="992"/>
      <c r="ES51" s="996"/>
      <c r="ET51" s="996"/>
      <c r="EU51" s="997"/>
      <c r="EV51" s="992">
        <f>+EV$38</f>
        <v>1472605</v>
      </c>
      <c r="EW51" s="817">
        <f>+EV$38/51/12*(12.5-EV$40)</f>
        <v>8421.7606209150326</v>
      </c>
      <c r="EX51" s="996">
        <f>+EV51-EW51</f>
        <v>1464183.2393790849</v>
      </c>
      <c r="EY51" s="997"/>
      <c r="EZ51" s="992"/>
      <c r="FA51" s="996"/>
      <c r="FB51" s="996"/>
      <c r="FC51" s="997"/>
      <c r="FD51" s="992">
        <f>+FF50</f>
        <v>6307798.9297385626</v>
      </c>
      <c r="FE51" s="991">
        <f>+FD$38/51</f>
        <v>125632.50980392157</v>
      </c>
      <c r="FF51" s="996">
        <f>+FD51-FE51</f>
        <v>6182166.4199346406</v>
      </c>
      <c r="FG51" s="997"/>
      <c r="FH51" s="992"/>
      <c r="FI51" s="996"/>
      <c r="FJ51" s="996"/>
      <c r="FK51" s="997"/>
      <c r="FL51" s="992">
        <f>+FN50</f>
        <v>3173103.5294117648</v>
      </c>
      <c r="FM51" s="991">
        <f>+FL$38/51</f>
        <v>62678.588235294119</v>
      </c>
      <c r="FN51" s="996">
        <f>+FL51-FM51</f>
        <v>3110424.9411764708</v>
      </c>
      <c r="FO51" s="997"/>
      <c r="FP51" s="992">
        <f>+FR50</f>
        <v>21857586.855392158</v>
      </c>
      <c r="FQ51" s="991">
        <f>+FP$38/51</f>
        <v>429633.15686274512</v>
      </c>
      <c r="FR51" s="996">
        <f>+FP51-FQ51</f>
        <v>21427953.698529411</v>
      </c>
      <c r="FS51" s="997"/>
      <c r="FT51" s="992">
        <f>+FV50</f>
        <v>4828122.291666667</v>
      </c>
      <c r="FU51" s="991">
        <f>+FT$38/51</f>
        <v>94901.666666666672</v>
      </c>
      <c r="FV51" s="996">
        <f>+FT51-FU51</f>
        <v>4733220.625</v>
      </c>
      <c r="FW51" s="997"/>
      <c r="FX51" s="992">
        <f>+FZ50</f>
        <v>21176351.354575165</v>
      </c>
      <c r="FY51" s="991">
        <f>+FX$38/51</f>
        <v>419679.96078431373</v>
      </c>
      <c r="FZ51" s="996">
        <f>+FX51-FY51</f>
        <v>20756671.393790852</v>
      </c>
      <c r="GA51" s="997"/>
      <c r="GB51" s="992">
        <f>+GD50</f>
        <v>3511110.8308823528</v>
      </c>
      <c r="GC51" s="991">
        <f>+GB$38/51</f>
        <v>69699.470588235301</v>
      </c>
      <c r="GD51" s="996">
        <f>+GB51-GC51</f>
        <v>3441411.3602941176</v>
      </c>
      <c r="GE51" s="997"/>
      <c r="GF51" s="992">
        <f>+GH50</f>
        <v>3336322.9746732027</v>
      </c>
      <c r="GG51" s="991">
        <f>+GF$38/51</f>
        <v>65794.372549019608</v>
      </c>
      <c r="GH51" s="996">
        <f>+GF51-GG51</f>
        <v>3270528.602124183</v>
      </c>
      <c r="GI51" s="997"/>
      <c r="GJ51" s="992">
        <f>+GL50</f>
        <v>770896.48039215687</v>
      </c>
      <c r="GK51" s="991">
        <f>+GJ$38/51</f>
        <v>15277.882352941177</v>
      </c>
      <c r="GL51" s="996">
        <f>+GJ51-GK51</f>
        <v>755618.59803921566</v>
      </c>
      <c r="GM51" s="997"/>
      <c r="GN51" s="992">
        <f>+GN$38</f>
        <v>6211387</v>
      </c>
      <c r="GO51" s="817">
        <f>+GN$38/51/12*(12.5-GN$40)</f>
        <v>55821.288398692814</v>
      </c>
      <c r="GP51" s="996">
        <f>+GN51-GO51</f>
        <v>6155565.7116013076</v>
      </c>
      <c r="GQ51" s="997"/>
      <c r="GR51" s="992"/>
      <c r="GS51" s="996"/>
      <c r="GT51" s="996"/>
      <c r="GU51" s="997"/>
      <c r="GV51" s="992"/>
      <c r="GW51" s="996"/>
      <c r="GX51" s="996"/>
      <c r="GY51" s="997"/>
      <c r="GZ51" s="992"/>
      <c r="HA51" s="996"/>
      <c r="HB51" s="996"/>
      <c r="HC51" s="997"/>
      <c r="HD51" s="992"/>
      <c r="HE51" s="996"/>
      <c r="HF51" s="996"/>
      <c r="HG51" s="997"/>
      <c r="HH51" s="992"/>
      <c r="HI51" s="996"/>
      <c r="HJ51" s="996"/>
      <c r="HK51" s="997"/>
      <c r="HL51" s="992"/>
      <c r="HM51" s="996"/>
      <c r="HN51" s="996"/>
      <c r="HO51" s="997"/>
      <c r="HP51" s="992"/>
      <c r="HQ51" s="996"/>
      <c r="HR51" s="996"/>
      <c r="HS51" s="997"/>
      <c r="HT51" s="992"/>
      <c r="HU51" s="996"/>
      <c r="HV51" s="996"/>
      <c r="HW51" s="997"/>
      <c r="HX51" s="992"/>
      <c r="HY51" s="996"/>
      <c r="HZ51" s="996"/>
      <c r="IA51" s="997"/>
      <c r="IB51" s="992"/>
      <c r="IC51" s="996"/>
      <c r="ID51" s="996"/>
      <c r="IE51" s="997"/>
      <c r="IF51" s="992"/>
      <c r="IG51" s="996"/>
      <c r="IH51" s="996"/>
      <c r="II51" s="997"/>
      <c r="IJ51" s="992"/>
      <c r="IK51" s="996"/>
      <c r="IL51" s="996"/>
      <c r="IM51" s="997"/>
      <c r="IN51" s="992"/>
      <c r="IO51" s="996"/>
      <c r="IP51" s="996"/>
      <c r="IQ51" s="997"/>
      <c r="IR51" s="992"/>
      <c r="IS51" s="996"/>
      <c r="IT51" s="996"/>
      <c r="IU51" s="997"/>
      <c r="IV51" s="992"/>
      <c r="IW51" s="996"/>
      <c r="IX51" s="996"/>
      <c r="IY51" s="997"/>
      <c r="IZ51" s="992"/>
      <c r="JA51" s="996"/>
      <c r="JB51" s="996"/>
      <c r="JC51" s="997"/>
      <c r="JD51" s="992"/>
      <c r="JE51" s="996"/>
      <c r="JF51" s="996"/>
      <c r="JG51" s="997"/>
      <c r="JH51" s="992"/>
      <c r="JI51" s="996"/>
      <c r="JJ51" s="996"/>
      <c r="JK51" s="997"/>
      <c r="JL51" s="992"/>
      <c r="JM51" s="996"/>
      <c r="JN51" s="996"/>
      <c r="JO51" s="997"/>
      <c r="JP51" s="992"/>
      <c r="JQ51" s="996"/>
      <c r="JR51" s="996"/>
      <c r="JS51" s="997"/>
      <c r="JT51" s="992"/>
      <c r="JU51" s="996"/>
      <c r="JV51" s="996"/>
      <c r="JW51" s="997"/>
      <c r="JX51" s="992"/>
      <c r="JY51" s="996"/>
      <c r="JZ51" s="996"/>
      <c r="KA51" s="997"/>
      <c r="KB51" s="992"/>
      <c r="KC51" s="996"/>
      <c r="KD51" s="996"/>
      <c r="KE51" s="997"/>
      <c r="KF51" s="992"/>
      <c r="KG51" s="996"/>
      <c r="KH51" s="996"/>
      <c r="KI51" s="997"/>
      <c r="KJ51" s="992"/>
      <c r="KK51" s="996"/>
      <c r="KL51" s="996"/>
      <c r="KM51" s="997"/>
      <c r="KN51" s="992"/>
      <c r="KO51" s="996"/>
      <c r="KP51" s="996"/>
      <c r="KQ51" s="997"/>
      <c r="KR51" s="992"/>
      <c r="KS51" s="996"/>
      <c r="KT51" s="996"/>
      <c r="KU51" s="997"/>
      <c r="KV51" s="992"/>
      <c r="KW51" s="996"/>
      <c r="KX51" s="996"/>
      <c r="KY51" s="997"/>
      <c r="KZ51" s="992"/>
      <c r="LA51" s="996"/>
      <c r="LB51" s="996"/>
      <c r="LC51" s="997"/>
      <c r="LD51" s="992"/>
      <c r="LE51" s="996"/>
      <c r="LF51" s="996"/>
      <c r="LG51" s="997"/>
      <c r="LH51" s="992"/>
      <c r="LI51" s="996"/>
      <c r="LJ51" s="996"/>
      <c r="LK51" s="997"/>
      <c r="LL51" s="992"/>
      <c r="LM51" s="996"/>
      <c r="LN51" s="996"/>
      <c r="LO51" s="997"/>
      <c r="LP51" s="992"/>
      <c r="LQ51" s="996"/>
      <c r="LR51" s="996"/>
      <c r="LS51" s="997"/>
      <c r="LT51" s="992"/>
      <c r="LU51" s="996"/>
      <c r="LV51" s="996"/>
      <c r="LW51" s="997"/>
      <c r="LX51" s="992"/>
      <c r="LY51" s="996"/>
      <c r="LZ51" s="996"/>
      <c r="MA51" s="997"/>
      <c r="MB51" s="992"/>
      <c r="MC51" s="996"/>
      <c r="MD51" s="996"/>
      <c r="ME51" s="997"/>
      <c r="MF51" s="992"/>
      <c r="MG51" s="996"/>
      <c r="MH51" s="996"/>
      <c r="MI51" s="997"/>
      <c r="MJ51" s="992"/>
      <c r="MK51" s="996"/>
      <c r="ML51" s="996"/>
      <c r="MM51" s="997"/>
      <c r="MN51" s="992"/>
      <c r="MO51" s="996"/>
      <c r="MP51" s="996"/>
      <c r="MQ51" s="997"/>
      <c r="MR51" s="992"/>
      <c r="MS51" s="996"/>
      <c r="MT51" s="996"/>
      <c r="MU51" s="997"/>
      <c r="MV51" s="992"/>
      <c r="MW51" s="996"/>
      <c r="MX51" s="996"/>
      <c r="MY51" s="997"/>
      <c r="MZ51" s="992"/>
      <c r="NA51" s="996"/>
      <c r="NB51" s="996"/>
      <c r="NC51" s="997"/>
      <c r="ND51" s="992"/>
      <c r="NE51" s="996"/>
      <c r="NF51" s="996"/>
      <c r="NG51" s="997"/>
      <c r="NH51" s="998"/>
      <c r="NI51" s="992"/>
      <c r="NJ51" s="997"/>
      <c r="NL51" s="977"/>
    </row>
    <row r="52" spans="1:376">
      <c r="A52" s="874">
        <v>29</v>
      </c>
      <c r="B52" s="992" t="str">
        <f>+B50</f>
        <v>W incentive</v>
      </c>
      <c r="C52" s="993">
        <f>+C50+1</f>
        <v>2010</v>
      </c>
      <c r="D52" s="992">
        <f>+D51</f>
        <v>1835383.5988562091</v>
      </c>
      <c r="E52" s="991">
        <f t="shared" ref="E52" si="20">E51</f>
        <v>37488.686274509804</v>
      </c>
      <c r="F52" s="996">
        <f t="shared" si="3"/>
        <v>1797894.9125816992</v>
      </c>
      <c r="G52" s="997"/>
      <c r="H52" s="992">
        <f>+H51</f>
        <v>1007316.5563725492</v>
      </c>
      <c r="I52" s="991">
        <f t="shared" ref="I52" si="21">I51</f>
        <v>21114.058823529413</v>
      </c>
      <c r="J52" s="996">
        <f t="shared" si="0"/>
        <v>986202.49754901975</v>
      </c>
      <c r="K52" s="997"/>
      <c r="L52" s="992"/>
      <c r="M52" s="991"/>
      <c r="N52" s="996"/>
      <c r="O52" s="997"/>
      <c r="P52" s="992">
        <f>+P51</f>
        <v>7839348.2426470583</v>
      </c>
      <c r="Q52" s="991">
        <f t="shared" ref="Q52" si="22">Q51</f>
        <v>161220.5294117647</v>
      </c>
      <c r="R52" s="996">
        <f t="shared" si="4"/>
        <v>7678127.7132352935</v>
      </c>
      <c r="S52" s="997"/>
      <c r="T52" s="992">
        <f>+T51</f>
        <v>6885377.75</v>
      </c>
      <c r="U52" s="991">
        <f t="shared" ref="U52" si="23">U51</f>
        <v>140877.29411764705</v>
      </c>
      <c r="V52" s="996">
        <f t="shared" si="5"/>
        <v>6744500.4558823528</v>
      </c>
      <c r="W52" s="997"/>
      <c r="X52" s="992">
        <f>+X51</f>
        <v>2380762.138888889</v>
      </c>
      <c r="Y52" s="991">
        <f>Y51</f>
        <v>47339.098039215685</v>
      </c>
      <c r="Z52" s="996">
        <f>+X52-Y52</f>
        <v>2333423.0408496731</v>
      </c>
      <c r="AA52" s="997"/>
      <c r="AB52" s="992">
        <f>+AB51</f>
        <v>21618249.607843138</v>
      </c>
      <c r="AC52" s="991">
        <f>AC51</f>
        <v>428437.64705882355</v>
      </c>
      <c r="AD52" s="996">
        <f>+AB52-AC52</f>
        <v>21189811.960784316</v>
      </c>
      <c r="AE52" s="997"/>
      <c r="AF52" s="992">
        <f>+AF51</f>
        <v>45052371.41094771</v>
      </c>
      <c r="AG52" s="991">
        <f>AG51</f>
        <v>884102.13725490193</v>
      </c>
      <c r="AH52" s="996">
        <f>+AF52-AG52</f>
        <v>44168269.273692809</v>
      </c>
      <c r="AI52" s="997"/>
      <c r="AJ52" s="992">
        <f>+AJ51</f>
        <v>13581000</v>
      </c>
      <c r="AK52" s="817">
        <f>+AK51</f>
        <v>122051.47058823529</v>
      </c>
      <c r="AL52" s="996">
        <f>+AJ52-AK52</f>
        <v>13458948.529411765</v>
      </c>
      <c r="AM52" s="997"/>
      <c r="AN52" s="992">
        <f>+AN51</f>
        <v>11224281.67</v>
      </c>
      <c r="AO52" s="817">
        <f>+AO51</f>
        <v>155892.80097222223</v>
      </c>
      <c r="AP52" s="996">
        <f>+AN52-AO52</f>
        <v>11068388.869027779</v>
      </c>
      <c r="AQ52" s="997"/>
      <c r="AR52" s="992">
        <f>+AR51</f>
        <v>14655559</v>
      </c>
      <c r="AS52" s="817">
        <f>+AS51</f>
        <v>155655.44689542486</v>
      </c>
      <c r="AT52" s="996">
        <f>+AR52-AS52</f>
        <v>14499903.553104576</v>
      </c>
      <c r="AU52" s="997"/>
      <c r="AV52" s="992">
        <f>+AV51</f>
        <v>16900800</v>
      </c>
      <c r="AW52" s="817">
        <f>+AW51</f>
        <v>96654.901960784307</v>
      </c>
      <c r="AX52" s="996">
        <f>+AV52-AW52</f>
        <v>16804145.098039217</v>
      </c>
      <c r="AY52" s="997"/>
      <c r="AZ52" s="992">
        <f>+AZ51</f>
        <v>11362770</v>
      </c>
      <c r="BA52" s="817">
        <f>+BA51</f>
        <v>9283.3088235294108</v>
      </c>
      <c r="BB52" s="996">
        <f>+AZ52-BA52</f>
        <v>11353486.69117647</v>
      </c>
      <c r="BC52" s="997"/>
      <c r="BD52" s="992"/>
      <c r="BE52" s="996"/>
      <c r="BF52" s="996"/>
      <c r="BG52" s="997"/>
      <c r="BH52" s="992"/>
      <c r="BI52" s="996"/>
      <c r="BJ52" s="996"/>
      <c r="BK52" s="997"/>
      <c r="BL52" s="992"/>
      <c r="BM52" s="996"/>
      <c r="BN52" s="996"/>
      <c r="BO52" s="997"/>
      <c r="BP52" s="992">
        <f>+BP51</f>
        <v>2432860.7434640522</v>
      </c>
      <c r="BQ52" s="991">
        <f>BQ51</f>
        <v>47742.156862745098</v>
      </c>
      <c r="BR52" s="996">
        <f>+BP52-BQ52</f>
        <v>2385118.5866013071</v>
      </c>
      <c r="BS52" s="997"/>
      <c r="BT52" s="992"/>
      <c r="BU52" s="996"/>
      <c r="BV52" s="996"/>
      <c r="BW52" s="997"/>
      <c r="BX52" s="992"/>
      <c r="BY52" s="996"/>
      <c r="BZ52" s="996"/>
      <c r="CA52" s="997"/>
      <c r="CB52" s="992"/>
      <c r="CC52" s="996"/>
      <c r="CD52" s="996"/>
      <c r="CE52" s="997"/>
      <c r="CF52" s="992">
        <f>+CF51</f>
        <v>13660836.060457516</v>
      </c>
      <c r="CG52" s="991">
        <f>CG51</f>
        <v>268078.54901960783</v>
      </c>
      <c r="CH52" s="996">
        <f>+CF52-CG52</f>
        <v>13392757.511437908</v>
      </c>
      <c r="CI52" s="997"/>
      <c r="CJ52" s="992">
        <f>+CJ51</f>
        <v>14628051</v>
      </c>
      <c r="CK52" s="817">
        <f>+CK51</f>
        <v>179265.33088235295</v>
      </c>
      <c r="CL52" s="996">
        <f>+CJ52-CK52</f>
        <v>14448785.669117646</v>
      </c>
      <c r="CM52" s="997"/>
      <c r="CN52" s="992">
        <f>+CN51</f>
        <v>10618114.421568627</v>
      </c>
      <c r="CO52" s="991">
        <f>CO51</f>
        <v>210086.35294117648</v>
      </c>
      <c r="CP52" s="996">
        <f>+CN52-CO52</f>
        <v>10408028.068627451</v>
      </c>
      <c r="CQ52" s="997"/>
      <c r="CR52" s="992">
        <f>+CR51</f>
        <v>3069675.0449346406</v>
      </c>
      <c r="CS52" s="991">
        <f>CS51</f>
        <v>60238.921568627447</v>
      </c>
      <c r="CT52" s="996">
        <f>+CR52-CS52</f>
        <v>3009436.1233660132</v>
      </c>
      <c r="CU52" s="997"/>
      <c r="CV52" s="992">
        <f>+CV51</f>
        <v>11323001.053921569</v>
      </c>
      <c r="CW52" s="991">
        <f>CW51</f>
        <v>225520.35294117648</v>
      </c>
      <c r="CX52" s="996">
        <f>+CV52-CW52</f>
        <v>11097480.700980393</v>
      </c>
      <c r="CY52" s="997"/>
      <c r="CZ52" s="992">
        <f>+CZ51</f>
        <v>16559471</v>
      </c>
      <c r="DA52" s="817">
        <f>+DA51</f>
        <v>175876.73447712418</v>
      </c>
      <c r="DB52" s="996">
        <f>+CZ52-DA52</f>
        <v>16383594.265522875</v>
      </c>
      <c r="DC52" s="997"/>
      <c r="DD52" s="992">
        <f>+DD51</f>
        <v>18887180</v>
      </c>
      <c r="DE52" s="817">
        <f>+DE51</f>
        <v>231460.53921568627</v>
      </c>
      <c r="DF52" s="996">
        <f>+DD52-DE52</f>
        <v>18655719.460784312</v>
      </c>
      <c r="DG52" s="997"/>
      <c r="DH52" s="992"/>
      <c r="DI52" s="996"/>
      <c r="DJ52" s="996"/>
      <c r="DK52" s="997"/>
      <c r="DL52" s="992"/>
      <c r="DM52" s="996"/>
      <c r="DN52" s="996"/>
      <c r="DO52" s="997"/>
      <c r="DP52" s="992">
        <f>+DP51</f>
        <v>12056414</v>
      </c>
      <c r="DQ52" s="817">
        <f>+DQ51</f>
        <v>9850.0114379084971</v>
      </c>
      <c r="DR52" s="996">
        <f>+DP52-DQ52</f>
        <v>12046563.988562092</v>
      </c>
      <c r="DS52" s="997"/>
      <c r="DT52" s="992">
        <f>+DT51</f>
        <v>91286311</v>
      </c>
      <c r="DU52" s="817">
        <f>+DU51</f>
        <v>969544.15277777787</v>
      </c>
      <c r="DV52" s="996">
        <f>+DT52-DU52</f>
        <v>90316766.847222224</v>
      </c>
      <c r="DW52" s="997"/>
      <c r="DX52" s="992"/>
      <c r="DY52" s="996"/>
      <c r="DZ52" s="996"/>
      <c r="EA52" s="997"/>
      <c r="EB52" s="992"/>
      <c r="EC52" s="996"/>
      <c r="ED52" s="996"/>
      <c r="EE52" s="997"/>
      <c r="EF52" s="992">
        <f>+EF51</f>
        <v>84690178</v>
      </c>
      <c r="EG52" s="817">
        <f>+EG51</f>
        <v>345956.60947712424</v>
      </c>
      <c r="EH52" s="996">
        <f>+EF52-EG52</f>
        <v>84344221.390522882</v>
      </c>
      <c r="EI52" s="997"/>
      <c r="EJ52" s="992"/>
      <c r="EK52" s="996"/>
      <c r="EL52" s="996"/>
      <c r="EM52" s="997"/>
      <c r="EN52" s="992">
        <f>+EN51</f>
        <v>205578</v>
      </c>
      <c r="EO52" s="817">
        <f>+EO51</f>
        <v>2183.4264705882356</v>
      </c>
      <c r="EP52" s="996">
        <f>+EN52-EO52</f>
        <v>203394.57352941178</v>
      </c>
      <c r="EQ52" s="997"/>
      <c r="ER52" s="992"/>
      <c r="ES52" s="996"/>
      <c r="ET52" s="996"/>
      <c r="EU52" s="997"/>
      <c r="EV52" s="992">
        <f>+EV51</f>
        <v>1472605</v>
      </c>
      <c r="EW52" s="817">
        <f>+EW51</f>
        <v>8421.7606209150326</v>
      </c>
      <c r="EX52" s="996">
        <f>+EV52-EW52</f>
        <v>1464183.2393790849</v>
      </c>
      <c r="EY52" s="997"/>
      <c r="EZ52" s="992"/>
      <c r="FA52" s="996"/>
      <c r="FB52" s="996"/>
      <c r="FC52" s="997"/>
      <c r="FD52" s="992">
        <f>+FD51</f>
        <v>6307798.9297385626</v>
      </c>
      <c r="FE52" s="991">
        <f>FE51</f>
        <v>125632.50980392157</v>
      </c>
      <c r="FF52" s="996">
        <f>+FD52-FE52</f>
        <v>6182166.4199346406</v>
      </c>
      <c r="FG52" s="997"/>
      <c r="FH52" s="992"/>
      <c r="FI52" s="996"/>
      <c r="FJ52" s="996"/>
      <c r="FK52" s="997"/>
      <c r="FL52" s="992">
        <f>+FL51</f>
        <v>3173103.5294117648</v>
      </c>
      <c r="FM52" s="991">
        <f>FM51</f>
        <v>62678.588235294119</v>
      </c>
      <c r="FN52" s="996">
        <f>+FL52-FM52</f>
        <v>3110424.9411764708</v>
      </c>
      <c r="FO52" s="997"/>
      <c r="FP52" s="992">
        <f>+FP51</f>
        <v>21857586.855392158</v>
      </c>
      <c r="FQ52" s="991">
        <f>FQ51</f>
        <v>429633.15686274512</v>
      </c>
      <c r="FR52" s="996">
        <f>+FP52-FQ52</f>
        <v>21427953.698529411</v>
      </c>
      <c r="FS52" s="997"/>
      <c r="FT52" s="992">
        <f>+FT51</f>
        <v>4828122.291666667</v>
      </c>
      <c r="FU52" s="991">
        <f>FU51</f>
        <v>94901.666666666672</v>
      </c>
      <c r="FV52" s="996">
        <f>+FT52-FU52</f>
        <v>4733220.625</v>
      </c>
      <c r="FW52" s="997"/>
      <c r="FX52" s="992">
        <f>+FX51</f>
        <v>21176351.354575165</v>
      </c>
      <c r="FY52" s="991">
        <f>FY51</f>
        <v>419679.96078431373</v>
      </c>
      <c r="FZ52" s="996">
        <f>+FX52-FY52</f>
        <v>20756671.393790852</v>
      </c>
      <c r="GA52" s="997"/>
      <c r="GB52" s="992">
        <f>+GB51</f>
        <v>3511110.8308823528</v>
      </c>
      <c r="GC52" s="991">
        <f>GC51</f>
        <v>69699.470588235301</v>
      </c>
      <c r="GD52" s="996">
        <f>+GB52-GC52</f>
        <v>3441411.3602941176</v>
      </c>
      <c r="GE52" s="997"/>
      <c r="GF52" s="992">
        <f>+GF51</f>
        <v>3336322.9746732027</v>
      </c>
      <c r="GG52" s="991">
        <f>GG51</f>
        <v>65794.372549019608</v>
      </c>
      <c r="GH52" s="996">
        <f>+GF52-GG52</f>
        <v>3270528.602124183</v>
      </c>
      <c r="GI52" s="997"/>
      <c r="GJ52" s="992">
        <f>+GJ51</f>
        <v>770896.48039215687</v>
      </c>
      <c r="GK52" s="991">
        <f>GK51</f>
        <v>15277.882352941177</v>
      </c>
      <c r="GL52" s="996">
        <f>+GJ52-GK52</f>
        <v>755618.59803921566</v>
      </c>
      <c r="GM52" s="997"/>
      <c r="GN52" s="992">
        <f>+GN51</f>
        <v>6211387</v>
      </c>
      <c r="GO52" s="817">
        <f>+GO51</f>
        <v>55821.288398692814</v>
      </c>
      <c r="GP52" s="996">
        <f>+GN52-GO52</f>
        <v>6155565.7116013076</v>
      </c>
      <c r="GQ52" s="997"/>
      <c r="GR52" s="992"/>
      <c r="GS52" s="996"/>
      <c r="GT52" s="996"/>
      <c r="GU52" s="997"/>
      <c r="GV52" s="992"/>
      <c r="GW52" s="996"/>
      <c r="GX52" s="996"/>
      <c r="GY52" s="997"/>
      <c r="GZ52" s="992"/>
      <c r="HA52" s="996"/>
      <c r="HB52" s="996"/>
      <c r="HC52" s="997"/>
      <c r="HD52" s="992"/>
      <c r="HE52" s="996"/>
      <c r="HF52" s="996"/>
      <c r="HG52" s="997"/>
      <c r="HH52" s="992"/>
      <c r="HI52" s="996"/>
      <c r="HJ52" s="996"/>
      <c r="HK52" s="997"/>
      <c r="HL52" s="992"/>
      <c r="HM52" s="996"/>
      <c r="HN52" s="996"/>
      <c r="HO52" s="997"/>
      <c r="HP52" s="992"/>
      <c r="HQ52" s="996"/>
      <c r="HR52" s="996"/>
      <c r="HS52" s="997"/>
      <c r="HT52" s="992"/>
      <c r="HU52" s="996"/>
      <c r="HV52" s="996"/>
      <c r="HW52" s="997"/>
      <c r="HX52" s="992"/>
      <c r="HY52" s="996"/>
      <c r="HZ52" s="996"/>
      <c r="IA52" s="997"/>
      <c r="IB52" s="992"/>
      <c r="IC52" s="996"/>
      <c r="ID52" s="996"/>
      <c r="IE52" s="997"/>
      <c r="IF52" s="992"/>
      <c r="IG52" s="996"/>
      <c r="IH52" s="996"/>
      <c r="II52" s="997"/>
      <c r="IJ52" s="992"/>
      <c r="IK52" s="996"/>
      <c r="IL52" s="996"/>
      <c r="IM52" s="997"/>
      <c r="IN52" s="992"/>
      <c r="IO52" s="996"/>
      <c r="IP52" s="996"/>
      <c r="IQ52" s="997"/>
      <c r="IR52" s="992"/>
      <c r="IS52" s="996"/>
      <c r="IT52" s="996"/>
      <c r="IU52" s="997"/>
      <c r="IV52" s="992"/>
      <c r="IW52" s="996"/>
      <c r="IX52" s="996"/>
      <c r="IY52" s="997"/>
      <c r="IZ52" s="992"/>
      <c r="JA52" s="996"/>
      <c r="JB52" s="996"/>
      <c r="JC52" s="997"/>
      <c r="JD52" s="992"/>
      <c r="JE52" s="996"/>
      <c r="JF52" s="996"/>
      <c r="JG52" s="997"/>
      <c r="JH52" s="992"/>
      <c r="JI52" s="996"/>
      <c r="JJ52" s="996"/>
      <c r="JK52" s="997"/>
      <c r="JL52" s="992"/>
      <c r="JM52" s="996"/>
      <c r="JN52" s="996"/>
      <c r="JO52" s="997"/>
      <c r="JP52" s="992"/>
      <c r="JQ52" s="996"/>
      <c r="JR52" s="996"/>
      <c r="JS52" s="997"/>
      <c r="JT52" s="992"/>
      <c r="JU52" s="996"/>
      <c r="JV52" s="996"/>
      <c r="JW52" s="997"/>
      <c r="JX52" s="992"/>
      <c r="JY52" s="996"/>
      <c r="JZ52" s="996"/>
      <c r="KA52" s="997"/>
      <c r="KB52" s="992"/>
      <c r="KC52" s="996"/>
      <c r="KD52" s="996"/>
      <c r="KE52" s="997"/>
      <c r="KF52" s="992"/>
      <c r="KG52" s="996"/>
      <c r="KH52" s="996"/>
      <c r="KI52" s="997"/>
      <c r="KJ52" s="992"/>
      <c r="KK52" s="996"/>
      <c r="KL52" s="996"/>
      <c r="KM52" s="997"/>
      <c r="KN52" s="992"/>
      <c r="KO52" s="996"/>
      <c r="KP52" s="996"/>
      <c r="KQ52" s="997"/>
      <c r="KR52" s="992"/>
      <c r="KS52" s="996"/>
      <c r="KT52" s="996"/>
      <c r="KU52" s="997"/>
      <c r="KV52" s="992"/>
      <c r="KW52" s="996"/>
      <c r="KX52" s="996"/>
      <c r="KY52" s="997"/>
      <c r="KZ52" s="992"/>
      <c r="LA52" s="996"/>
      <c r="LB52" s="996"/>
      <c r="LC52" s="997"/>
      <c r="LD52" s="992"/>
      <c r="LE52" s="996"/>
      <c r="LF52" s="996"/>
      <c r="LG52" s="997"/>
      <c r="LH52" s="992"/>
      <c r="LI52" s="996"/>
      <c r="LJ52" s="996"/>
      <c r="LK52" s="997"/>
      <c r="LL52" s="992"/>
      <c r="LM52" s="996"/>
      <c r="LN52" s="996"/>
      <c r="LO52" s="997"/>
      <c r="LP52" s="992"/>
      <c r="LQ52" s="996"/>
      <c r="LR52" s="996"/>
      <c r="LS52" s="997"/>
      <c r="LT52" s="992"/>
      <c r="LU52" s="996"/>
      <c r="LV52" s="996"/>
      <c r="LW52" s="997"/>
      <c r="LX52" s="992"/>
      <c r="LY52" s="996"/>
      <c r="LZ52" s="996"/>
      <c r="MA52" s="997"/>
      <c r="MB52" s="992"/>
      <c r="MC52" s="996"/>
      <c r="MD52" s="996"/>
      <c r="ME52" s="997"/>
      <c r="MF52" s="992"/>
      <c r="MG52" s="996"/>
      <c r="MH52" s="996"/>
      <c r="MI52" s="997"/>
      <c r="MJ52" s="992"/>
      <c r="MK52" s="996"/>
      <c r="ML52" s="996"/>
      <c r="MM52" s="997"/>
      <c r="MN52" s="992"/>
      <c r="MO52" s="996"/>
      <c r="MP52" s="996"/>
      <c r="MQ52" s="997"/>
      <c r="MR52" s="992"/>
      <c r="MS52" s="996"/>
      <c r="MT52" s="996"/>
      <c r="MU52" s="997"/>
      <c r="MV52" s="992"/>
      <c r="MW52" s="996"/>
      <c r="MX52" s="996"/>
      <c r="MY52" s="997"/>
      <c r="MZ52" s="992"/>
      <c r="NA52" s="996"/>
      <c r="NB52" s="996"/>
      <c r="NC52" s="997"/>
      <c r="ND52" s="992"/>
      <c r="NE52" s="996"/>
      <c r="NF52" s="996"/>
      <c r="NG52" s="997"/>
      <c r="NH52" s="998"/>
      <c r="NI52" s="992"/>
      <c r="NJ52" s="997"/>
      <c r="NL52" s="977"/>
    </row>
    <row r="53" spans="1:376">
      <c r="A53" s="874">
        <v>30</v>
      </c>
      <c r="B53" s="992" t="str">
        <f t="shared" si="1"/>
        <v>W / O incentive</v>
      </c>
      <c r="C53" s="993">
        <f t="shared" si="2"/>
        <v>2011</v>
      </c>
      <c r="D53" s="992">
        <f t="shared" ref="D53" si="24">+F52</f>
        <v>1797894.9125816992</v>
      </c>
      <c r="E53" s="991">
        <f t="shared" ref="E53" si="25">+D$38/51</f>
        <v>37488.686274509804</v>
      </c>
      <c r="F53" s="996">
        <f t="shared" si="3"/>
        <v>1760406.2263071893</v>
      </c>
      <c r="G53" s="997"/>
      <c r="H53" s="992">
        <f t="shared" ref="H53" si="26">+J52</f>
        <v>986202.49754901975</v>
      </c>
      <c r="I53" s="991">
        <f t="shared" ref="I53" si="27">+H$38/51</f>
        <v>21114.058823529413</v>
      </c>
      <c r="J53" s="996">
        <f t="shared" si="0"/>
        <v>965088.43872549036</v>
      </c>
      <c r="K53" s="997"/>
      <c r="L53" s="992"/>
      <c r="M53" s="991"/>
      <c r="N53" s="996"/>
      <c r="O53" s="997"/>
      <c r="P53" s="992">
        <f t="shared" ref="P53" si="28">+R52</f>
        <v>7678127.7132352935</v>
      </c>
      <c r="Q53" s="991">
        <f t="shared" ref="Q53" si="29">+P$38/51</f>
        <v>161220.5294117647</v>
      </c>
      <c r="R53" s="996">
        <f t="shared" si="4"/>
        <v>7516907.1838235287</v>
      </c>
      <c r="S53" s="997"/>
      <c r="T53" s="992">
        <f t="shared" ref="T53" si="30">+V52</f>
        <v>6744500.4558823528</v>
      </c>
      <c r="U53" s="991">
        <f t="shared" ref="U53" si="31">+T$38/51</f>
        <v>140877.29411764705</v>
      </c>
      <c r="V53" s="996">
        <f t="shared" si="5"/>
        <v>6603623.1617647056</v>
      </c>
      <c r="W53" s="997"/>
      <c r="X53" s="992">
        <f t="shared" ref="X53" si="32">+Z52</f>
        <v>2333423.0408496731</v>
      </c>
      <c r="Y53" s="991">
        <f t="shared" ref="Y53" si="33">+X$38/51</f>
        <v>47339.098039215685</v>
      </c>
      <c r="Z53" s="996">
        <f t="shared" ref="Z53:Z62" si="34">+X53-Y53</f>
        <v>2286083.9428104572</v>
      </c>
      <c r="AA53" s="997"/>
      <c r="AB53" s="992">
        <f t="shared" ref="AB53" si="35">+AD52</f>
        <v>21189811.960784316</v>
      </c>
      <c r="AC53" s="991">
        <f t="shared" ref="AC53" si="36">+AB$38/51</f>
        <v>428437.64705882355</v>
      </c>
      <c r="AD53" s="996">
        <f t="shared" ref="AD53:AD62" si="37">+AB53-AC53</f>
        <v>20761374.313725494</v>
      </c>
      <c r="AE53" s="997"/>
      <c r="AF53" s="992">
        <f t="shared" ref="AF53" si="38">+AH52</f>
        <v>44168269.273692809</v>
      </c>
      <c r="AG53" s="991">
        <f t="shared" ref="AG53" si="39">+AF$38/51</f>
        <v>884102.13725490193</v>
      </c>
      <c r="AH53" s="996">
        <f t="shared" ref="AH53:AH62" si="40">+AF53-AG53</f>
        <v>43284167.136437908</v>
      </c>
      <c r="AI53" s="997"/>
      <c r="AJ53" s="992">
        <f t="shared" ref="AJ53" si="41">+AL52</f>
        <v>13458948.529411765</v>
      </c>
      <c r="AK53" s="991">
        <f>+AJ$38/51</f>
        <v>266294.1176470588</v>
      </c>
      <c r="AL53" s="996">
        <f t="shared" ref="AL53:AL62" si="42">+AJ53-AK53</f>
        <v>13192654.411764706</v>
      </c>
      <c r="AM53" s="997"/>
      <c r="AN53" s="992">
        <f t="shared" ref="AN53" si="43">+AP52</f>
        <v>11068388.869027779</v>
      </c>
      <c r="AO53" s="991">
        <f>+AN$38/51</f>
        <v>220083.9543137255</v>
      </c>
      <c r="AP53" s="996">
        <f t="shared" ref="AP53:AP62" si="44">+AN53-AO53</f>
        <v>10848304.914714053</v>
      </c>
      <c r="AQ53" s="997"/>
      <c r="AR53" s="992">
        <f t="shared" ref="AR53" si="45">+AT52</f>
        <v>14499903.553104576</v>
      </c>
      <c r="AS53" s="991">
        <f>+AR$38/51</f>
        <v>287363.90196078434</v>
      </c>
      <c r="AT53" s="996">
        <f t="shared" ref="AT53:AT62" si="46">+AR53-AS53</f>
        <v>14212539.651143791</v>
      </c>
      <c r="AU53" s="997"/>
      <c r="AV53" s="992">
        <f t="shared" ref="AV53" si="47">+AX52</f>
        <v>16804145.098039217</v>
      </c>
      <c r="AW53" s="991">
        <f>+AV$38/51</f>
        <v>331388.23529411765</v>
      </c>
      <c r="AX53" s="996">
        <f t="shared" ref="AX53:AX62" si="48">+AV53-AW53</f>
        <v>16472756.862745099</v>
      </c>
      <c r="AY53" s="997"/>
      <c r="AZ53" s="992">
        <f t="shared" ref="AZ53" si="49">+BB52</f>
        <v>11353486.69117647</v>
      </c>
      <c r="BA53" s="991">
        <f>+AZ$38/51</f>
        <v>222799.41176470587</v>
      </c>
      <c r="BB53" s="996">
        <f t="shared" ref="BB53:BB62" si="50">+AZ53-BA53</f>
        <v>11130687.279411765</v>
      </c>
      <c r="BC53" s="997"/>
      <c r="BD53" s="992">
        <f>+BD$38</f>
        <v>91752964</v>
      </c>
      <c r="BE53" s="817">
        <f>+BD$38/51/12*(12.5-BD$40)</f>
        <v>1274346.7222222222</v>
      </c>
      <c r="BF53" s="996">
        <f>+BD53-BE53</f>
        <v>90478617.277777776</v>
      </c>
      <c r="BG53" s="997"/>
      <c r="BH53" s="992">
        <f>+BH$38</f>
        <v>13726825</v>
      </c>
      <c r="BI53" s="817">
        <f>+BH$38/51/12*(12.5-BH$40)</f>
        <v>168220.89460784313</v>
      </c>
      <c r="BJ53" s="996">
        <f>+BH53-BI53</f>
        <v>13558604.105392156</v>
      </c>
      <c r="BK53" s="997"/>
      <c r="BL53" s="992">
        <f>+BL$38</f>
        <v>3123926</v>
      </c>
      <c r="BM53" s="817">
        <f>+BL$38/51/12*(12.5-BL$40)</f>
        <v>38283.406862745091</v>
      </c>
      <c r="BN53" s="996">
        <f>+BL53-BM53</f>
        <v>3085642.5931372549</v>
      </c>
      <c r="BO53" s="997"/>
      <c r="BP53" s="992">
        <f t="shared" ref="BP53" si="51">+BR52</f>
        <v>2385118.5866013071</v>
      </c>
      <c r="BQ53" s="991">
        <f t="shared" ref="BQ53" si="52">+BP$38/51</f>
        <v>47742.156862745098</v>
      </c>
      <c r="BR53" s="996">
        <f t="shared" ref="BR53:BR62" si="53">+BP53-BQ53</f>
        <v>2337376.4297385621</v>
      </c>
      <c r="BS53" s="997"/>
      <c r="BT53" s="992">
        <f>+BT$38</f>
        <v>38982714</v>
      </c>
      <c r="BU53" s="817">
        <f>+BT$38/51/12*(12.5-BT$40)</f>
        <v>414032.09313725494</v>
      </c>
      <c r="BV53" s="996">
        <f>+BT53-BU53</f>
        <v>38568681.906862743</v>
      </c>
      <c r="BW53" s="997"/>
      <c r="BX53" s="992">
        <f>+BX$38</f>
        <v>163403333</v>
      </c>
      <c r="BY53" s="817">
        <f>+BX$38/51/12*(12.5-BX$40)</f>
        <v>2002491.8259803923</v>
      </c>
      <c r="BZ53" s="996">
        <f>+BX53-BY53</f>
        <v>161400841.1740196</v>
      </c>
      <c r="CA53" s="997"/>
      <c r="CB53" s="992"/>
      <c r="CC53" s="996"/>
      <c r="CD53" s="996"/>
      <c r="CE53" s="997"/>
      <c r="CF53" s="992">
        <f t="shared" ref="CF53" si="54">+CH52</f>
        <v>13392757.511437908</v>
      </c>
      <c r="CG53" s="991">
        <f t="shared" ref="CG53" si="55">+CF$38/51</f>
        <v>268078.54901960783</v>
      </c>
      <c r="CH53" s="996">
        <f t="shared" ref="CH53:CH62" si="56">+CF53-CG53</f>
        <v>13124678.962418299</v>
      </c>
      <c r="CI53" s="997"/>
      <c r="CJ53" s="992">
        <f t="shared" ref="CJ53" si="57">+CL52</f>
        <v>14448785.669117646</v>
      </c>
      <c r="CK53" s="991">
        <f>+CJ$38/51</f>
        <v>286824.5294117647</v>
      </c>
      <c r="CL53" s="996">
        <f t="shared" ref="CL53:CL62" si="58">+CJ53-CK53</f>
        <v>14161961.139705881</v>
      </c>
      <c r="CM53" s="997"/>
      <c r="CN53" s="992">
        <f t="shared" ref="CN53" si="59">+CP52</f>
        <v>10408028.068627451</v>
      </c>
      <c r="CO53" s="991">
        <f t="shared" ref="CO53:CO55" si="60">+CN$38/51</f>
        <v>210086.35294117648</v>
      </c>
      <c r="CP53" s="996">
        <f t="shared" ref="CP53:CP62" si="61">+CN53-CO53</f>
        <v>10197941.715686275</v>
      </c>
      <c r="CQ53" s="997"/>
      <c r="CR53" s="992">
        <f t="shared" ref="CR53" si="62">+CT52</f>
        <v>3009436.1233660132</v>
      </c>
      <c r="CS53" s="991">
        <f t="shared" ref="CS53:CS55" si="63">+CR$38/51</f>
        <v>60238.921568627447</v>
      </c>
      <c r="CT53" s="996">
        <f t="shared" ref="CT53:CT62" si="64">+CR53-CS53</f>
        <v>2949197.2017973857</v>
      </c>
      <c r="CU53" s="997"/>
      <c r="CV53" s="992">
        <f t="shared" ref="CV53" si="65">+CX52</f>
        <v>11097480.700980393</v>
      </c>
      <c r="CW53" s="991">
        <f t="shared" ref="CW53:CW55" si="66">+CV$38/51</f>
        <v>225520.35294117648</v>
      </c>
      <c r="CX53" s="996">
        <f t="shared" ref="CX53:CX62" si="67">+CV53-CW53</f>
        <v>10871960.348039217</v>
      </c>
      <c r="CY53" s="997"/>
      <c r="CZ53" s="992">
        <f t="shared" ref="CZ53" si="68">+DB52</f>
        <v>16383594.265522875</v>
      </c>
      <c r="DA53" s="991">
        <f>+CZ$38/51</f>
        <v>324695.50980392157</v>
      </c>
      <c r="DB53" s="996">
        <f t="shared" ref="DB53:DB62" si="69">+CZ53-DA53</f>
        <v>16058898.755718954</v>
      </c>
      <c r="DC53" s="997"/>
      <c r="DD53" s="992">
        <f t="shared" ref="DD53" si="70">+DF52</f>
        <v>18655719.460784312</v>
      </c>
      <c r="DE53" s="991">
        <f>+DD$38/51</f>
        <v>370336.86274509801</v>
      </c>
      <c r="DF53" s="996">
        <f t="shared" ref="DF53:DF62" si="71">+DD53-DE53</f>
        <v>18285382.598039214</v>
      </c>
      <c r="DG53" s="997"/>
      <c r="DH53" s="992">
        <f>+DH$38</f>
        <v>10471304</v>
      </c>
      <c r="DI53" s="817">
        <f>+DH$38/51/12*(12.5-DH$40)</f>
        <v>8554.986928104574</v>
      </c>
      <c r="DJ53" s="996">
        <f>+DH53-DI53</f>
        <v>10462749.013071895</v>
      </c>
      <c r="DK53" s="997"/>
      <c r="DL53" s="992">
        <f>+DL$38</f>
        <v>18897652</v>
      </c>
      <c r="DM53" s="817">
        <f>+DL$38/51/12*(12.5-DL$40)</f>
        <v>138953.32352941178</v>
      </c>
      <c r="DN53" s="996">
        <f>+DL53-DM53</f>
        <v>18758698.676470589</v>
      </c>
      <c r="DO53" s="997"/>
      <c r="DP53" s="992">
        <f t="shared" ref="DP53" si="72">+DR52</f>
        <v>12046563.988562092</v>
      </c>
      <c r="DQ53" s="991">
        <f>+DP$38/51</f>
        <v>236400.27450980392</v>
      </c>
      <c r="DR53" s="996">
        <f t="shared" ref="DR53:DR62" si="73">+DP53-DQ53</f>
        <v>11810163.714052288</v>
      </c>
      <c r="DS53" s="997"/>
      <c r="DT53" s="992">
        <f t="shared" ref="DT53" si="74">+DV52</f>
        <v>90316766.847222224</v>
      </c>
      <c r="DU53" s="991">
        <f>+DT$38/51</f>
        <v>1789927.6666666667</v>
      </c>
      <c r="DV53" s="996">
        <f t="shared" ref="DV53:DV62" si="75">+DT53-DU53</f>
        <v>88526839.180555552</v>
      </c>
      <c r="DW53" s="997"/>
      <c r="DX53" s="992">
        <f>+DX$38</f>
        <v>32204664</v>
      </c>
      <c r="DY53" s="817">
        <f>+DX$38/51/12*(12.5-DX$40)</f>
        <v>342043</v>
      </c>
      <c r="DZ53" s="996">
        <f>+DX53-DY53</f>
        <v>31862621</v>
      </c>
      <c r="EA53" s="997"/>
      <c r="EB53" s="992"/>
      <c r="EC53" s="996"/>
      <c r="ED53" s="996"/>
      <c r="EE53" s="997"/>
      <c r="EF53" s="992">
        <f t="shared" ref="EF53" si="76">+EH52</f>
        <v>84344221.390522882</v>
      </c>
      <c r="EG53" s="991">
        <f>+EF$38/51</f>
        <v>1660591.7254901961</v>
      </c>
      <c r="EH53" s="996">
        <f t="shared" ref="EH53:EH62" si="77">+EF53-EG53</f>
        <v>82683629.665032685</v>
      </c>
      <c r="EI53" s="997"/>
      <c r="EJ53" s="992">
        <f>+EJ$38</f>
        <v>1301988</v>
      </c>
      <c r="EK53" s="817">
        <f>+EJ$38/51/12*(12.5-EJ$40)</f>
        <v>22338.029411764706</v>
      </c>
      <c r="EL53" s="996">
        <f>+EJ53-EK53</f>
        <v>1279649.9705882352</v>
      </c>
      <c r="EM53" s="997"/>
      <c r="EN53" s="992">
        <f t="shared" ref="EN53" si="78">+EP52</f>
        <v>203394.57352941178</v>
      </c>
      <c r="EO53" s="991">
        <f>+EN$38/51</f>
        <v>4030.9411764705883</v>
      </c>
      <c r="EP53" s="996">
        <f t="shared" ref="EP53:EP62" si="79">+EN53-EO53</f>
        <v>199363.63235294117</v>
      </c>
      <c r="EQ53" s="997"/>
      <c r="ER53" s="992">
        <f>+ER$38</f>
        <v>23483583</v>
      </c>
      <c r="ES53" s="817">
        <f>+ER$38/51/12*(12.5-ER$40)</f>
        <v>249417.13970588235</v>
      </c>
      <c r="ET53" s="996">
        <f>+ER53-ES53</f>
        <v>23234165.860294119</v>
      </c>
      <c r="EU53" s="997"/>
      <c r="EV53" s="992">
        <f t="shared" ref="EV53" si="80">+EX52</f>
        <v>1464183.2393790849</v>
      </c>
      <c r="EW53" s="991">
        <f>+EV$38/51</f>
        <v>28874.607843137255</v>
      </c>
      <c r="EX53" s="996">
        <f t="shared" ref="EX53:EX62" si="81">+EV53-EW53</f>
        <v>1435308.6315359476</v>
      </c>
      <c r="EY53" s="997"/>
      <c r="EZ53" s="992"/>
      <c r="FA53" s="996"/>
      <c r="FB53" s="996"/>
      <c r="FC53" s="997"/>
      <c r="FD53" s="992">
        <f t="shared" ref="FD53" si="82">+FF52</f>
        <v>6182166.4199346406</v>
      </c>
      <c r="FE53" s="991">
        <f>+FD$38/51</f>
        <v>125632.50980392157</v>
      </c>
      <c r="FF53" s="996">
        <f t="shared" ref="FF53:FF62" si="83">+FD53-FE53</f>
        <v>6056533.9101307187</v>
      </c>
      <c r="FG53" s="997"/>
      <c r="FH53" s="992">
        <f>+FH$38</f>
        <v>5246724</v>
      </c>
      <c r="FI53" s="817">
        <f>+FH$38/51/12*(12.5-FH$40)</f>
        <v>55725.009803921566</v>
      </c>
      <c r="FJ53" s="996">
        <f>+FH53-FI53</f>
        <v>5190998.9901960781</v>
      </c>
      <c r="FK53" s="997"/>
      <c r="FL53" s="992">
        <f t="shared" ref="FL53" si="84">+FN52</f>
        <v>3110424.9411764708</v>
      </c>
      <c r="FM53" s="991">
        <f>+FL$38/51</f>
        <v>62678.588235294119</v>
      </c>
      <c r="FN53" s="996">
        <f t="shared" ref="FN53:FN62" si="85">+FL53-FM53</f>
        <v>3047746.3529411769</v>
      </c>
      <c r="FO53" s="997"/>
      <c r="FP53" s="992">
        <f t="shared" ref="FP53" si="86">+FR52</f>
        <v>21427953.698529411</v>
      </c>
      <c r="FQ53" s="991">
        <f>+FP$38/51</f>
        <v>429633.15686274512</v>
      </c>
      <c r="FR53" s="996">
        <f t="shared" ref="FR53:FR62" si="87">+FP53-FQ53</f>
        <v>20998320.541666664</v>
      </c>
      <c r="FS53" s="997"/>
      <c r="FT53" s="992">
        <f t="shared" ref="FT53" si="88">+FV52</f>
        <v>4733220.625</v>
      </c>
      <c r="FU53" s="991">
        <f>+FT$38/51</f>
        <v>94901.666666666672</v>
      </c>
      <c r="FV53" s="996">
        <f t="shared" ref="FV53:FV62" si="89">+FT53-FU53</f>
        <v>4638318.958333333</v>
      </c>
      <c r="FW53" s="997"/>
      <c r="FX53" s="992">
        <f t="shared" ref="FX53" si="90">+FZ52</f>
        <v>20756671.393790852</v>
      </c>
      <c r="FY53" s="991">
        <f>+FX$38/51</f>
        <v>419679.96078431373</v>
      </c>
      <c r="FZ53" s="996">
        <f t="shared" ref="FZ53:FZ62" si="91">+FX53-FY53</f>
        <v>20336991.43300654</v>
      </c>
      <c r="GA53" s="997"/>
      <c r="GB53" s="992">
        <f t="shared" ref="GB53" si="92">+GD52</f>
        <v>3441411.3602941176</v>
      </c>
      <c r="GC53" s="991">
        <f>+GB$38/51</f>
        <v>69699.470588235301</v>
      </c>
      <c r="GD53" s="996">
        <f t="shared" ref="GD53:GD62" si="93">+GB53-GC53</f>
        <v>3371711.8897058824</v>
      </c>
      <c r="GE53" s="997"/>
      <c r="GF53" s="992">
        <f t="shared" ref="GF53" si="94">+GH52</f>
        <v>3270528.602124183</v>
      </c>
      <c r="GG53" s="991">
        <f>+GF$38/51</f>
        <v>65794.372549019608</v>
      </c>
      <c r="GH53" s="996">
        <f t="shared" ref="GH53:GH62" si="95">+GF53-GG53</f>
        <v>3204734.2295751632</v>
      </c>
      <c r="GI53" s="997"/>
      <c r="GJ53" s="992">
        <f t="shared" ref="GJ53" si="96">+GL52</f>
        <v>755618.59803921566</v>
      </c>
      <c r="GK53" s="991">
        <f>+GJ$38/51</f>
        <v>15277.882352941177</v>
      </c>
      <c r="GL53" s="996">
        <f t="shared" ref="GL53:GL62" si="97">+GJ53-GK53</f>
        <v>740340.71568627446</v>
      </c>
      <c r="GM53" s="997"/>
      <c r="GN53" s="992">
        <f t="shared" ref="GN53" si="98">+GP52</f>
        <v>6155565.7116013076</v>
      </c>
      <c r="GO53" s="991">
        <f>+GN$38/51</f>
        <v>121791.90196078431</v>
      </c>
      <c r="GP53" s="996">
        <f t="shared" ref="GP53:GP62" si="99">+GN53-GO53</f>
        <v>6033773.809640523</v>
      </c>
      <c r="GQ53" s="997"/>
      <c r="GR53" s="992">
        <f>+GR$38</f>
        <v>23947642</v>
      </c>
      <c r="GS53" s="817">
        <f>+GR$38/51/12*(12.5-GR$40)</f>
        <v>19565.06699346405</v>
      </c>
      <c r="GT53" s="996">
        <f>+GR53-GS53</f>
        <v>23928076.933006536</v>
      </c>
      <c r="GU53" s="997"/>
      <c r="GV53" s="992"/>
      <c r="GW53" s="996"/>
      <c r="GX53" s="996"/>
      <c r="GY53" s="997"/>
      <c r="GZ53" s="992"/>
      <c r="HA53" s="996"/>
      <c r="HB53" s="996"/>
      <c r="HC53" s="997"/>
      <c r="HD53" s="992"/>
      <c r="HE53" s="996"/>
      <c r="HF53" s="996"/>
      <c r="HG53" s="997"/>
      <c r="HH53" s="992"/>
      <c r="HI53" s="996"/>
      <c r="HJ53" s="996"/>
      <c r="HK53" s="997"/>
      <c r="HL53" s="992"/>
      <c r="HM53" s="996"/>
      <c r="HN53" s="996"/>
      <c r="HO53" s="997"/>
      <c r="HP53" s="992"/>
      <c r="HQ53" s="996"/>
      <c r="HR53" s="996"/>
      <c r="HS53" s="997"/>
      <c r="HT53" s="992">
        <f>+HT$38</f>
        <v>108763</v>
      </c>
      <c r="HU53" s="817">
        <f>+HT$38/51/12*(12.5-HT$40)</f>
        <v>88.858660130718945</v>
      </c>
      <c r="HV53" s="996">
        <f>+HT53-HU53</f>
        <v>108674.14133986928</v>
      </c>
      <c r="HW53" s="997"/>
      <c r="HX53" s="992">
        <f>+HX$38</f>
        <v>75695</v>
      </c>
      <c r="HY53" s="817">
        <f>+HX$38/51/12*(12.5-HX$40)</f>
        <v>309.21160130718954</v>
      </c>
      <c r="HZ53" s="996">
        <f>+HX53-HY53</f>
        <v>75385.788398692806</v>
      </c>
      <c r="IA53" s="997"/>
      <c r="IB53" s="992"/>
      <c r="IC53" s="996"/>
      <c r="ID53" s="996"/>
      <c r="IE53" s="997"/>
      <c r="IF53" s="992"/>
      <c r="IG53" s="996"/>
      <c r="IH53" s="996"/>
      <c r="II53" s="997"/>
      <c r="IJ53" s="992"/>
      <c r="IK53" s="996"/>
      <c r="IL53" s="996"/>
      <c r="IM53" s="997"/>
      <c r="IN53" s="992"/>
      <c r="IO53" s="996"/>
      <c r="IP53" s="996"/>
      <c r="IQ53" s="997"/>
      <c r="IR53" s="992"/>
      <c r="IS53" s="996"/>
      <c r="IT53" s="996"/>
      <c r="IU53" s="997"/>
      <c r="IV53" s="992"/>
      <c r="IW53" s="996"/>
      <c r="IX53" s="996"/>
      <c r="IY53" s="997"/>
      <c r="IZ53" s="992"/>
      <c r="JA53" s="996"/>
      <c r="JB53" s="996"/>
      <c r="JC53" s="997"/>
      <c r="JD53" s="992"/>
      <c r="JE53" s="996"/>
      <c r="JF53" s="996"/>
      <c r="JG53" s="997"/>
      <c r="JH53" s="992"/>
      <c r="JI53" s="996"/>
      <c r="JJ53" s="996"/>
      <c r="JK53" s="997"/>
      <c r="JL53" s="992"/>
      <c r="JM53" s="996"/>
      <c r="JN53" s="996"/>
      <c r="JO53" s="997"/>
      <c r="JP53" s="992"/>
      <c r="JQ53" s="996"/>
      <c r="JR53" s="996"/>
      <c r="JS53" s="997"/>
      <c r="JT53" s="992"/>
      <c r="JU53" s="996"/>
      <c r="JV53" s="996"/>
      <c r="JW53" s="997"/>
      <c r="JX53" s="992"/>
      <c r="JY53" s="996"/>
      <c r="JZ53" s="996"/>
      <c r="KA53" s="997"/>
      <c r="KB53" s="992"/>
      <c r="KC53" s="996"/>
      <c r="KD53" s="996"/>
      <c r="KE53" s="997"/>
      <c r="KF53" s="992"/>
      <c r="KG53" s="996"/>
      <c r="KH53" s="996"/>
      <c r="KI53" s="997"/>
      <c r="KJ53" s="992"/>
      <c r="KK53" s="996"/>
      <c r="KL53" s="996"/>
      <c r="KM53" s="997"/>
      <c r="KN53" s="992"/>
      <c r="KO53" s="996"/>
      <c r="KP53" s="996"/>
      <c r="KQ53" s="997"/>
      <c r="KR53" s="992"/>
      <c r="KS53" s="996"/>
      <c r="KT53" s="996"/>
      <c r="KU53" s="997"/>
      <c r="KV53" s="992"/>
      <c r="KW53" s="996"/>
      <c r="KX53" s="996"/>
      <c r="KY53" s="997"/>
      <c r="KZ53" s="992"/>
      <c r="LA53" s="996"/>
      <c r="LB53" s="996"/>
      <c r="LC53" s="997"/>
      <c r="LD53" s="992"/>
      <c r="LE53" s="996"/>
      <c r="LF53" s="996"/>
      <c r="LG53" s="997"/>
      <c r="LH53" s="992"/>
      <c r="LI53" s="996"/>
      <c r="LJ53" s="996"/>
      <c r="LK53" s="997"/>
      <c r="LL53" s="992"/>
      <c r="LM53" s="996"/>
      <c r="LN53" s="996"/>
      <c r="LO53" s="997"/>
      <c r="LP53" s="992"/>
      <c r="LQ53" s="996"/>
      <c r="LR53" s="996"/>
      <c r="LS53" s="997"/>
      <c r="LT53" s="992"/>
      <c r="LU53" s="996"/>
      <c r="LV53" s="996"/>
      <c r="LW53" s="997"/>
      <c r="LX53" s="992"/>
      <c r="LY53" s="996"/>
      <c r="LZ53" s="996"/>
      <c r="MA53" s="997"/>
      <c r="MB53" s="992"/>
      <c r="MC53" s="996"/>
      <c r="MD53" s="996"/>
      <c r="ME53" s="997"/>
      <c r="MF53" s="992"/>
      <c r="MG53" s="996"/>
      <c r="MH53" s="996"/>
      <c r="MI53" s="997"/>
      <c r="MJ53" s="992"/>
      <c r="MK53" s="996"/>
      <c r="ML53" s="996"/>
      <c r="MM53" s="997"/>
      <c r="MN53" s="992"/>
      <c r="MO53" s="996"/>
      <c r="MP53" s="996"/>
      <c r="MQ53" s="997"/>
      <c r="MR53" s="992"/>
      <c r="MS53" s="996"/>
      <c r="MT53" s="996"/>
      <c r="MU53" s="997"/>
      <c r="MV53" s="992"/>
      <c r="MW53" s="996"/>
      <c r="MX53" s="996"/>
      <c r="MY53" s="997"/>
      <c r="MZ53" s="992"/>
      <c r="NA53" s="996"/>
      <c r="NB53" s="996"/>
      <c r="NC53" s="997"/>
      <c r="ND53" s="992"/>
      <c r="NE53" s="996"/>
      <c r="NF53" s="996"/>
      <c r="NG53" s="997"/>
      <c r="NH53" s="998"/>
      <c r="NI53" s="992"/>
      <c r="NJ53" s="997"/>
      <c r="NL53" s="977"/>
    </row>
    <row r="54" spans="1:376">
      <c r="A54" s="874">
        <v>31</v>
      </c>
      <c r="B54" s="992" t="str">
        <f t="shared" si="1"/>
        <v>W incentive</v>
      </c>
      <c r="C54" s="993">
        <f t="shared" si="2"/>
        <v>2011</v>
      </c>
      <c r="D54" s="992">
        <f t="shared" ref="D54" si="100">+D53</f>
        <v>1797894.9125816992</v>
      </c>
      <c r="E54" s="991">
        <f t="shared" ref="E54" si="101">E53</f>
        <v>37488.686274509804</v>
      </c>
      <c r="F54" s="996">
        <f t="shared" si="3"/>
        <v>1760406.2263071893</v>
      </c>
      <c r="G54" s="997"/>
      <c r="H54" s="992">
        <f t="shared" ref="H54" si="102">+H53</f>
        <v>986202.49754901975</v>
      </c>
      <c r="I54" s="991">
        <f t="shared" ref="I54" si="103">I53</f>
        <v>21114.058823529413</v>
      </c>
      <c r="J54" s="996">
        <f t="shared" si="0"/>
        <v>965088.43872549036</v>
      </c>
      <c r="K54" s="997"/>
      <c r="L54" s="992"/>
      <c r="M54" s="991"/>
      <c r="N54" s="996"/>
      <c r="O54" s="997"/>
      <c r="P54" s="992">
        <f t="shared" ref="P54" si="104">+P53</f>
        <v>7678127.7132352935</v>
      </c>
      <c r="Q54" s="991">
        <f t="shared" ref="Q54" si="105">Q53</f>
        <v>161220.5294117647</v>
      </c>
      <c r="R54" s="996">
        <f t="shared" si="4"/>
        <v>7516907.1838235287</v>
      </c>
      <c r="S54" s="997"/>
      <c r="T54" s="992">
        <f t="shared" ref="T54" si="106">+T53</f>
        <v>6744500.4558823528</v>
      </c>
      <c r="U54" s="991">
        <f t="shared" ref="U54" si="107">U53</f>
        <v>140877.29411764705</v>
      </c>
      <c r="V54" s="996">
        <f t="shared" si="5"/>
        <v>6603623.1617647056</v>
      </c>
      <c r="W54" s="997"/>
      <c r="X54" s="992">
        <f t="shared" ref="X54" si="108">+X53</f>
        <v>2333423.0408496731</v>
      </c>
      <c r="Y54" s="991">
        <f t="shared" ref="Y54" si="109">Y53</f>
        <v>47339.098039215685</v>
      </c>
      <c r="Z54" s="996">
        <f t="shared" si="34"/>
        <v>2286083.9428104572</v>
      </c>
      <c r="AA54" s="997"/>
      <c r="AB54" s="992">
        <f t="shared" ref="AB54" si="110">+AB53</f>
        <v>21189811.960784316</v>
      </c>
      <c r="AC54" s="991">
        <f t="shared" ref="AC54" si="111">AC53</f>
        <v>428437.64705882355</v>
      </c>
      <c r="AD54" s="996">
        <f t="shared" si="37"/>
        <v>20761374.313725494</v>
      </c>
      <c r="AE54" s="997"/>
      <c r="AF54" s="992">
        <f t="shared" ref="AF54" si="112">+AF53</f>
        <v>44168269.273692809</v>
      </c>
      <c r="AG54" s="991">
        <f t="shared" ref="AG54" si="113">AG53</f>
        <v>884102.13725490193</v>
      </c>
      <c r="AH54" s="996">
        <f t="shared" si="40"/>
        <v>43284167.136437908</v>
      </c>
      <c r="AI54" s="997"/>
      <c r="AJ54" s="992">
        <f t="shared" ref="AJ54" si="114">+AJ53</f>
        <v>13458948.529411765</v>
      </c>
      <c r="AK54" s="991">
        <f>AK53</f>
        <v>266294.1176470588</v>
      </c>
      <c r="AL54" s="996">
        <f t="shared" si="42"/>
        <v>13192654.411764706</v>
      </c>
      <c r="AM54" s="997"/>
      <c r="AN54" s="992">
        <f t="shared" ref="AN54" si="115">+AN53</f>
        <v>11068388.869027779</v>
      </c>
      <c r="AO54" s="991">
        <f>AO53</f>
        <v>220083.9543137255</v>
      </c>
      <c r="AP54" s="996">
        <f t="shared" si="44"/>
        <v>10848304.914714053</v>
      </c>
      <c r="AQ54" s="997"/>
      <c r="AR54" s="992">
        <f t="shared" ref="AR54" si="116">+AR53</f>
        <v>14499903.553104576</v>
      </c>
      <c r="AS54" s="991">
        <f>AS53</f>
        <v>287363.90196078434</v>
      </c>
      <c r="AT54" s="996">
        <f t="shared" si="46"/>
        <v>14212539.651143791</v>
      </c>
      <c r="AU54" s="997"/>
      <c r="AV54" s="992">
        <f t="shared" ref="AV54" si="117">+AV53</f>
        <v>16804145.098039217</v>
      </c>
      <c r="AW54" s="991">
        <f>AW53</f>
        <v>331388.23529411765</v>
      </c>
      <c r="AX54" s="996">
        <f t="shared" si="48"/>
        <v>16472756.862745099</v>
      </c>
      <c r="AY54" s="997"/>
      <c r="AZ54" s="992">
        <f t="shared" ref="AZ54" si="118">+AZ53</f>
        <v>11353486.69117647</v>
      </c>
      <c r="BA54" s="991">
        <f>BA53</f>
        <v>222799.41176470587</v>
      </c>
      <c r="BB54" s="996">
        <f t="shared" si="50"/>
        <v>11130687.279411765</v>
      </c>
      <c r="BC54" s="997"/>
      <c r="BD54" s="992">
        <f>+BD53</f>
        <v>91752964</v>
      </c>
      <c r="BE54" s="817">
        <f>+BE53</f>
        <v>1274346.7222222222</v>
      </c>
      <c r="BF54" s="996">
        <f>+BD54-BE54</f>
        <v>90478617.277777776</v>
      </c>
      <c r="BG54" s="997"/>
      <c r="BH54" s="992">
        <f>+BH53</f>
        <v>13726825</v>
      </c>
      <c r="BI54" s="817">
        <f>+BI53</f>
        <v>168220.89460784313</v>
      </c>
      <c r="BJ54" s="996">
        <f>+BH54-BI54</f>
        <v>13558604.105392156</v>
      </c>
      <c r="BK54" s="997"/>
      <c r="BL54" s="992">
        <f>+BL53</f>
        <v>3123926</v>
      </c>
      <c r="BM54" s="817">
        <f>+BM53</f>
        <v>38283.406862745091</v>
      </c>
      <c r="BN54" s="996">
        <f>+BL54-BM54</f>
        <v>3085642.5931372549</v>
      </c>
      <c r="BO54" s="997"/>
      <c r="BP54" s="992">
        <f t="shared" ref="BP54" si="119">+BP53</f>
        <v>2385118.5866013071</v>
      </c>
      <c r="BQ54" s="991">
        <f t="shared" ref="BQ54" si="120">BQ53</f>
        <v>47742.156862745098</v>
      </c>
      <c r="BR54" s="996">
        <f t="shared" si="53"/>
        <v>2337376.4297385621</v>
      </c>
      <c r="BS54" s="997"/>
      <c r="BT54" s="992">
        <f>+BT53</f>
        <v>38982714</v>
      </c>
      <c r="BU54" s="817">
        <f>+BU53</f>
        <v>414032.09313725494</v>
      </c>
      <c r="BV54" s="996">
        <f>+BT54-BU54</f>
        <v>38568681.906862743</v>
      </c>
      <c r="BW54" s="997"/>
      <c r="BX54" s="992">
        <f>+BX53</f>
        <v>163403333</v>
      </c>
      <c r="BY54" s="817">
        <f>+BY53</f>
        <v>2002491.8259803923</v>
      </c>
      <c r="BZ54" s="996">
        <f>+BX54-BY54</f>
        <v>161400841.1740196</v>
      </c>
      <c r="CA54" s="997"/>
      <c r="CB54" s="992"/>
      <c r="CC54" s="996"/>
      <c r="CD54" s="996"/>
      <c r="CE54" s="997"/>
      <c r="CF54" s="992">
        <f t="shared" ref="CF54" si="121">+CF53</f>
        <v>13392757.511437908</v>
      </c>
      <c r="CG54" s="991">
        <f t="shared" ref="CG54" si="122">CG53</f>
        <v>268078.54901960783</v>
      </c>
      <c r="CH54" s="996">
        <f t="shared" si="56"/>
        <v>13124678.962418299</v>
      </c>
      <c r="CI54" s="997"/>
      <c r="CJ54" s="992">
        <f t="shared" ref="CJ54" si="123">+CJ53</f>
        <v>14448785.669117646</v>
      </c>
      <c r="CK54" s="991">
        <f>CK53</f>
        <v>286824.5294117647</v>
      </c>
      <c r="CL54" s="996">
        <f t="shared" si="58"/>
        <v>14161961.139705881</v>
      </c>
      <c r="CM54" s="997"/>
      <c r="CN54" s="992">
        <f t="shared" ref="CN54" si="124">+CN53</f>
        <v>10408028.068627451</v>
      </c>
      <c r="CO54" s="991">
        <f t="shared" ref="CO54:CO56" si="125">CO53</f>
        <v>210086.35294117648</v>
      </c>
      <c r="CP54" s="996">
        <f t="shared" si="61"/>
        <v>10197941.715686275</v>
      </c>
      <c r="CQ54" s="997"/>
      <c r="CR54" s="992">
        <f t="shared" ref="CR54" si="126">+CR53</f>
        <v>3009436.1233660132</v>
      </c>
      <c r="CS54" s="991">
        <f t="shared" ref="CS54:CS56" si="127">CS53</f>
        <v>60238.921568627447</v>
      </c>
      <c r="CT54" s="996">
        <f t="shared" si="64"/>
        <v>2949197.2017973857</v>
      </c>
      <c r="CU54" s="997"/>
      <c r="CV54" s="992">
        <f t="shared" ref="CV54" si="128">+CV53</f>
        <v>11097480.700980393</v>
      </c>
      <c r="CW54" s="991">
        <f t="shared" ref="CW54:CW56" si="129">CW53</f>
        <v>225520.35294117648</v>
      </c>
      <c r="CX54" s="996">
        <f t="shared" si="67"/>
        <v>10871960.348039217</v>
      </c>
      <c r="CY54" s="997"/>
      <c r="CZ54" s="992">
        <f t="shared" ref="CZ54" si="130">+CZ53</f>
        <v>16383594.265522875</v>
      </c>
      <c r="DA54" s="991">
        <f>DA53</f>
        <v>324695.50980392157</v>
      </c>
      <c r="DB54" s="996">
        <f t="shared" si="69"/>
        <v>16058898.755718954</v>
      </c>
      <c r="DC54" s="997"/>
      <c r="DD54" s="992">
        <f t="shared" ref="DD54" si="131">+DD53</f>
        <v>18655719.460784312</v>
      </c>
      <c r="DE54" s="991">
        <f>DE53</f>
        <v>370336.86274509801</v>
      </c>
      <c r="DF54" s="996">
        <f t="shared" si="71"/>
        <v>18285382.598039214</v>
      </c>
      <c r="DG54" s="997"/>
      <c r="DH54" s="992">
        <f>+DH53</f>
        <v>10471304</v>
      </c>
      <c r="DI54" s="817">
        <f>+DI53</f>
        <v>8554.986928104574</v>
      </c>
      <c r="DJ54" s="996">
        <f>+DH54-DI54</f>
        <v>10462749.013071895</v>
      </c>
      <c r="DK54" s="997"/>
      <c r="DL54" s="992">
        <f>+DL53</f>
        <v>18897652</v>
      </c>
      <c r="DM54" s="817">
        <f>+DM53</f>
        <v>138953.32352941178</v>
      </c>
      <c r="DN54" s="996">
        <f>+DL54-DM54</f>
        <v>18758698.676470589</v>
      </c>
      <c r="DO54" s="997"/>
      <c r="DP54" s="992">
        <f t="shared" ref="DP54" si="132">+DP53</f>
        <v>12046563.988562092</v>
      </c>
      <c r="DQ54" s="991">
        <f>DQ53</f>
        <v>236400.27450980392</v>
      </c>
      <c r="DR54" s="996">
        <f t="shared" si="73"/>
        <v>11810163.714052288</v>
      </c>
      <c r="DS54" s="997"/>
      <c r="DT54" s="992">
        <f t="shared" ref="DT54" si="133">+DT53</f>
        <v>90316766.847222224</v>
      </c>
      <c r="DU54" s="991">
        <f>DU53</f>
        <v>1789927.6666666667</v>
      </c>
      <c r="DV54" s="996">
        <f t="shared" si="75"/>
        <v>88526839.180555552</v>
      </c>
      <c r="DW54" s="997"/>
      <c r="DX54" s="992">
        <f>+DX53</f>
        <v>32204664</v>
      </c>
      <c r="DY54" s="817">
        <f>+DY53</f>
        <v>342043</v>
      </c>
      <c r="DZ54" s="996">
        <f>+DX54-DY54</f>
        <v>31862621</v>
      </c>
      <c r="EA54" s="997"/>
      <c r="EB54" s="992"/>
      <c r="EC54" s="996"/>
      <c r="ED54" s="996"/>
      <c r="EE54" s="997"/>
      <c r="EF54" s="992">
        <f t="shared" ref="EF54" si="134">+EF53</f>
        <v>84344221.390522882</v>
      </c>
      <c r="EG54" s="991">
        <f>EG53</f>
        <v>1660591.7254901961</v>
      </c>
      <c r="EH54" s="996">
        <f t="shared" si="77"/>
        <v>82683629.665032685</v>
      </c>
      <c r="EI54" s="997"/>
      <c r="EJ54" s="992">
        <f>+EJ53</f>
        <v>1301988</v>
      </c>
      <c r="EK54" s="817">
        <f>+EK53</f>
        <v>22338.029411764706</v>
      </c>
      <c r="EL54" s="996">
        <f>+EJ54-EK54</f>
        <v>1279649.9705882352</v>
      </c>
      <c r="EM54" s="997"/>
      <c r="EN54" s="992">
        <f t="shared" ref="EN54" si="135">+EN53</f>
        <v>203394.57352941178</v>
      </c>
      <c r="EO54" s="991">
        <f>EO53</f>
        <v>4030.9411764705883</v>
      </c>
      <c r="EP54" s="996">
        <f t="shared" si="79"/>
        <v>199363.63235294117</v>
      </c>
      <c r="EQ54" s="997"/>
      <c r="ER54" s="992">
        <f>+ER53</f>
        <v>23483583</v>
      </c>
      <c r="ES54" s="817">
        <f>+ES53</f>
        <v>249417.13970588235</v>
      </c>
      <c r="ET54" s="996">
        <f>+ER54-ES54</f>
        <v>23234165.860294119</v>
      </c>
      <c r="EU54" s="997"/>
      <c r="EV54" s="992">
        <f t="shared" ref="EV54" si="136">+EV53</f>
        <v>1464183.2393790849</v>
      </c>
      <c r="EW54" s="991">
        <f>EW53</f>
        <v>28874.607843137255</v>
      </c>
      <c r="EX54" s="996">
        <f t="shared" si="81"/>
        <v>1435308.6315359476</v>
      </c>
      <c r="EY54" s="997"/>
      <c r="EZ54" s="992"/>
      <c r="FA54" s="996"/>
      <c r="FB54" s="996"/>
      <c r="FC54" s="997"/>
      <c r="FD54" s="992">
        <f t="shared" ref="FD54" si="137">+FD53</f>
        <v>6182166.4199346406</v>
      </c>
      <c r="FE54" s="991">
        <f>FE53</f>
        <v>125632.50980392157</v>
      </c>
      <c r="FF54" s="996">
        <f t="shared" si="83"/>
        <v>6056533.9101307187</v>
      </c>
      <c r="FG54" s="997"/>
      <c r="FH54" s="992">
        <f>+FH53</f>
        <v>5246724</v>
      </c>
      <c r="FI54" s="817">
        <f>+FI53</f>
        <v>55725.009803921566</v>
      </c>
      <c r="FJ54" s="996">
        <f>+FH54-FI54</f>
        <v>5190998.9901960781</v>
      </c>
      <c r="FK54" s="997"/>
      <c r="FL54" s="992">
        <f t="shared" ref="FL54" si="138">+FL53</f>
        <v>3110424.9411764708</v>
      </c>
      <c r="FM54" s="991">
        <f>FM53</f>
        <v>62678.588235294119</v>
      </c>
      <c r="FN54" s="996">
        <f t="shared" si="85"/>
        <v>3047746.3529411769</v>
      </c>
      <c r="FO54" s="997"/>
      <c r="FP54" s="992">
        <f t="shared" ref="FP54" si="139">+FP53</f>
        <v>21427953.698529411</v>
      </c>
      <c r="FQ54" s="991">
        <f>FQ53</f>
        <v>429633.15686274512</v>
      </c>
      <c r="FR54" s="996">
        <f t="shared" si="87"/>
        <v>20998320.541666664</v>
      </c>
      <c r="FS54" s="997"/>
      <c r="FT54" s="992">
        <f t="shared" ref="FT54" si="140">+FT53</f>
        <v>4733220.625</v>
      </c>
      <c r="FU54" s="991">
        <f>FU53</f>
        <v>94901.666666666672</v>
      </c>
      <c r="FV54" s="996">
        <f t="shared" si="89"/>
        <v>4638318.958333333</v>
      </c>
      <c r="FW54" s="997"/>
      <c r="FX54" s="992">
        <f t="shared" ref="FX54" si="141">+FX53</f>
        <v>20756671.393790852</v>
      </c>
      <c r="FY54" s="991">
        <f>FY53</f>
        <v>419679.96078431373</v>
      </c>
      <c r="FZ54" s="996">
        <f t="shared" si="91"/>
        <v>20336991.43300654</v>
      </c>
      <c r="GA54" s="997"/>
      <c r="GB54" s="992">
        <f t="shared" ref="GB54" si="142">+GB53</f>
        <v>3441411.3602941176</v>
      </c>
      <c r="GC54" s="991">
        <f>GC53</f>
        <v>69699.470588235301</v>
      </c>
      <c r="GD54" s="996">
        <f t="shared" si="93"/>
        <v>3371711.8897058824</v>
      </c>
      <c r="GE54" s="997"/>
      <c r="GF54" s="992">
        <f t="shared" ref="GF54" si="143">+GF53</f>
        <v>3270528.602124183</v>
      </c>
      <c r="GG54" s="991">
        <f>GG53</f>
        <v>65794.372549019608</v>
      </c>
      <c r="GH54" s="996">
        <f t="shared" si="95"/>
        <v>3204734.2295751632</v>
      </c>
      <c r="GI54" s="997"/>
      <c r="GJ54" s="992">
        <f t="shared" ref="GJ54" si="144">+GJ53</f>
        <v>755618.59803921566</v>
      </c>
      <c r="GK54" s="991">
        <f>GK53</f>
        <v>15277.882352941177</v>
      </c>
      <c r="GL54" s="996">
        <f t="shared" si="97"/>
        <v>740340.71568627446</v>
      </c>
      <c r="GM54" s="997"/>
      <c r="GN54" s="992">
        <f t="shared" ref="GN54" si="145">+GN53</f>
        <v>6155565.7116013076</v>
      </c>
      <c r="GO54" s="991">
        <f>GO53</f>
        <v>121791.90196078431</v>
      </c>
      <c r="GP54" s="996">
        <f t="shared" si="99"/>
        <v>6033773.809640523</v>
      </c>
      <c r="GQ54" s="997"/>
      <c r="GR54" s="992">
        <f>+GR53</f>
        <v>23947642</v>
      </c>
      <c r="GS54" s="817">
        <f>+GS53</f>
        <v>19565.06699346405</v>
      </c>
      <c r="GT54" s="996">
        <f>+GR54-GS54</f>
        <v>23928076.933006536</v>
      </c>
      <c r="GU54" s="997"/>
      <c r="GV54" s="992"/>
      <c r="GW54" s="996"/>
      <c r="GX54" s="996"/>
      <c r="GY54" s="997"/>
      <c r="GZ54" s="992"/>
      <c r="HA54" s="996"/>
      <c r="HB54" s="996"/>
      <c r="HC54" s="997"/>
      <c r="HD54" s="992"/>
      <c r="HE54" s="996"/>
      <c r="HF54" s="996"/>
      <c r="HG54" s="997"/>
      <c r="HH54" s="992"/>
      <c r="HI54" s="996"/>
      <c r="HJ54" s="996"/>
      <c r="HK54" s="997"/>
      <c r="HL54" s="992"/>
      <c r="HM54" s="996"/>
      <c r="HN54" s="996"/>
      <c r="HO54" s="997"/>
      <c r="HP54" s="992"/>
      <c r="HQ54" s="996"/>
      <c r="HR54" s="996"/>
      <c r="HS54" s="997"/>
      <c r="HT54" s="992">
        <f>+HT53</f>
        <v>108763</v>
      </c>
      <c r="HU54" s="817">
        <f>+HU53</f>
        <v>88.858660130718945</v>
      </c>
      <c r="HV54" s="996">
        <f>+HT54-HU54</f>
        <v>108674.14133986928</v>
      </c>
      <c r="HW54" s="997"/>
      <c r="HX54" s="992">
        <f>+HX53</f>
        <v>75695</v>
      </c>
      <c r="HY54" s="817">
        <f>+HY53</f>
        <v>309.21160130718954</v>
      </c>
      <c r="HZ54" s="996">
        <f>+HX54-HY54</f>
        <v>75385.788398692806</v>
      </c>
      <c r="IA54" s="997"/>
      <c r="IB54" s="992"/>
      <c r="IC54" s="996"/>
      <c r="ID54" s="996"/>
      <c r="IE54" s="997"/>
      <c r="IF54" s="992"/>
      <c r="IG54" s="996"/>
      <c r="IH54" s="996"/>
      <c r="II54" s="997"/>
      <c r="IJ54" s="992"/>
      <c r="IK54" s="996"/>
      <c r="IL54" s="996"/>
      <c r="IM54" s="997"/>
      <c r="IN54" s="992"/>
      <c r="IO54" s="996"/>
      <c r="IP54" s="996"/>
      <c r="IQ54" s="997"/>
      <c r="IR54" s="992"/>
      <c r="IS54" s="996"/>
      <c r="IT54" s="996"/>
      <c r="IU54" s="997"/>
      <c r="IV54" s="992"/>
      <c r="IW54" s="996"/>
      <c r="IX54" s="996"/>
      <c r="IY54" s="997"/>
      <c r="IZ54" s="992"/>
      <c r="JA54" s="996"/>
      <c r="JB54" s="996"/>
      <c r="JC54" s="997"/>
      <c r="JD54" s="992"/>
      <c r="JE54" s="996"/>
      <c r="JF54" s="996"/>
      <c r="JG54" s="997"/>
      <c r="JH54" s="992"/>
      <c r="JI54" s="996"/>
      <c r="JJ54" s="996"/>
      <c r="JK54" s="997"/>
      <c r="JL54" s="992"/>
      <c r="JM54" s="996"/>
      <c r="JN54" s="996"/>
      <c r="JO54" s="997"/>
      <c r="JP54" s="992"/>
      <c r="JQ54" s="996"/>
      <c r="JR54" s="996"/>
      <c r="JS54" s="997"/>
      <c r="JT54" s="992"/>
      <c r="JU54" s="996"/>
      <c r="JV54" s="996"/>
      <c r="JW54" s="997"/>
      <c r="JX54" s="992"/>
      <c r="JY54" s="996"/>
      <c r="JZ54" s="996"/>
      <c r="KA54" s="997"/>
      <c r="KB54" s="992"/>
      <c r="KC54" s="996"/>
      <c r="KD54" s="996"/>
      <c r="KE54" s="997"/>
      <c r="KF54" s="992"/>
      <c r="KG54" s="996"/>
      <c r="KH54" s="996"/>
      <c r="KI54" s="997"/>
      <c r="KJ54" s="992"/>
      <c r="KK54" s="996"/>
      <c r="KL54" s="996"/>
      <c r="KM54" s="997"/>
      <c r="KN54" s="992"/>
      <c r="KO54" s="996"/>
      <c r="KP54" s="996"/>
      <c r="KQ54" s="997"/>
      <c r="KR54" s="992"/>
      <c r="KS54" s="996"/>
      <c r="KT54" s="996"/>
      <c r="KU54" s="997"/>
      <c r="KV54" s="992"/>
      <c r="KW54" s="996"/>
      <c r="KX54" s="996"/>
      <c r="KY54" s="997"/>
      <c r="KZ54" s="992"/>
      <c r="LA54" s="996"/>
      <c r="LB54" s="996"/>
      <c r="LC54" s="997"/>
      <c r="LD54" s="992"/>
      <c r="LE54" s="996"/>
      <c r="LF54" s="996"/>
      <c r="LG54" s="997"/>
      <c r="LH54" s="992"/>
      <c r="LI54" s="996"/>
      <c r="LJ54" s="996"/>
      <c r="LK54" s="997"/>
      <c r="LL54" s="992"/>
      <c r="LM54" s="996"/>
      <c r="LN54" s="996"/>
      <c r="LO54" s="997"/>
      <c r="LP54" s="992"/>
      <c r="LQ54" s="996"/>
      <c r="LR54" s="996"/>
      <c r="LS54" s="997"/>
      <c r="LT54" s="992"/>
      <c r="LU54" s="996"/>
      <c r="LV54" s="996"/>
      <c r="LW54" s="997"/>
      <c r="LX54" s="992"/>
      <c r="LY54" s="996"/>
      <c r="LZ54" s="996"/>
      <c r="MA54" s="997"/>
      <c r="MB54" s="992"/>
      <c r="MC54" s="996"/>
      <c r="MD54" s="996"/>
      <c r="ME54" s="997"/>
      <c r="MF54" s="992"/>
      <c r="MG54" s="996"/>
      <c r="MH54" s="996"/>
      <c r="MI54" s="997"/>
      <c r="MJ54" s="992"/>
      <c r="MK54" s="996"/>
      <c r="ML54" s="996"/>
      <c r="MM54" s="997"/>
      <c r="MN54" s="992"/>
      <c r="MO54" s="996"/>
      <c r="MP54" s="996"/>
      <c r="MQ54" s="997"/>
      <c r="MR54" s="992"/>
      <c r="MS54" s="996"/>
      <c r="MT54" s="996"/>
      <c r="MU54" s="997"/>
      <c r="MV54" s="992"/>
      <c r="MW54" s="996"/>
      <c r="MX54" s="996"/>
      <c r="MY54" s="997"/>
      <c r="MZ54" s="992"/>
      <c r="NA54" s="996"/>
      <c r="NB54" s="996"/>
      <c r="NC54" s="997"/>
      <c r="ND54" s="992"/>
      <c r="NE54" s="996"/>
      <c r="NF54" s="996"/>
      <c r="NG54" s="997"/>
      <c r="NH54" s="998"/>
      <c r="NI54" s="992"/>
      <c r="NJ54" s="997"/>
      <c r="NL54" s="977"/>
    </row>
    <row r="55" spans="1:376">
      <c r="A55" s="874">
        <v>32</v>
      </c>
      <c r="B55" s="992" t="str">
        <f t="shared" si="1"/>
        <v>W / O incentive</v>
      </c>
      <c r="C55" s="993">
        <f t="shared" si="2"/>
        <v>2012</v>
      </c>
      <c r="D55" s="992">
        <f t="shared" ref="D55" si="146">+F54</f>
        <v>1760406.2263071893</v>
      </c>
      <c r="E55" s="991">
        <f t="shared" ref="E55" si="147">+D$38/51</f>
        <v>37488.686274509804</v>
      </c>
      <c r="F55" s="996">
        <f t="shared" si="3"/>
        <v>1722917.5400326794</v>
      </c>
      <c r="G55" s="997"/>
      <c r="H55" s="992">
        <f t="shared" ref="H55" si="148">+J54</f>
        <v>965088.43872549036</v>
      </c>
      <c r="I55" s="991">
        <f t="shared" ref="I55" si="149">+H$38/51</f>
        <v>21114.058823529413</v>
      </c>
      <c r="J55" s="996">
        <f t="shared" si="0"/>
        <v>943974.37990196096</v>
      </c>
      <c r="K55" s="997"/>
      <c r="L55" s="992"/>
      <c r="M55" s="991"/>
      <c r="N55" s="996"/>
      <c r="O55" s="997"/>
      <c r="P55" s="992">
        <f t="shared" ref="P55" si="150">+R54</f>
        <v>7516907.1838235287</v>
      </c>
      <c r="Q55" s="991">
        <f t="shared" ref="Q55" si="151">+P$38/51</f>
        <v>161220.5294117647</v>
      </c>
      <c r="R55" s="996">
        <f t="shared" si="4"/>
        <v>7355686.6544117639</v>
      </c>
      <c r="S55" s="997"/>
      <c r="T55" s="992">
        <f t="shared" ref="T55" si="152">+V54</f>
        <v>6603623.1617647056</v>
      </c>
      <c r="U55" s="991">
        <f t="shared" ref="U55" si="153">+T$38/51</f>
        <v>140877.29411764705</v>
      </c>
      <c r="V55" s="996">
        <f t="shared" si="5"/>
        <v>6462745.8676470583</v>
      </c>
      <c r="W55" s="997"/>
      <c r="X55" s="992">
        <f t="shared" ref="X55" si="154">+Z54</f>
        <v>2286083.9428104572</v>
      </c>
      <c r="Y55" s="991">
        <f t="shared" ref="Y55" si="155">+X$38/51</f>
        <v>47339.098039215685</v>
      </c>
      <c r="Z55" s="996">
        <f t="shared" si="34"/>
        <v>2238744.8447712413</v>
      </c>
      <c r="AA55" s="997"/>
      <c r="AB55" s="992">
        <f t="shared" ref="AB55" si="156">+AD54</f>
        <v>20761374.313725494</v>
      </c>
      <c r="AC55" s="991">
        <f t="shared" ref="AC55" si="157">+AB$38/51</f>
        <v>428437.64705882355</v>
      </c>
      <c r="AD55" s="996">
        <f t="shared" si="37"/>
        <v>20332936.666666672</v>
      </c>
      <c r="AE55" s="997"/>
      <c r="AF55" s="992">
        <f t="shared" ref="AF55" si="158">+AH54</f>
        <v>43284167.136437908</v>
      </c>
      <c r="AG55" s="991">
        <f t="shared" ref="AG55" si="159">+AF$38/51</f>
        <v>884102.13725490193</v>
      </c>
      <c r="AH55" s="996">
        <f t="shared" si="40"/>
        <v>42400064.999183007</v>
      </c>
      <c r="AI55" s="997"/>
      <c r="AJ55" s="992">
        <f t="shared" ref="AJ55" si="160">+AL54</f>
        <v>13192654.411764706</v>
      </c>
      <c r="AK55" s="991">
        <f t="shared" ref="AK55" si="161">+AJ$38/51</f>
        <v>266294.1176470588</v>
      </c>
      <c r="AL55" s="996">
        <f t="shared" si="42"/>
        <v>12926360.294117646</v>
      </c>
      <c r="AM55" s="997"/>
      <c r="AN55" s="992">
        <f t="shared" ref="AN55" si="162">+AP54</f>
        <v>10848304.914714053</v>
      </c>
      <c r="AO55" s="991">
        <f t="shared" ref="AO55" si="163">+AN$38/51</f>
        <v>220083.9543137255</v>
      </c>
      <c r="AP55" s="996">
        <f t="shared" si="44"/>
        <v>10628220.960400328</v>
      </c>
      <c r="AQ55" s="997"/>
      <c r="AR55" s="992">
        <f t="shared" ref="AR55" si="164">+AT54</f>
        <v>14212539.651143791</v>
      </c>
      <c r="AS55" s="991">
        <f t="shared" ref="AS55" si="165">+AR$38/51</f>
        <v>287363.90196078434</v>
      </c>
      <c r="AT55" s="996">
        <f t="shared" si="46"/>
        <v>13925175.749183007</v>
      </c>
      <c r="AU55" s="997"/>
      <c r="AV55" s="992">
        <f t="shared" ref="AV55" si="166">+AX54</f>
        <v>16472756.862745099</v>
      </c>
      <c r="AW55" s="991">
        <f t="shared" ref="AW55" si="167">+AV$38/51</f>
        <v>331388.23529411765</v>
      </c>
      <c r="AX55" s="996">
        <f t="shared" si="48"/>
        <v>16141368.62745098</v>
      </c>
      <c r="AY55" s="997"/>
      <c r="AZ55" s="992">
        <f t="shared" ref="AZ55" si="168">+BB54</f>
        <v>11130687.279411765</v>
      </c>
      <c r="BA55" s="991">
        <f t="shared" ref="BA55" si="169">+AZ$38/51</f>
        <v>222799.41176470587</v>
      </c>
      <c r="BB55" s="996">
        <f t="shared" si="50"/>
        <v>10907887.867647059</v>
      </c>
      <c r="BC55" s="997"/>
      <c r="BD55" s="992">
        <f t="shared" ref="BD55" si="170">+BF54</f>
        <v>90478617.277777776</v>
      </c>
      <c r="BE55" s="991">
        <f>+BD$38/51</f>
        <v>1799077.7254901961</v>
      </c>
      <c r="BF55" s="996">
        <f t="shared" ref="BF55:BF62" si="171">+BD55-BE55</f>
        <v>88679539.552287579</v>
      </c>
      <c r="BG55" s="997"/>
      <c r="BH55" s="992">
        <f t="shared" ref="BH55" si="172">+BJ54</f>
        <v>13558604.105392156</v>
      </c>
      <c r="BI55" s="991">
        <f>+BH$38/51</f>
        <v>269153.43137254904</v>
      </c>
      <c r="BJ55" s="996">
        <f t="shared" ref="BJ55:BJ62" si="173">+BH55-BI55</f>
        <v>13289450.674019607</v>
      </c>
      <c r="BK55" s="997"/>
      <c r="BL55" s="992">
        <f t="shared" ref="BL55" si="174">+BN54</f>
        <v>3085642.5931372549</v>
      </c>
      <c r="BM55" s="991">
        <f>+BL$38/51</f>
        <v>61253.450980392154</v>
      </c>
      <c r="BN55" s="996">
        <f t="shared" ref="BN55:BN62" si="175">+BL55-BM55</f>
        <v>3024389.1421568627</v>
      </c>
      <c r="BO55" s="997"/>
      <c r="BP55" s="992">
        <f t="shared" ref="BP55" si="176">+BR54</f>
        <v>2337376.4297385621</v>
      </c>
      <c r="BQ55" s="991">
        <f t="shared" ref="BQ55" si="177">+BP$38/51</f>
        <v>47742.156862745098</v>
      </c>
      <c r="BR55" s="996">
        <f t="shared" si="53"/>
        <v>2289634.272875817</v>
      </c>
      <c r="BS55" s="997"/>
      <c r="BT55" s="992">
        <f t="shared" ref="BT55" si="178">+BV54</f>
        <v>38568681.906862743</v>
      </c>
      <c r="BU55" s="991">
        <f>+BT$38/51</f>
        <v>764366.9411764706</v>
      </c>
      <c r="BV55" s="996">
        <f t="shared" ref="BV55:BV62" si="179">+BT55-BU55</f>
        <v>37804314.965686269</v>
      </c>
      <c r="BW55" s="997"/>
      <c r="BX55" s="992">
        <f t="shared" ref="BX55" si="180">+BZ54</f>
        <v>161400841.1740196</v>
      </c>
      <c r="BY55" s="991">
        <f>+BX$38/51</f>
        <v>3203986.9215686275</v>
      </c>
      <c r="BZ55" s="996">
        <f t="shared" ref="BZ55:BZ62" si="181">+BX55-BY55</f>
        <v>158196854.25245097</v>
      </c>
      <c r="CA55" s="997"/>
      <c r="CB55" s="992">
        <v>0</v>
      </c>
      <c r="CC55" s="996">
        <f t="shared" ref="CC55" si="182">+CB$39</f>
        <v>0</v>
      </c>
      <c r="CD55" s="996">
        <f t="shared" ref="CD55:CD62" si="183">+CB55-CC55</f>
        <v>0</v>
      </c>
      <c r="CE55" s="997"/>
      <c r="CF55" s="992">
        <f t="shared" ref="CF55" si="184">+CH54</f>
        <v>13124678.962418299</v>
      </c>
      <c r="CG55" s="991">
        <f t="shared" ref="CG55" si="185">+CF$38/51</f>
        <v>268078.54901960783</v>
      </c>
      <c r="CH55" s="996">
        <f t="shared" si="56"/>
        <v>12856600.413398691</v>
      </c>
      <c r="CI55" s="997"/>
      <c r="CJ55" s="992">
        <f t="shared" ref="CJ55" si="186">+CL54</f>
        <v>14161961.139705881</v>
      </c>
      <c r="CK55" s="991">
        <f t="shared" ref="CK55" si="187">+CJ$38/51</f>
        <v>286824.5294117647</v>
      </c>
      <c r="CL55" s="996">
        <f t="shared" si="58"/>
        <v>13875136.610294117</v>
      </c>
      <c r="CM55" s="997"/>
      <c r="CN55" s="992">
        <f t="shared" ref="CN55" si="188">+CP54</f>
        <v>10197941.715686275</v>
      </c>
      <c r="CO55" s="991">
        <f t="shared" si="60"/>
        <v>210086.35294117648</v>
      </c>
      <c r="CP55" s="996">
        <f t="shared" si="61"/>
        <v>9987855.3627450988</v>
      </c>
      <c r="CQ55" s="997"/>
      <c r="CR55" s="992">
        <f t="shared" ref="CR55" si="189">+CT54</f>
        <v>2949197.2017973857</v>
      </c>
      <c r="CS55" s="991">
        <f t="shared" si="63"/>
        <v>60238.921568627447</v>
      </c>
      <c r="CT55" s="996">
        <f t="shared" si="64"/>
        <v>2888958.2802287582</v>
      </c>
      <c r="CU55" s="997"/>
      <c r="CV55" s="992">
        <f t="shared" ref="CV55" si="190">+CX54</f>
        <v>10871960.348039217</v>
      </c>
      <c r="CW55" s="991">
        <f t="shared" si="66"/>
        <v>225520.35294117648</v>
      </c>
      <c r="CX55" s="996">
        <f t="shared" si="67"/>
        <v>10646439.995098041</v>
      </c>
      <c r="CY55" s="997"/>
      <c r="CZ55" s="992">
        <f t="shared" ref="CZ55" si="191">+DB54</f>
        <v>16058898.755718954</v>
      </c>
      <c r="DA55" s="991">
        <f t="shared" ref="DA55" si="192">+CZ$38/51</f>
        <v>324695.50980392157</v>
      </c>
      <c r="DB55" s="996">
        <f t="shared" si="69"/>
        <v>15734203.245915033</v>
      </c>
      <c r="DC55" s="997"/>
      <c r="DD55" s="992">
        <f t="shared" ref="DD55" si="193">+DF54</f>
        <v>18285382.598039214</v>
      </c>
      <c r="DE55" s="991">
        <f t="shared" ref="DE55" si="194">+DD$38/51</f>
        <v>370336.86274509801</v>
      </c>
      <c r="DF55" s="996">
        <f t="shared" si="71"/>
        <v>17915045.735294115</v>
      </c>
      <c r="DG55" s="997"/>
      <c r="DH55" s="992">
        <f t="shared" ref="DH55" si="195">+DJ54</f>
        <v>10462749.013071895</v>
      </c>
      <c r="DI55" s="991">
        <f>+DH$38/51</f>
        <v>205319.68627450979</v>
      </c>
      <c r="DJ55" s="996">
        <f t="shared" ref="DJ55:DJ62" si="196">+DH55-DI55</f>
        <v>10257429.326797385</v>
      </c>
      <c r="DK55" s="997"/>
      <c r="DL55" s="992">
        <f t="shared" ref="DL55" si="197">+DN54</f>
        <v>18758698.676470589</v>
      </c>
      <c r="DM55" s="991">
        <f>+DL$38/51</f>
        <v>370542.19607843139</v>
      </c>
      <c r="DN55" s="996">
        <f t="shared" ref="DN55:DN62" si="198">+DL55-DM55</f>
        <v>18388156.480392158</v>
      </c>
      <c r="DO55" s="997"/>
      <c r="DP55" s="992">
        <f t="shared" ref="DP55" si="199">+DR54</f>
        <v>11810163.714052288</v>
      </c>
      <c r="DQ55" s="991">
        <f>+DP$38/51</f>
        <v>236400.27450980392</v>
      </c>
      <c r="DR55" s="996">
        <f t="shared" si="73"/>
        <v>11573763.439542484</v>
      </c>
      <c r="DS55" s="997"/>
      <c r="DT55" s="992">
        <f t="shared" ref="DT55" si="200">+DV54</f>
        <v>88526839.180555552</v>
      </c>
      <c r="DU55" s="991">
        <f>+DT$38/51</f>
        <v>1789927.6666666667</v>
      </c>
      <c r="DV55" s="996">
        <f t="shared" si="75"/>
        <v>86736911.513888881</v>
      </c>
      <c r="DW55" s="997"/>
      <c r="DX55" s="992">
        <f t="shared" ref="DX55" si="201">+DZ54</f>
        <v>31862621</v>
      </c>
      <c r="DY55" s="991">
        <f>+DX$38/51</f>
        <v>631464</v>
      </c>
      <c r="DZ55" s="996">
        <f t="shared" ref="DZ55:DZ62" si="202">+DX55-DY55</f>
        <v>31231157</v>
      </c>
      <c r="EA55" s="997"/>
      <c r="EB55" s="992">
        <f>+EB$38</f>
        <v>13426813</v>
      </c>
      <c r="EC55" s="817">
        <f>+EB$38/51/12*(12.5-EB$40)</f>
        <v>230361.98774509801</v>
      </c>
      <c r="ED55" s="996">
        <f>+EB55-EC55</f>
        <v>13196451.012254901</v>
      </c>
      <c r="EE55" s="997"/>
      <c r="EF55" s="992">
        <f t="shared" ref="EF55" si="203">+EH54</f>
        <v>82683629.665032685</v>
      </c>
      <c r="EG55" s="991">
        <f>+EF$38/51</f>
        <v>1660591.7254901961</v>
      </c>
      <c r="EH55" s="996">
        <f t="shared" si="77"/>
        <v>81023037.939542487</v>
      </c>
      <c r="EI55" s="997"/>
      <c r="EJ55" s="992">
        <f t="shared" ref="EJ55" si="204">+EL54</f>
        <v>1279649.9705882352</v>
      </c>
      <c r="EK55" s="991">
        <f>+EJ$38/51</f>
        <v>25529.176470588234</v>
      </c>
      <c r="EL55" s="996">
        <f t="shared" ref="EL55:EL62" si="205">+EJ55-EK55</f>
        <v>1254120.794117647</v>
      </c>
      <c r="EM55" s="997"/>
      <c r="EN55" s="992">
        <f t="shared" ref="EN55" si="206">+EP54</f>
        <v>199363.63235294117</v>
      </c>
      <c r="EO55" s="991">
        <f>+EN$38/51</f>
        <v>4030.9411764705883</v>
      </c>
      <c r="EP55" s="996">
        <f t="shared" si="79"/>
        <v>195332.69117647057</v>
      </c>
      <c r="EQ55" s="997"/>
      <c r="ER55" s="992">
        <f t="shared" ref="ER55" si="207">+ET54</f>
        <v>23234165.860294119</v>
      </c>
      <c r="ES55" s="991">
        <f>+ER$38/51</f>
        <v>460462.4117647059</v>
      </c>
      <c r="ET55" s="996">
        <f t="shared" ref="ET55:ET62" si="208">+ER55-ES55</f>
        <v>22773703.448529411</v>
      </c>
      <c r="EU55" s="997"/>
      <c r="EV55" s="992">
        <f t="shared" ref="EV55" si="209">+EX54</f>
        <v>1435308.6315359476</v>
      </c>
      <c r="EW55" s="991">
        <f>+EV$38/51</f>
        <v>28874.607843137255</v>
      </c>
      <c r="EX55" s="996">
        <f t="shared" si="81"/>
        <v>1406434.0236928102</v>
      </c>
      <c r="EY55" s="997"/>
      <c r="EZ55" s="992">
        <f>+EZ$38</f>
        <v>13475656</v>
      </c>
      <c r="FA55" s="817">
        <f>+EZ$38/51/12*(12.5-EZ$40)</f>
        <v>165142.84313725488</v>
      </c>
      <c r="FB55" s="996">
        <f>+EZ55-FA55</f>
        <v>13310513.156862745</v>
      </c>
      <c r="FC55" s="997"/>
      <c r="FD55" s="992">
        <f t="shared" ref="FD55" si="210">+FF54</f>
        <v>6056533.9101307187</v>
      </c>
      <c r="FE55" s="991">
        <f>+FD$38/51</f>
        <v>125632.50980392157</v>
      </c>
      <c r="FF55" s="996">
        <f t="shared" si="83"/>
        <v>5930901.4003267968</v>
      </c>
      <c r="FG55" s="997"/>
      <c r="FH55" s="992">
        <f t="shared" ref="FH55" si="211">+FJ54</f>
        <v>5190998.9901960781</v>
      </c>
      <c r="FI55" s="991">
        <f>+FH$38/51</f>
        <v>102876.94117647059</v>
      </c>
      <c r="FJ55" s="996">
        <f t="shared" ref="FJ55:FJ62" si="212">+FH55-FI55</f>
        <v>5088122.0490196077</v>
      </c>
      <c r="FK55" s="997"/>
      <c r="FL55" s="992">
        <f t="shared" ref="FL55" si="213">+FN54</f>
        <v>3047746.3529411769</v>
      </c>
      <c r="FM55" s="991">
        <f>+FL$38/51</f>
        <v>62678.588235294119</v>
      </c>
      <c r="FN55" s="996">
        <f t="shared" si="85"/>
        <v>2985067.7647058829</v>
      </c>
      <c r="FO55" s="997"/>
      <c r="FP55" s="992">
        <f t="shared" ref="FP55" si="214">+FR54</f>
        <v>20998320.541666664</v>
      </c>
      <c r="FQ55" s="991">
        <f>+FP$38/51</f>
        <v>429633.15686274512</v>
      </c>
      <c r="FR55" s="996">
        <f t="shared" si="87"/>
        <v>20568687.384803917</v>
      </c>
      <c r="FS55" s="997"/>
      <c r="FT55" s="992">
        <f t="shared" ref="FT55" si="215">+FV54</f>
        <v>4638318.958333333</v>
      </c>
      <c r="FU55" s="991">
        <f>+FT$38/51</f>
        <v>94901.666666666672</v>
      </c>
      <c r="FV55" s="996">
        <f t="shared" si="89"/>
        <v>4543417.291666666</v>
      </c>
      <c r="FW55" s="997"/>
      <c r="FX55" s="992">
        <f t="shared" ref="FX55" si="216">+FZ54</f>
        <v>20336991.43300654</v>
      </c>
      <c r="FY55" s="991">
        <f>+FX$38/51</f>
        <v>419679.96078431373</v>
      </c>
      <c r="FZ55" s="996">
        <f t="shared" si="91"/>
        <v>19917311.472222228</v>
      </c>
      <c r="GA55" s="997"/>
      <c r="GB55" s="992">
        <f t="shared" ref="GB55" si="217">+GD54</f>
        <v>3371711.8897058824</v>
      </c>
      <c r="GC55" s="991">
        <f>+GB$38/51</f>
        <v>69699.470588235301</v>
      </c>
      <c r="GD55" s="996">
        <f t="shared" si="93"/>
        <v>3302012.4191176472</v>
      </c>
      <c r="GE55" s="997"/>
      <c r="GF55" s="992">
        <f t="shared" ref="GF55" si="218">+GH54</f>
        <v>3204734.2295751632</v>
      </c>
      <c r="GG55" s="991">
        <f>+GF$38/51</f>
        <v>65794.372549019608</v>
      </c>
      <c r="GH55" s="996">
        <f t="shared" si="95"/>
        <v>3138939.8570261435</v>
      </c>
      <c r="GI55" s="997"/>
      <c r="GJ55" s="992">
        <f t="shared" ref="GJ55" si="219">+GL54</f>
        <v>740340.71568627446</v>
      </c>
      <c r="GK55" s="991">
        <f>+GJ$38/51</f>
        <v>15277.882352941177</v>
      </c>
      <c r="GL55" s="996">
        <f t="shared" si="97"/>
        <v>725062.83333333326</v>
      </c>
      <c r="GM55" s="997"/>
      <c r="GN55" s="992">
        <f t="shared" ref="GN55" si="220">+GP54</f>
        <v>6033773.809640523</v>
      </c>
      <c r="GO55" s="991">
        <f>+GN$38/51</f>
        <v>121791.90196078431</v>
      </c>
      <c r="GP55" s="996">
        <f t="shared" si="99"/>
        <v>5911981.9076797385</v>
      </c>
      <c r="GQ55" s="997"/>
      <c r="GR55" s="992">
        <f t="shared" ref="GR55" si="221">+GT54</f>
        <v>23928076.933006536</v>
      </c>
      <c r="GS55" s="991">
        <f>+GR$38/51</f>
        <v>469561.60784313723</v>
      </c>
      <c r="GT55" s="996">
        <f t="shared" ref="GT55:GT62" si="222">+GR55-GS55</f>
        <v>23458515.325163398</v>
      </c>
      <c r="GU55" s="997"/>
      <c r="GV55" s="992">
        <f>+GV$38</f>
        <v>21791010</v>
      </c>
      <c r="GW55" s="817">
        <f>+GV$38/51/12*(12.5-GV$40)</f>
        <v>267046.6911764706</v>
      </c>
      <c r="GX55" s="996">
        <f>+GV55-GW55</f>
        <v>21523963.30882353</v>
      </c>
      <c r="GY55" s="997"/>
      <c r="GZ55" s="992"/>
      <c r="HA55" s="996"/>
      <c r="HB55" s="996"/>
      <c r="HC55" s="997"/>
      <c r="HD55" s="992"/>
      <c r="HE55" s="996"/>
      <c r="HF55" s="996"/>
      <c r="HG55" s="997"/>
      <c r="HH55" s="992"/>
      <c r="HI55" s="996"/>
      <c r="HJ55" s="996"/>
      <c r="HK55" s="997"/>
      <c r="HL55" s="992"/>
      <c r="HM55" s="996"/>
      <c r="HN55" s="996"/>
      <c r="HO55" s="997"/>
      <c r="HP55" s="992"/>
      <c r="HQ55" s="996"/>
      <c r="HR55" s="996"/>
      <c r="HS55" s="997"/>
      <c r="HT55" s="992">
        <f t="shared" ref="HT55" si="223">+HV54</f>
        <v>108674.14133986928</v>
      </c>
      <c r="HU55" s="991">
        <f>+HT$38/51</f>
        <v>2132.6078431372548</v>
      </c>
      <c r="HV55" s="996">
        <f t="shared" ref="HV55:HV62" si="224">+HT55-HU55</f>
        <v>106541.53349673202</v>
      </c>
      <c r="HW55" s="997"/>
      <c r="HX55" s="992">
        <f t="shared" ref="HX55" si="225">+HZ54</f>
        <v>75385.788398692806</v>
      </c>
      <c r="HY55" s="991">
        <f>+HX$38/51</f>
        <v>1484.2156862745098</v>
      </c>
      <c r="HZ55" s="996">
        <f t="shared" ref="HZ55:HZ62" si="226">+HX55-HY55</f>
        <v>73901.572712418303</v>
      </c>
      <c r="IA55" s="997"/>
      <c r="IB55" s="992"/>
      <c r="IC55" s="996"/>
      <c r="ID55" s="996"/>
      <c r="IE55" s="997"/>
      <c r="IF55" s="992">
        <f>+IF$38</f>
        <v>511009</v>
      </c>
      <c r="IG55" s="817">
        <f>+IF$38/51/12*(12.5-IF$40)</f>
        <v>4592.4011437908493</v>
      </c>
      <c r="IH55" s="996">
        <f>+IF55-IG55</f>
        <v>506416.59885620914</v>
      </c>
      <c r="II55" s="997"/>
      <c r="IJ55" s="992">
        <f>+IJ$38</f>
        <v>755038</v>
      </c>
      <c r="IK55" s="817">
        <f>+IJ$38/51/12*(12.5-IJ$40)</f>
        <v>12954.083333333332</v>
      </c>
      <c r="IL55" s="996">
        <f>+IJ55-IK55</f>
        <v>742083.91666666663</v>
      </c>
      <c r="IM55" s="997"/>
      <c r="IN55" s="992"/>
      <c r="IO55" s="996"/>
      <c r="IP55" s="996"/>
      <c r="IQ55" s="997"/>
      <c r="IR55" s="992"/>
      <c r="IS55" s="996"/>
      <c r="IT55" s="996"/>
      <c r="IU55" s="997"/>
      <c r="IV55" s="992"/>
      <c r="IW55" s="996"/>
      <c r="IX55" s="996"/>
      <c r="IY55" s="997"/>
      <c r="IZ55" s="992"/>
      <c r="JA55" s="996"/>
      <c r="JB55" s="996"/>
      <c r="JC55" s="997"/>
      <c r="JD55" s="992">
        <f>+JD$38</f>
        <v>235892</v>
      </c>
      <c r="JE55" s="817">
        <f>+JD$38/51/12*(12.5-JD$40)</f>
        <v>2505.3888888888887</v>
      </c>
      <c r="JF55" s="996">
        <f>+JD55-JE55</f>
        <v>233386.61111111112</v>
      </c>
      <c r="JG55" s="997"/>
      <c r="JH55" s="992"/>
      <c r="JI55" s="996"/>
      <c r="JJ55" s="996"/>
      <c r="JK55" s="997"/>
      <c r="JL55" s="992"/>
      <c r="JM55" s="996"/>
      <c r="JN55" s="996"/>
      <c r="JO55" s="997"/>
      <c r="JP55" s="992"/>
      <c r="JQ55" s="996"/>
      <c r="JR55" s="996"/>
      <c r="JS55" s="997"/>
      <c r="JT55" s="992"/>
      <c r="JU55" s="996"/>
      <c r="JV55" s="996"/>
      <c r="JW55" s="997"/>
      <c r="JX55" s="992"/>
      <c r="JY55" s="996"/>
      <c r="JZ55" s="996"/>
      <c r="KA55" s="997"/>
      <c r="KB55" s="992"/>
      <c r="KC55" s="996"/>
      <c r="KD55" s="996"/>
      <c r="KE55" s="997"/>
      <c r="KF55" s="992"/>
      <c r="KG55" s="996"/>
      <c r="KH55" s="996"/>
      <c r="KI55" s="997"/>
      <c r="KJ55" s="992"/>
      <c r="KK55" s="996"/>
      <c r="KL55" s="996"/>
      <c r="KM55" s="997"/>
      <c r="KN55" s="992"/>
      <c r="KO55" s="996"/>
      <c r="KP55" s="996"/>
      <c r="KQ55" s="997"/>
      <c r="KR55" s="992"/>
      <c r="KS55" s="996"/>
      <c r="KT55" s="996"/>
      <c r="KU55" s="997"/>
      <c r="KV55" s="992"/>
      <c r="KW55" s="996"/>
      <c r="KX55" s="996"/>
      <c r="KY55" s="997"/>
      <c r="KZ55" s="992"/>
      <c r="LA55" s="996"/>
      <c r="LB55" s="996"/>
      <c r="LC55" s="997"/>
      <c r="LD55" s="992"/>
      <c r="LE55" s="996"/>
      <c r="LF55" s="996"/>
      <c r="LG55" s="997"/>
      <c r="LH55" s="992"/>
      <c r="LI55" s="996"/>
      <c r="LJ55" s="996"/>
      <c r="LK55" s="997"/>
      <c r="LL55" s="992"/>
      <c r="LM55" s="996"/>
      <c r="LN55" s="996"/>
      <c r="LO55" s="997"/>
      <c r="LP55" s="992"/>
      <c r="LQ55" s="996"/>
      <c r="LR55" s="996"/>
      <c r="LS55" s="997"/>
      <c r="LT55" s="992"/>
      <c r="LU55" s="996"/>
      <c r="LV55" s="996"/>
      <c r="LW55" s="997"/>
      <c r="LX55" s="992"/>
      <c r="LY55" s="996"/>
      <c r="LZ55" s="996"/>
      <c r="MA55" s="997"/>
      <c r="MB55" s="992"/>
      <c r="MC55" s="996"/>
      <c r="MD55" s="996"/>
      <c r="ME55" s="997"/>
      <c r="MF55" s="992"/>
      <c r="MG55" s="996"/>
      <c r="MH55" s="996"/>
      <c r="MI55" s="997"/>
      <c r="MJ55" s="992"/>
      <c r="MK55" s="996"/>
      <c r="ML55" s="996"/>
      <c r="MM55" s="997"/>
      <c r="MN55" s="992"/>
      <c r="MO55" s="996"/>
      <c r="MP55" s="996"/>
      <c r="MQ55" s="997"/>
      <c r="MR55" s="992"/>
      <c r="MS55" s="996"/>
      <c r="MT55" s="996"/>
      <c r="MU55" s="997"/>
      <c r="MV55" s="992"/>
      <c r="MW55" s="996"/>
      <c r="MX55" s="996"/>
      <c r="MY55" s="997"/>
      <c r="MZ55" s="992"/>
      <c r="NA55" s="996"/>
      <c r="NB55" s="996"/>
      <c r="NC55" s="997"/>
      <c r="ND55" s="992"/>
      <c r="NE55" s="996"/>
      <c r="NF55" s="996"/>
      <c r="NG55" s="997"/>
      <c r="NH55" s="998"/>
      <c r="NI55" s="992"/>
      <c r="NJ55" s="997"/>
      <c r="NL55" s="977"/>
    </row>
    <row r="56" spans="1:376">
      <c r="A56" s="874">
        <v>33</v>
      </c>
      <c r="B56" s="992" t="str">
        <f t="shared" si="1"/>
        <v>W incentive</v>
      </c>
      <c r="C56" s="993">
        <f t="shared" si="2"/>
        <v>2012</v>
      </c>
      <c r="D56" s="992">
        <f t="shared" ref="D56" si="227">+D55</f>
        <v>1760406.2263071893</v>
      </c>
      <c r="E56" s="991">
        <f t="shared" ref="E56" si="228">E55</f>
        <v>37488.686274509804</v>
      </c>
      <c r="F56" s="996">
        <f t="shared" si="3"/>
        <v>1722917.5400326794</v>
      </c>
      <c r="G56" s="997"/>
      <c r="H56" s="992">
        <f t="shared" ref="H56" si="229">+H55</f>
        <v>965088.43872549036</v>
      </c>
      <c r="I56" s="991">
        <f t="shared" ref="I56" si="230">I55</f>
        <v>21114.058823529413</v>
      </c>
      <c r="J56" s="996">
        <f t="shared" si="0"/>
        <v>943974.37990196096</v>
      </c>
      <c r="K56" s="997"/>
      <c r="L56" s="992"/>
      <c r="M56" s="991"/>
      <c r="N56" s="996"/>
      <c r="O56" s="997"/>
      <c r="P56" s="992">
        <f t="shared" ref="P56" si="231">+P55</f>
        <v>7516907.1838235287</v>
      </c>
      <c r="Q56" s="991">
        <f t="shared" ref="Q56" si="232">Q55</f>
        <v>161220.5294117647</v>
      </c>
      <c r="R56" s="996">
        <f t="shared" si="4"/>
        <v>7355686.6544117639</v>
      </c>
      <c r="S56" s="997"/>
      <c r="T56" s="992">
        <f t="shared" ref="T56" si="233">+T55</f>
        <v>6603623.1617647056</v>
      </c>
      <c r="U56" s="991">
        <f t="shared" ref="U56" si="234">U55</f>
        <v>140877.29411764705</v>
      </c>
      <c r="V56" s="996">
        <f t="shared" si="5"/>
        <v>6462745.8676470583</v>
      </c>
      <c r="W56" s="997"/>
      <c r="X56" s="992">
        <f t="shared" ref="X56" si="235">+X55</f>
        <v>2286083.9428104572</v>
      </c>
      <c r="Y56" s="991">
        <f t="shared" ref="Y56" si="236">Y55</f>
        <v>47339.098039215685</v>
      </c>
      <c r="Z56" s="996">
        <f t="shared" si="34"/>
        <v>2238744.8447712413</v>
      </c>
      <c r="AA56" s="997"/>
      <c r="AB56" s="992">
        <f t="shared" ref="AB56" si="237">+AB55</f>
        <v>20761374.313725494</v>
      </c>
      <c r="AC56" s="991">
        <f t="shared" ref="AC56" si="238">AC55</f>
        <v>428437.64705882355</v>
      </c>
      <c r="AD56" s="996">
        <f t="shared" si="37"/>
        <v>20332936.666666672</v>
      </c>
      <c r="AE56" s="997"/>
      <c r="AF56" s="992">
        <f t="shared" ref="AF56" si="239">+AF55</f>
        <v>43284167.136437908</v>
      </c>
      <c r="AG56" s="991">
        <f t="shared" ref="AG56" si="240">AG55</f>
        <v>884102.13725490193</v>
      </c>
      <c r="AH56" s="996">
        <f t="shared" si="40"/>
        <v>42400064.999183007</v>
      </c>
      <c r="AI56" s="997"/>
      <c r="AJ56" s="992">
        <f t="shared" ref="AJ56" si="241">+AJ55</f>
        <v>13192654.411764706</v>
      </c>
      <c r="AK56" s="991">
        <f t="shared" ref="AK56" si="242">AK55</f>
        <v>266294.1176470588</v>
      </c>
      <c r="AL56" s="996">
        <f t="shared" si="42"/>
        <v>12926360.294117646</v>
      </c>
      <c r="AM56" s="997"/>
      <c r="AN56" s="992">
        <f t="shared" ref="AN56" si="243">+AN55</f>
        <v>10848304.914714053</v>
      </c>
      <c r="AO56" s="991">
        <f t="shared" ref="AO56" si="244">AO55</f>
        <v>220083.9543137255</v>
      </c>
      <c r="AP56" s="996">
        <f t="shared" si="44"/>
        <v>10628220.960400328</v>
      </c>
      <c r="AQ56" s="997"/>
      <c r="AR56" s="992">
        <f t="shared" ref="AR56" si="245">+AR55</f>
        <v>14212539.651143791</v>
      </c>
      <c r="AS56" s="991">
        <f t="shared" ref="AS56" si="246">AS55</f>
        <v>287363.90196078434</v>
      </c>
      <c r="AT56" s="996">
        <f t="shared" si="46"/>
        <v>13925175.749183007</v>
      </c>
      <c r="AU56" s="997"/>
      <c r="AV56" s="992">
        <f t="shared" ref="AV56" si="247">+AV55</f>
        <v>16472756.862745099</v>
      </c>
      <c r="AW56" s="991">
        <f t="shared" ref="AW56" si="248">AW55</f>
        <v>331388.23529411765</v>
      </c>
      <c r="AX56" s="996">
        <f t="shared" si="48"/>
        <v>16141368.62745098</v>
      </c>
      <c r="AY56" s="997"/>
      <c r="AZ56" s="992">
        <f t="shared" ref="AZ56" si="249">+AZ55</f>
        <v>11130687.279411765</v>
      </c>
      <c r="BA56" s="991">
        <f t="shared" ref="BA56" si="250">BA55</f>
        <v>222799.41176470587</v>
      </c>
      <c r="BB56" s="996">
        <f t="shared" si="50"/>
        <v>10907887.867647059</v>
      </c>
      <c r="BC56" s="997"/>
      <c r="BD56" s="992">
        <f t="shared" ref="BD56" si="251">+BD55</f>
        <v>90478617.277777776</v>
      </c>
      <c r="BE56" s="991">
        <f>BE55</f>
        <v>1799077.7254901961</v>
      </c>
      <c r="BF56" s="996">
        <f t="shared" si="171"/>
        <v>88679539.552287579</v>
      </c>
      <c r="BG56" s="997"/>
      <c r="BH56" s="992">
        <f t="shared" ref="BH56" si="252">+BH55</f>
        <v>13558604.105392156</v>
      </c>
      <c r="BI56" s="991">
        <f>BI55</f>
        <v>269153.43137254904</v>
      </c>
      <c r="BJ56" s="996">
        <f t="shared" si="173"/>
        <v>13289450.674019607</v>
      </c>
      <c r="BK56" s="997"/>
      <c r="BL56" s="992">
        <f t="shared" ref="BL56" si="253">+BL55</f>
        <v>3085642.5931372549</v>
      </c>
      <c r="BM56" s="991">
        <f>BM55</f>
        <v>61253.450980392154</v>
      </c>
      <c r="BN56" s="996">
        <f t="shared" si="175"/>
        <v>3024389.1421568627</v>
      </c>
      <c r="BO56" s="997"/>
      <c r="BP56" s="992">
        <f t="shared" ref="BP56" si="254">+BP55</f>
        <v>2337376.4297385621</v>
      </c>
      <c r="BQ56" s="991">
        <f t="shared" ref="BQ56" si="255">BQ55</f>
        <v>47742.156862745098</v>
      </c>
      <c r="BR56" s="996">
        <f t="shared" si="53"/>
        <v>2289634.272875817</v>
      </c>
      <c r="BS56" s="997"/>
      <c r="BT56" s="992">
        <f t="shared" ref="BT56" si="256">+BT55</f>
        <v>38568681.906862743</v>
      </c>
      <c r="BU56" s="991">
        <f>BU55</f>
        <v>764366.9411764706</v>
      </c>
      <c r="BV56" s="996">
        <f t="shared" si="179"/>
        <v>37804314.965686269</v>
      </c>
      <c r="BW56" s="997"/>
      <c r="BX56" s="992">
        <f t="shared" ref="BX56" si="257">+BX55</f>
        <v>161400841.1740196</v>
      </c>
      <c r="BY56" s="991">
        <f>BY55</f>
        <v>3203986.9215686275</v>
      </c>
      <c r="BZ56" s="996">
        <f t="shared" si="181"/>
        <v>158196854.25245097</v>
      </c>
      <c r="CA56" s="997"/>
      <c r="CB56" s="992">
        <f t="shared" ref="CB56:CC56" si="258">+CB55</f>
        <v>0</v>
      </c>
      <c r="CC56" s="996">
        <f t="shared" si="258"/>
        <v>0</v>
      </c>
      <c r="CD56" s="996">
        <f t="shared" si="183"/>
        <v>0</v>
      </c>
      <c r="CE56" s="997"/>
      <c r="CF56" s="992">
        <f t="shared" ref="CF56" si="259">+CF55</f>
        <v>13124678.962418299</v>
      </c>
      <c r="CG56" s="991">
        <f t="shared" ref="CG56" si="260">CG55</f>
        <v>268078.54901960783</v>
      </c>
      <c r="CH56" s="996">
        <f t="shared" si="56"/>
        <v>12856600.413398691</v>
      </c>
      <c r="CI56" s="997"/>
      <c r="CJ56" s="992">
        <f t="shared" ref="CJ56" si="261">+CJ55</f>
        <v>14161961.139705881</v>
      </c>
      <c r="CK56" s="991">
        <f t="shared" ref="CK56" si="262">CK55</f>
        <v>286824.5294117647</v>
      </c>
      <c r="CL56" s="996">
        <f t="shared" si="58"/>
        <v>13875136.610294117</v>
      </c>
      <c r="CM56" s="997"/>
      <c r="CN56" s="992">
        <f t="shared" ref="CN56" si="263">+CN55</f>
        <v>10197941.715686275</v>
      </c>
      <c r="CO56" s="991">
        <f t="shared" si="125"/>
        <v>210086.35294117648</v>
      </c>
      <c r="CP56" s="996">
        <f t="shared" si="61"/>
        <v>9987855.3627450988</v>
      </c>
      <c r="CQ56" s="997"/>
      <c r="CR56" s="992">
        <f t="shared" ref="CR56" si="264">+CR55</f>
        <v>2949197.2017973857</v>
      </c>
      <c r="CS56" s="991">
        <f t="shared" si="127"/>
        <v>60238.921568627447</v>
      </c>
      <c r="CT56" s="996">
        <f t="shared" si="64"/>
        <v>2888958.2802287582</v>
      </c>
      <c r="CU56" s="997"/>
      <c r="CV56" s="992">
        <f t="shared" ref="CV56" si="265">+CV55</f>
        <v>10871960.348039217</v>
      </c>
      <c r="CW56" s="991">
        <f t="shared" si="129"/>
        <v>225520.35294117648</v>
      </c>
      <c r="CX56" s="996">
        <f t="shared" si="67"/>
        <v>10646439.995098041</v>
      </c>
      <c r="CY56" s="997"/>
      <c r="CZ56" s="992">
        <f t="shared" ref="CZ56" si="266">+CZ55</f>
        <v>16058898.755718954</v>
      </c>
      <c r="DA56" s="991">
        <f t="shared" ref="DA56" si="267">DA55</f>
        <v>324695.50980392157</v>
      </c>
      <c r="DB56" s="996">
        <f t="shared" si="69"/>
        <v>15734203.245915033</v>
      </c>
      <c r="DC56" s="997"/>
      <c r="DD56" s="992">
        <f t="shared" ref="DD56" si="268">+DD55</f>
        <v>18285382.598039214</v>
      </c>
      <c r="DE56" s="991">
        <f t="shared" ref="DE56" si="269">DE55</f>
        <v>370336.86274509801</v>
      </c>
      <c r="DF56" s="996">
        <f t="shared" si="71"/>
        <v>17915045.735294115</v>
      </c>
      <c r="DG56" s="997"/>
      <c r="DH56" s="992">
        <f t="shared" ref="DH56" si="270">+DH55</f>
        <v>10462749.013071895</v>
      </c>
      <c r="DI56" s="991">
        <f>DI55</f>
        <v>205319.68627450979</v>
      </c>
      <c r="DJ56" s="996">
        <f t="shared" si="196"/>
        <v>10257429.326797385</v>
      </c>
      <c r="DK56" s="997"/>
      <c r="DL56" s="992">
        <f t="shared" ref="DL56" si="271">+DL55</f>
        <v>18758698.676470589</v>
      </c>
      <c r="DM56" s="991">
        <f>DM55</f>
        <v>370542.19607843139</v>
      </c>
      <c r="DN56" s="996">
        <f t="shared" si="198"/>
        <v>18388156.480392158</v>
      </c>
      <c r="DO56" s="997"/>
      <c r="DP56" s="992">
        <f t="shared" ref="DP56" si="272">+DP55</f>
        <v>11810163.714052288</v>
      </c>
      <c r="DQ56" s="991">
        <f>DQ55</f>
        <v>236400.27450980392</v>
      </c>
      <c r="DR56" s="996">
        <f t="shared" si="73"/>
        <v>11573763.439542484</v>
      </c>
      <c r="DS56" s="997"/>
      <c r="DT56" s="992">
        <f t="shared" ref="DT56" si="273">+DT55</f>
        <v>88526839.180555552</v>
      </c>
      <c r="DU56" s="991">
        <f>DU55</f>
        <v>1789927.6666666667</v>
      </c>
      <c r="DV56" s="996">
        <f t="shared" si="75"/>
        <v>86736911.513888881</v>
      </c>
      <c r="DW56" s="997"/>
      <c r="DX56" s="992">
        <f t="shared" ref="DX56" si="274">+DX55</f>
        <v>31862621</v>
      </c>
      <c r="DY56" s="991">
        <f>DY55</f>
        <v>631464</v>
      </c>
      <c r="DZ56" s="996">
        <f t="shared" si="202"/>
        <v>31231157</v>
      </c>
      <c r="EA56" s="997"/>
      <c r="EB56" s="992">
        <f>+EB55</f>
        <v>13426813</v>
      </c>
      <c r="EC56" s="817">
        <f>+EC55</f>
        <v>230361.98774509801</v>
      </c>
      <c r="ED56" s="996">
        <f>+EB56-EC56</f>
        <v>13196451.012254901</v>
      </c>
      <c r="EE56" s="997"/>
      <c r="EF56" s="992">
        <f t="shared" ref="EF56" si="275">+EF55</f>
        <v>82683629.665032685</v>
      </c>
      <c r="EG56" s="991">
        <f>EG55</f>
        <v>1660591.7254901961</v>
      </c>
      <c r="EH56" s="996">
        <f t="shared" si="77"/>
        <v>81023037.939542487</v>
      </c>
      <c r="EI56" s="997"/>
      <c r="EJ56" s="992">
        <f t="shared" ref="EJ56" si="276">+EJ55</f>
        <v>1279649.9705882352</v>
      </c>
      <c r="EK56" s="991">
        <f>EK55</f>
        <v>25529.176470588234</v>
      </c>
      <c r="EL56" s="996">
        <f t="shared" si="205"/>
        <v>1254120.794117647</v>
      </c>
      <c r="EM56" s="997"/>
      <c r="EN56" s="992">
        <f t="shared" ref="EN56" si="277">+EN55</f>
        <v>199363.63235294117</v>
      </c>
      <c r="EO56" s="991">
        <f>EO55</f>
        <v>4030.9411764705883</v>
      </c>
      <c r="EP56" s="996">
        <f t="shared" si="79"/>
        <v>195332.69117647057</v>
      </c>
      <c r="EQ56" s="997"/>
      <c r="ER56" s="992">
        <f t="shared" ref="ER56" si="278">+ER55</f>
        <v>23234165.860294119</v>
      </c>
      <c r="ES56" s="991">
        <f>ES55</f>
        <v>460462.4117647059</v>
      </c>
      <c r="ET56" s="996">
        <f t="shared" si="208"/>
        <v>22773703.448529411</v>
      </c>
      <c r="EU56" s="997"/>
      <c r="EV56" s="992">
        <f t="shared" ref="EV56" si="279">+EV55</f>
        <v>1435308.6315359476</v>
      </c>
      <c r="EW56" s="991">
        <f>EW55</f>
        <v>28874.607843137255</v>
      </c>
      <c r="EX56" s="996">
        <f t="shared" si="81"/>
        <v>1406434.0236928102</v>
      </c>
      <c r="EY56" s="997"/>
      <c r="EZ56" s="992">
        <f>+EZ55</f>
        <v>13475656</v>
      </c>
      <c r="FA56" s="817">
        <f>+FA55</f>
        <v>165142.84313725488</v>
      </c>
      <c r="FB56" s="996">
        <f>+EZ56-FA56</f>
        <v>13310513.156862745</v>
      </c>
      <c r="FC56" s="997"/>
      <c r="FD56" s="992">
        <f t="shared" ref="FD56" si="280">+FD55</f>
        <v>6056533.9101307187</v>
      </c>
      <c r="FE56" s="991">
        <f>FE55</f>
        <v>125632.50980392157</v>
      </c>
      <c r="FF56" s="996">
        <f t="shared" si="83"/>
        <v>5930901.4003267968</v>
      </c>
      <c r="FG56" s="997"/>
      <c r="FH56" s="992">
        <f t="shared" ref="FH56" si="281">+FH55</f>
        <v>5190998.9901960781</v>
      </c>
      <c r="FI56" s="991">
        <f>FI55</f>
        <v>102876.94117647059</v>
      </c>
      <c r="FJ56" s="996">
        <f t="shared" si="212"/>
        <v>5088122.0490196077</v>
      </c>
      <c r="FK56" s="997"/>
      <c r="FL56" s="992">
        <f t="shared" ref="FL56" si="282">+FL55</f>
        <v>3047746.3529411769</v>
      </c>
      <c r="FM56" s="991">
        <f>FM55</f>
        <v>62678.588235294119</v>
      </c>
      <c r="FN56" s="996">
        <f t="shared" si="85"/>
        <v>2985067.7647058829</v>
      </c>
      <c r="FO56" s="997"/>
      <c r="FP56" s="992">
        <f t="shared" ref="FP56" si="283">+FP55</f>
        <v>20998320.541666664</v>
      </c>
      <c r="FQ56" s="991">
        <f>FQ55</f>
        <v>429633.15686274512</v>
      </c>
      <c r="FR56" s="996">
        <f t="shared" si="87"/>
        <v>20568687.384803917</v>
      </c>
      <c r="FS56" s="997"/>
      <c r="FT56" s="992">
        <f t="shared" ref="FT56" si="284">+FT55</f>
        <v>4638318.958333333</v>
      </c>
      <c r="FU56" s="991">
        <f>FU55</f>
        <v>94901.666666666672</v>
      </c>
      <c r="FV56" s="996">
        <f t="shared" si="89"/>
        <v>4543417.291666666</v>
      </c>
      <c r="FW56" s="997"/>
      <c r="FX56" s="992">
        <f t="shared" ref="FX56" si="285">+FX55</f>
        <v>20336991.43300654</v>
      </c>
      <c r="FY56" s="991">
        <f>FY55</f>
        <v>419679.96078431373</v>
      </c>
      <c r="FZ56" s="996">
        <f t="shared" si="91"/>
        <v>19917311.472222228</v>
      </c>
      <c r="GA56" s="997"/>
      <c r="GB56" s="992">
        <f t="shared" ref="GB56" si="286">+GB55</f>
        <v>3371711.8897058824</v>
      </c>
      <c r="GC56" s="991">
        <f>GC55</f>
        <v>69699.470588235301</v>
      </c>
      <c r="GD56" s="996">
        <f t="shared" si="93"/>
        <v>3302012.4191176472</v>
      </c>
      <c r="GE56" s="997"/>
      <c r="GF56" s="992">
        <f t="shared" ref="GF56" si="287">+GF55</f>
        <v>3204734.2295751632</v>
      </c>
      <c r="GG56" s="991">
        <f>GG55</f>
        <v>65794.372549019608</v>
      </c>
      <c r="GH56" s="996">
        <f t="shared" si="95"/>
        <v>3138939.8570261435</v>
      </c>
      <c r="GI56" s="997"/>
      <c r="GJ56" s="992">
        <f t="shared" ref="GJ56" si="288">+GJ55</f>
        <v>740340.71568627446</v>
      </c>
      <c r="GK56" s="991">
        <f>GK55</f>
        <v>15277.882352941177</v>
      </c>
      <c r="GL56" s="996">
        <f t="shared" si="97"/>
        <v>725062.83333333326</v>
      </c>
      <c r="GM56" s="997"/>
      <c r="GN56" s="992">
        <f t="shared" ref="GN56" si="289">+GN55</f>
        <v>6033773.809640523</v>
      </c>
      <c r="GO56" s="991">
        <f>GO55</f>
        <v>121791.90196078431</v>
      </c>
      <c r="GP56" s="996">
        <f t="shared" si="99"/>
        <v>5911981.9076797385</v>
      </c>
      <c r="GQ56" s="997"/>
      <c r="GR56" s="992">
        <f t="shared" ref="GR56" si="290">+GR55</f>
        <v>23928076.933006536</v>
      </c>
      <c r="GS56" s="991">
        <f>GS55</f>
        <v>469561.60784313723</v>
      </c>
      <c r="GT56" s="996">
        <f t="shared" si="222"/>
        <v>23458515.325163398</v>
      </c>
      <c r="GU56" s="997"/>
      <c r="GV56" s="992">
        <f>+GV55</f>
        <v>21791010</v>
      </c>
      <c r="GW56" s="817">
        <f>+GW55</f>
        <v>267046.6911764706</v>
      </c>
      <c r="GX56" s="996">
        <f>+GV56-GW56</f>
        <v>21523963.30882353</v>
      </c>
      <c r="GY56" s="997"/>
      <c r="GZ56" s="992"/>
      <c r="HA56" s="996"/>
      <c r="HB56" s="996"/>
      <c r="HC56" s="997"/>
      <c r="HD56" s="992"/>
      <c r="HE56" s="996"/>
      <c r="HF56" s="996"/>
      <c r="HG56" s="997"/>
      <c r="HH56" s="992"/>
      <c r="HI56" s="996"/>
      <c r="HJ56" s="996"/>
      <c r="HK56" s="997"/>
      <c r="HL56" s="992"/>
      <c r="HM56" s="996"/>
      <c r="HN56" s="996"/>
      <c r="HO56" s="997"/>
      <c r="HP56" s="992"/>
      <c r="HQ56" s="996"/>
      <c r="HR56" s="996"/>
      <c r="HS56" s="997"/>
      <c r="HT56" s="992">
        <f t="shared" ref="HT56" si="291">+HT55</f>
        <v>108674.14133986928</v>
      </c>
      <c r="HU56" s="991">
        <f>HU55</f>
        <v>2132.6078431372548</v>
      </c>
      <c r="HV56" s="996">
        <f t="shared" si="224"/>
        <v>106541.53349673202</v>
      </c>
      <c r="HW56" s="997"/>
      <c r="HX56" s="992">
        <f t="shared" ref="HX56" si="292">+HX55</f>
        <v>75385.788398692806</v>
      </c>
      <c r="HY56" s="991">
        <f>HY55</f>
        <v>1484.2156862745098</v>
      </c>
      <c r="HZ56" s="996">
        <f t="shared" si="226"/>
        <v>73901.572712418303</v>
      </c>
      <c r="IA56" s="997"/>
      <c r="IB56" s="992"/>
      <c r="IC56" s="996"/>
      <c r="ID56" s="996"/>
      <c r="IE56" s="997"/>
      <c r="IF56" s="992">
        <f>+IF55</f>
        <v>511009</v>
      </c>
      <c r="IG56" s="817">
        <f>+IG55</f>
        <v>4592.4011437908493</v>
      </c>
      <c r="IH56" s="996">
        <f>+IF56-IG56</f>
        <v>506416.59885620914</v>
      </c>
      <c r="II56" s="997"/>
      <c r="IJ56" s="992">
        <f>+IJ55</f>
        <v>755038</v>
      </c>
      <c r="IK56" s="817">
        <f>+IK55</f>
        <v>12954.083333333332</v>
      </c>
      <c r="IL56" s="996">
        <f>+IJ56-IK56</f>
        <v>742083.91666666663</v>
      </c>
      <c r="IM56" s="997"/>
      <c r="IN56" s="992"/>
      <c r="IO56" s="996"/>
      <c r="IP56" s="996"/>
      <c r="IQ56" s="997"/>
      <c r="IR56" s="992"/>
      <c r="IS56" s="996"/>
      <c r="IT56" s="996"/>
      <c r="IU56" s="997"/>
      <c r="IV56" s="992"/>
      <c r="IW56" s="996"/>
      <c r="IX56" s="996"/>
      <c r="IY56" s="997"/>
      <c r="IZ56" s="992"/>
      <c r="JA56" s="996"/>
      <c r="JB56" s="996"/>
      <c r="JC56" s="997"/>
      <c r="JD56" s="992">
        <f>+JD55</f>
        <v>235892</v>
      </c>
      <c r="JE56" s="817">
        <f>+JE55</f>
        <v>2505.3888888888887</v>
      </c>
      <c r="JF56" s="996">
        <f>+JD56-JE56</f>
        <v>233386.61111111112</v>
      </c>
      <c r="JG56" s="997"/>
      <c r="JH56" s="992"/>
      <c r="JI56" s="996"/>
      <c r="JJ56" s="996"/>
      <c r="JK56" s="997"/>
      <c r="JL56" s="992"/>
      <c r="JM56" s="996"/>
      <c r="JN56" s="996"/>
      <c r="JO56" s="997"/>
      <c r="JP56" s="992"/>
      <c r="JQ56" s="996"/>
      <c r="JR56" s="996"/>
      <c r="JS56" s="997"/>
      <c r="JT56" s="992"/>
      <c r="JU56" s="996"/>
      <c r="JV56" s="996"/>
      <c r="JW56" s="997"/>
      <c r="JX56" s="992"/>
      <c r="JY56" s="996"/>
      <c r="JZ56" s="996"/>
      <c r="KA56" s="997"/>
      <c r="KB56" s="992"/>
      <c r="KC56" s="996"/>
      <c r="KD56" s="996"/>
      <c r="KE56" s="997"/>
      <c r="KF56" s="992"/>
      <c r="KG56" s="996"/>
      <c r="KH56" s="996"/>
      <c r="KI56" s="997"/>
      <c r="KJ56" s="992"/>
      <c r="KK56" s="996"/>
      <c r="KL56" s="996"/>
      <c r="KM56" s="997"/>
      <c r="KN56" s="992"/>
      <c r="KO56" s="996"/>
      <c r="KP56" s="996"/>
      <c r="KQ56" s="997"/>
      <c r="KR56" s="992"/>
      <c r="KS56" s="996"/>
      <c r="KT56" s="996"/>
      <c r="KU56" s="997"/>
      <c r="KV56" s="992"/>
      <c r="KW56" s="996"/>
      <c r="KX56" s="996"/>
      <c r="KY56" s="997"/>
      <c r="KZ56" s="992"/>
      <c r="LA56" s="996"/>
      <c r="LB56" s="996"/>
      <c r="LC56" s="997"/>
      <c r="LD56" s="992"/>
      <c r="LE56" s="996"/>
      <c r="LF56" s="996"/>
      <c r="LG56" s="997"/>
      <c r="LH56" s="992"/>
      <c r="LI56" s="996"/>
      <c r="LJ56" s="996"/>
      <c r="LK56" s="997"/>
      <c r="LL56" s="992"/>
      <c r="LM56" s="996"/>
      <c r="LN56" s="996"/>
      <c r="LO56" s="997"/>
      <c r="LP56" s="992"/>
      <c r="LQ56" s="996"/>
      <c r="LR56" s="996"/>
      <c r="LS56" s="997"/>
      <c r="LT56" s="992"/>
      <c r="LU56" s="996"/>
      <c r="LV56" s="996"/>
      <c r="LW56" s="997"/>
      <c r="LX56" s="992"/>
      <c r="LY56" s="996"/>
      <c r="LZ56" s="996"/>
      <c r="MA56" s="997"/>
      <c r="MB56" s="992"/>
      <c r="MC56" s="996"/>
      <c r="MD56" s="996"/>
      <c r="ME56" s="997"/>
      <c r="MF56" s="992"/>
      <c r="MG56" s="996"/>
      <c r="MH56" s="996"/>
      <c r="MI56" s="997"/>
      <c r="MJ56" s="992"/>
      <c r="MK56" s="996"/>
      <c r="ML56" s="996"/>
      <c r="MM56" s="997"/>
      <c r="MN56" s="992"/>
      <c r="MO56" s="996"/>
      <c r="MP56" s="996"/>
      <c r="MQ56" s="997"/>
      <c r="MR56" s="992"/>
      <c r="MS56" s="996"/>
      <c r="MT56" s="996"/>
      <c r="MU56" s="997"/>
      <c r="MV56" s="992"/>
      <c r="MW56" s="996"/>
      <c r="MX56" s="996"/>
      <c r="MY56" s="997"/>
      <c r="MZ56" s="992"/>
      <c r="NA56" s="996"/>
      <c r="NB56" s="996"/>
      <c r="NC56" s="997"/>
      <c r="ND56" s="992"/>
      <c r="NE56" s="996"/>
      <c r="NF56" s="996"/>
      <c r="NG56" s="997"/>
      <c r="NH56" s="998"/>
      <c r="NI56" s="992"/>
      <c r="NJ56" s="997"/>
      <c r="NL56" s="977"/>
    </row>
    <row r="57" spans="1:376">
      <c r="A57" s="874">
        <v>34</v>
      </c>
      <c r="B57" s="992" t="str">
        <f t="shared" si="1"/>
        <v>W / O incentive</v>
      </c>
      <c r="C57" s="993">
        <f t="shared" si="2"/>
        <v>2013</v>
      </c>
      <c r="D57" s="992">
        <f t="shared" ref="D57" si="293">+F56</f>
        <v>1722917.5400326794</v>
      </c>
      <c r="E57" s="991">
        <f>D38/51*3/12+D39*9/12</f>
        <v>42719.665754673959</v>
      </c>
      <c r="F57" s="996">
        <f t="shared" si="3"/>
        <v>1680197.8742780054</v>
      </c>
      <c r="G57" s="997"/>
      <c r="H57" s="992">
        <f t="shared" ref="H57" si="294">+J56</f>
        <v>943974.37990196096</v>
      </c>
      <c r="I57" s="991">
        <f>H38/51*3/12+H39*9/12</f>
        <v>24060.206566347471</v>
      </c>
      <c r="J57" s="996">
        <f t="shared" si="0"/>
        <v>919914.17333561345</v>
      </c>
      <c r="K57" s="997"/>
      <c r="L57" s="992">
        <f>+L$38</f>
        <v>591996</v>
      </c>
      <c r="M57" s="991">
        <f>+L$39/12*(12.5-L$40)</f>
        <v>9751.8720930232557</v>
      </c>
      <c r="N57" s="996">
        <f>+L57-M57</f>
        <v>582244.12790697673</v>
      </c>
      <c r="O57" s="997"/>
      <c r="P57" s="992">
        <f t="shared" ref="P57" si="295">+R56</f>
        <v>7355686.6544117639</v>
      </c>
      <c r="Q57" s="991">
        <f>P38/51*3/12+P39*9/12</f>
        <v>183716.41723666212</v>
      </c>
      <c r="R57" s="996">
        <f t="shared" si="4"/>
        <v>7171970.2371751014</v>
      </c>
      <c r="S57" s="997"/>
      <c r="T57" s="992">
        <f t="shared" ref="T57" si="296">+V56</f>
        <v>6462745.8676470583</v>
      </c>
      <c r="U57" s="991">
        <f>T38/51*3/12+T39*9/12</f>
        <v>160534.59097127221</v>
      </c>
      <c r="V57" s="996">
        <f t="shared" si="5"/>
        <v>6302211.2766757859</v>
      </c>
      <c r="W57" s="997"/>
      <c r="X57" s="992">
        <f t="shared" ref="X57" si="297">+Z56</f>
        <v>2238744.8447712413</v>
      </c>
      <c r="Y57" s="991">
        <f>X38/51*3/12+X39*9/12</f>
        <v>53944.553579571366</v>
      </c>
      <c r="Z57" s="996">
        <f t="shared" si="34"/>
        <v>2184800.2911916701</v>
      </c>
      <c r="AA57" s="997"/>
      <c r="AB57" s="992">
        <f t="shared" ref="AB57" si="298">+AD56</f>
        <v>20332936.666666672</v>
      </c>
      <c r="AC57" s="991">
        <f>AB38/51*3/12+AB39*9/12</f>
        <v>488219.64432284544</v>
      </c>
      <c r="AD57" s="996">
        <f t="shared" si="37"/>
        <v>19844717.022343826</v>
      </c>
      <c r="AE57" s="997"/>
      <c r="AF57" s="992">
        <f t="shared" ref="AF57" si="299">+AH56</f>
        <v>42400064.999183007</v>
      </c>
      <c r="AG57" s="991">
        <f>AF38/51*3/12+AF39*9/12</f>
        <v>1007465.2261741904</v>
      </c>
      <c r="AH57" s="996">
        <f t="shared" si="40"/>
        <v>41392599.773008816</v>
      </c>
      <c r="AI57" s="997"/>
      <c r="AJ57" s="992">
        <f t="shared" ref="AJ57" si="300">+AL56</f>
        <v>12926360.294117646</v>
      </c>
      <c r="AK57" s="991">
        <f>AJ38/51*3/12+AJ39*9/12</f>
        <v>303451.43638850888</v>
      </c>
      <c r="AL57" s="996">
        <f t="shared" si="42"/>
        <v>12622908.857729137</v>
      </c>
      <c r="AM57" s="997"/>
      <c r="AN57" s="992">
        <f t="shared" ref="AN57" si="301">+AP56</f>
        <v>10628220.960400328</v>
      </c>
      <c r="AO57" s="991">
        <f>AN38/51*3/12+AN39*9/12</f>
        <v>250793.3432877337</v>
      </c>
      <c r="AP57" s="996">
        <f t="shared" si="44"/>
        <v>10377427.617112594</v>
      </c>
      <c r="AQ57" s="997"/>
      <c r="AR57" s="992">
        <f t="shared" ref="AR57" si="302">+AT56</f>
        <v>13925175.749183007</v>
      </c>
      <c r="AS57" s="991">
        <f>AR38/51*3/12+AR39*9/12</f>
        <v>327461.19060647517</v>
      </c>
      <c r="AT57" s="996">
        <f t="shared" si="46"/>
        <v>13597714.558576532</v>
      </c>
      <c r="AU57" s="997"/>
      <c r="AV57" s="992">
        <f t="shared" ref="AV57" si="303">+AX56</f>
        <v>16141368.62745098</v>
      </c>
      <c r="AW57" s="991">
        <f>AV38/51*3/12+AV39*9/12</f>
        <v>377628.45417236659</v>
      </c>
      <c r="AX57" s="996">
        <f t="shared" si="48"/>
        <v>15763740.173278613</v>
      </c>
      <c r="AY57" s="997"/>
      <c r="AZ57" s="992">
        <f t="shared" ref="AZ57" si="304">+BB56</f>
        <v>10907887.867647059</v>
      </c>
      <c r="BA57" s="991">
        <f>AZ38/51*3/12+AZ39*9/12</f>
        <v>253887.70177838579</v>
      </c>
      <c r="BB57" s="996">
        <f t="shared" si="50"/>
        <v>10654000.165868673</v>
      </c>
      <c r="BC57" s="997"/>
      <c r="BD57" s="992">
        <f>+BF56</f>
        <v>88679539.552287579</v>
      </c>
      <c r="BE57" s="991">
        <f>BD38/51*3/12+BD39*9/12</f>
        <v>2050111.8267213865</v>
      </c>
      <c r="BF57" s="996">
        <f t="shared" si="171"/>
        <v>86629427.725566193</v>
      </c>
      <c r="BG57" s="997"/>
      <c r="BH57" s="992">
        <f t="shared" ref="BH57" si="305">+BJ56</f>
        <v>13289450.674019607</v>
      </c>
      <c r="BI57" s="991">
        <f>BH38/51*3/12+BH39*9/12</f>
        <v>306709.72412220703</v>
      </c>
      <c r="BJ57" s="996">
        <f t="shared" si="173"/>
        <v>12982740.949897399</v>
      </c>
      <c r="BK57" s="997"/>
      <c r="BL57" s="992">
        <f t="shared" ref="BL57" si="306">+BN56</f>
        <v>3024389.1421568627</v>
      </c>
      <c r="BM57" s="991">
        <f>BL38/51*3/12+BL39*9/12</f>
        <v>69800.444140446867</v>
      </c>
      <c r="BN57" s="996">
        <f t="shared" si="175"/>
        <v>2954588.6980164158</v>
      </c>
      <c r="BO57" s="997"/>
      <c r="BP57" s="992">
        <f t="shared" ref="BP57" si="307">+BR56</f>
        <v>2289634.272875817</v>
      </c>
      <c r="BQ57" s="991">
        <f>BP38/51*3/12+BP39*9/12</f>
        <v>54403.853169174647</v>
      </c>
      <c r="BR57" s="996">
        <f t="shared" si="53"/>
        <v>2235230.4197066422</v>
      </c>
      <c r="BS57" s="997"/>
      <c r="BT57" s="992">
        <f t="shared" ref="BT57" si="308">+BV56</f>
        <v>37804314.965686269</v>
      </c>
      <c r="BU57" s="991">
        <f>BT38/51*3/12+BT39*9/12</f>
        <v>871022.79343365261</v>
      </c>
      <c r="BV57" s="996">
        <f t="shared" si="179"/>
        <v>36933292.172252618</v>
      </c>
      <c r="BW57" s="997"/>
      <c r="BX57" s="992">
        <f t="shared" ref="BX57" si="309">+BZ56</f>
        <v>158196854.25245097</v>
      </c>
      <c r="BY57" s="991">
        <f>BX38/51*3/12+BX39*9/12</f>
        <v>3651054.8641130868</v>
      </c>
      <c r="BZ57" s="996">
        <f t="shared" si="181"/>
        <v>154545799.38833788</v>
      </c>
      <c r="CA57" s="997"/>
      <c r="CB57" s="992">
        <f t="shared" ref="CB57" si="310">+CD56</f>
        <v>0</v>
      </c>
      <c r="CC57" s="996">
        <f>CB38/51*3/12+CB39*9/12</f>
        <v>0</v>
      </c>
      <c r="CD57" s="996">
        <f t="shared" si="183"/>
        <v>0</v>
      </c>
      <c r="CE57" s="997">
        <f t="shared" ref="CE57" si="311">+CB$35*(CB57+CD57)/2+CC57</f>
        <v>0</v>
      </c>
      <c r="CF57" s="992">
        <f t="shared" ref="CF57" si="312">+CH56</f>
        <v>12856600.413398691</v>
      </c>
      <c r="CG57" s="991">
        <f>CF38/51*3/12+CF39*9/12</f>
        <v>305484.85818513448</v>
      </c>
      <c r="CH57" s="996">
        <f t="shared" si="56"/>
        <v>12551115.555213556</v>
      </c>
      <c r="CI57" s="997"/>
      <c r="CJ57" s="992">
        <f t="shared" ref="CJ57" si="313">+CL56</f>
        <v>13875136.610294117</v>
      </c>
      <c r="CK57" s="991">
        <f>CJ38/51*3/12+CJ39*9/12</f>
        <v>326846.55677154585</v>
      </c>
      <c r="CL57" s="996">
        <f t="shared" si="58"/>
        <v>13548290.05352257</v>
      </c>
      <c r="CM57" s="997"/>
      <c r="CN57" s="992">
        <f t="shared" ref="CN57" si="314">+CP56</f>
        <v>9987855.3627450988</v>
      </c>
      <c r="CO57" s="991">
        <f>CN38/51*3/12+CN39*9/12</f>
        <v>239400.72777017788</v>
      </c>
      <c r="CP57" s="996">
        <f t="shared" si="61"/>
        <v>9748454.6349749211</v>
      </c>
      <c r="CQ57" s="997"/>
      <c r="CR57" s="992">
        <f t="shared" ref="CR57" si="315">+CT56</f>
        <v>2888958.2802287582</v>
      </c>
      <c r="CS57" s="991">
        <f>CR38/51*3/12+CR39*9/12</f>
        <v>68644.352485180119</v>
      </c>
      <c r="CT57" s="996">
        <f t="shared" si="64"/>
        <v>2820313.9277435783</v>
      </c>
      <c r="CU57" s="997"/>
      <c r="CV57" s="992">
        <f t="shared" ref="CV57" si="316">+CX56</f>
        <v>10646439.995098041</v>
      </c>
      <c r="CW57" s="991">
        <f>CV38/51*3/12+CV39*9/12</f>
        <v>256988.30916552668</v>
      </c>
      <c r="CX57" s="996">
        <f t="shared" si="67"/>
        <v>10389451.685932515</v>
      </c>
      <c r="CY57" s="997"/>
      <c r="CZ57" s="992">
        <f t="shared" ref="CZ57" si="317">+DB56</f>
        <v>15734203.245915033</v>
      </c>
      <c r="DA57" s="991">
        <f>CZ38/51*3/12+CZ39*9/12</f>
        <v>370001.86000911996</v>
      </c>
      <c r="DB57" s="996">
        <f t="shared" si="69"/>
        <v>15364201.385905912</v>
      </c>
      <c r="DC57" s="997"/>
      <c r="DD57" s="992">
        <f t="shared" ref="DD57" si="318">+DF56</f>
        <v>17915045.735294115</v>
      </c>
      <c r="DE57" s="991">
        <f>DD38/51*3/12+DD39*9/12</f>
        <v>422011.77382580942</v>
      </c>
      <c r="DF57" s="996">
        <f t="shared" si="71"/>
        <v>17493033.961468305</v>
      </c>
      <c r="DG57" s="997"/>
      <c r="DH57" s="992">
        <f t="shared" ref="DH57" si="319">+DJ56</f>
        <v>10257429.326797385</v>
      </c>
      <c r="DI57" s="991">
        <f>DH38/51*3/12+DH39*9/12</f>
        <v>233968.94482444139</v>
      </c>
      <c r="DJ57" s="996">
        <f t="shared" si="196"/>
        <v>10023460.381972943</v>
      </c>
      <c r="DK57" s="997"/>
      <c r="DL57" s="992">
        <f t="shared" ref="DL57" si="320">+DN56</f>
        <v>18388156.480392158</v>
      </c>
      <c r="DM57" s="991">
        <f>DL38/51*3/12+DL39*9/12</f>
        <v>422245.75832193339</v>
      </c>
      <c r="DN57" s="996">
        <f t="shared" si="198"/>
        <v>17965910.722070225</v>
      </c>
      <c r="DO57" s="997"/>
      <c r="DP57" s="992">
        <f t="shared" ref="DP57" si="321">+DR56</f>
        <v>11573763.439542484</v>
      </c>
      <c r="DQ57" s="991">
        <f>DP38/51*3/12+DP39*9/12</f>
        <v>269386.35932512541</v>
      </c>
      <c r="DR57" s="996">
        <f t="shared" si="73"/>
        <v>11304377.080217358</v>
      </c>
      <c r="DS57" s="997"/>
      <c r="DT57" s="992">
        <f t="shared" ref="DT57" si="322">+DV56</f>
        <v>86736911.513888881</v>
      </c>
      <c r="DU57" s="991">
        <f>DT38/51*3/12+DT39*9/12</f>
        <v>2039685.0155038759</v>
      </c>
      <c r="DV57" s="996">
        <f t="shared" si="75"/>
        <v>84697226.498385012</v>
      </c>
      <c r="DW57" s="997"/>
      <c r="DX57" s="992">
        <f t="shared" ref="DX57" si="323">+DZ56</f>
        <v>31231157</v>
      </c>
      <c r="DY57" s="991">
        <f>DX38/51*3/12+DX39*9/12</f>
        <v>719575.25581395358</v>
      </c>
      <c r="DZ57" s="996">
        <f t="shared" si="202"/>
        <v>30511581.744186047</v>
      </c>
      <c r="EA57" s="997"/>
      <c r="EB57" s="992">
        <f t="shared" ref="EB57" si="324">+ED56</f>
        <v>13196451.012254901</v>
      </c>
      <c r="EC57" s="817">
        <f>EB38/51*3/12+EB39*9/12</f>
        <v>300006.30962152302</v>
      </c>
      <c r="ED57" s="996">
        <f t="shared" ref="ED57:ED62" si="325">+EB57-EC57</f>
        <v>12896444.702633379</v>
      </c>
      <c r="EE57" s="997"/>
      <c r="EF57" s="992">
        <f t="shared" ref="EF57" si="326">+EH56</f>
        <v>81023037.939542487</v>
      </c>
      <c r="EG57" s="991">
        <f>EF38/51*3/12+EF39*9/12</f>
        <v>1892302.1988144096</v>
      </c>
      <c r="EH57" s="996">
        <f t="shared" si="77"/>
        <v>79130735.74072808</v>
      </c>
      <c r="EI57" s="997"/>
      <c r="EJ57" s="992">
        <f t="shared" ref="EJ57" si="327">+EL56</f>
        <v>1254120.794117647</v>
      </c>
      <c r="EK57" s="991">
        <f>EJ38/51*3/12+EJ39*9/12</f>
        <v>29091.387140902876</v>
      </c>
      <c r="EL57" s="996">
        <f t="shared" si="205"/>
        <v>1225029.4069767441</v>
      </c>
      <c r="EM57" s="997"/>
      <c r="EN57" s="992">
        <f t="shared" ref="EN57" si="328">+EP56</f>
        <v>195332.69117647057</v>
      </c>
      <c r="EO57" s="991">
        <f>EN38/51*3/12+EN39*9/12</f>
        <v>4593.3980848153215</v>
      </c>
      <c r="EP57" s="996">
        <f t="shared" si="79"/>
        <v>190739.29309165524</v>
      </c>
      <c r="EQ57" s="997"/>
      <c r="ER57" s="992">
        <f t="shared" ref="ER57" si="329">+ET56</f>
        <v>22773703.448529411</v>
      </c>
      <c r="ES57" s="991">
        <f>ER38/51*3/12+ER39*9/12</f>
        <v>524712.98084815324</v>
      </c>
      <c r="ET57" s="996">
        <f t="shared" si="208"/>
        <v>22248990.467681259</v>
      </c>
      <c r="EU57" s="997"/>
      <c r="EV57" s="992">
        <f t="shared" ref="EV57" si="330">+EX56</f>
        <v>1406434.0236928102</v>
      </c>
      <c r="EW57" s="991">
        <f>EV38/51*3/12+EV39*9/12</f>
        <v>32903.622891016865</v>
      </c>
      <c r="EX57" s="996">
        <f t="shared" si="81"/>
        <v>1373530.4008017934</v>
      </c>
      <c r="EY57" s="997"/>
      <c r="EZ57" s="992">
        <f t="shared" ref="EZ57" si="331">+FB56</f>
        <v>13310513.156862745</v>
      </c>
      <c r="FA57" s="817">
        <f>EZ38/51*3/12+EZ39*9/12</f>
        <v>301097.64888280892</v>
      </c>
      <c r="FB57" s="996">
        <f t="shared" ref="FB57:FB62" si="332">+EZ57-FA57</f>
        <v>13009415.507979937</v>
      </c>
      <c r="FC57" s="997"/>
      <c r="FD57" s="992">
        <f t="shared" ref="FD57" si="333">+FF56</f>
        <v>5930901.4003267968</v>
      </c>
      <c r="FE57" s="991">
        <f>FD38/51*3/12+FD39*9/12</f>
        <v>143162.62745098039</v>
      </c>
      <c r="FF57" s="996">
        <f t="shared" si="83"/>
        <v>5787738.7728758166</v>
      </c>
      <c r="FG57" s="997"/>
      <c r="FH57" s="992">
        <f t="shared" ref="FH57" si="334">+FJ56</f>
        <v>5088122.0490196077</v>
      </c>
      <c r="FI57" s="991">
        <f>FH38/51*3/12+FH39*9/12</f>
        <v>117231.86320109438</v>
      </c>
      <c r="FJ57" s="996">
        <f t="shared" si="212"/>
        <v>4970890.1858185129</v>
      </c>
      <c r="FK57" s="997"/>
      <c r="FL57" s="992">
        <f t="shared" ref="FL57" si="335">+FN56</f>
        <v>2985067.7647058829</v>
      </c>
      <c r="FM57" s="991">
        <f>FL38/51*3/12+FL39*9/12</f>
        <v>71424.437756497951</v>
      </c>
      <c r="FN57" s="996">
        <f t="shared" si="85"/>
        <v>2913643.326949385</v>
      </c>
      <c r="FO57" s="997"/>
      <c r="FP57" s="992">
        <f t="shared" ref="FP57" si="336">+FR56</f>
        <v>20568687.384803917</v>
      </c>
      <c r="FQ57" s="991">
        <f>FP38/51*3/12+FP39*9/12</f>
        <v>489581.96944824443</v>
      </c>
      <c r="FR57" s="996">
        <f t="shared" si="87"/>
        <v>20079105.415355671</v>
      </c>
      <c r="FS57" s="997"/>
      <c r="FT57" s="992">
        <f t="shared" ref="FT57" si="337">+FV56</f>
        <v>4543417.291666666</v>
      </c>
      <c r="FU57" s="991">
        <f>FT38/51*3/12+FT39*9/12</f>
        <v>108143.75968992247</v>
      </c>
      <c r="FV57" s="996">
        <f t="shared" si="89"/>
        <v>4435273.5319767436</v>
      </c>
      <c r="FW57" s="997"/>
      <c r="FX57" s="992">
        <f t="shared" ref="FX57" si="338">+FZ56</f>
        <v>19917311.472222228</v>
      </c>
      <c r="FY57" s="991">
        <f>FX38/51*3/12+FX39*9/12</f>
        <v>478239.95531235746</v>
      </c>
      <c r="FZ57" s="996">
        <f t="shared" si="91"/>
        <v>19439071.516909871</v>
      </c>
      <c r="GA57" s="997"/>
      <c r="GB57" s="992">
        <f t="shared" ref="GB57" si="339">+GD56</f>
        <v>3302012.4191176472</v>
      </c>
      <c r="GC57" s="991">
        <f>GB38/51*3/12+GB39*9/12</f>
        <v>79424.9781121751</v>
      </c>
      <c r="GD57" s="996">
        <f t="shared" si="93"/>
        <v>3222587.4410054721</v>
      </c>
      <c r="GE57" s="997"/>
      <c r="GF57" s="992">
        <f t="shared" ref="GF57" si="340">+GH56</f>
        <v>3138939.8570261435</v>
      </c>
      <c r="GG57" s="991">
        <f>GF38/51*3/12+GF39*9/12</f>
        <v>74974.982672138634</v>
      </c>
      <c r="GH57" s="996">
        <f t="shared" si="95"/>
        <v>3063964.8743540049</v>
      </c>
      <c r="GI57" s="997"/>
      <c r="GJ57" s="992">
        <f t="shared" ref="GJ57" si="341">+GL56</f>
        <v>725062.83333333326</v>
      </c>
      <c r="GK57" s="991">
        <f>GJ38/51*3/12+GJ39*9/12</f>
        <v>17409.679890560878</v>
      </c>
      <c r="GL57" s="996">
        <f t="shared" si="97"/>
        <v>707653.15344277234</v>
      </c>
      <c r="GM57" s="997"/>
      <c r="GN57" s="992">
        <f t="shared" ref="GN57" si="342">+GP56</f>
        <v>5911981.9076797385</v>
      </c>
      <c r="GO57" s="991">
        <f>GN38/51*3/12+GN39*9/12</f>
        <v>138786.12083903328</v>
      </c>
      <c r="GP57" s="996">
        <f t="shared" si="99"/>
        <v>5773195.7868407052</v>
      </c>
      <c r="GQ57" s="997"/>
      <c r="GR57" s="992">
        <f t="shared" ref="GR57" si="343">+GT56</f>
        <v>23458515.325163398</v>
      </c>
      <c r="GS57" s="991">
        <f>GR38/51*3/12+GR39*9/12</f>
        <v>535081.8321933425</v>
      </c>
      <c r="GT57" s="996">
        <f t="shared" si="222"/>
        <v>22923433.492970057</v>
      </c>
      <c r="GU57" s="997"/>
      <c r="GV57" s="992">
        <f t="shared" ref="GV57" si="344">+GX56</f>
        <v>21523963.30882353</v>
      </c>
      <c r="GW57" s="817">
        <f>GV38/51*3/12+GV39*9/12</f>
        <v>486894.43228454172</v>
      </c>
      <c r="GX57" s="996">
        <f t="shared" ref="GX57:GX62" si="345">+GV57-GW57</f>
        <v>21037068.876538988</v>
      </c>
      <c r="GY57" s="997"/>
      <c r="GZ57" s="992">
        <f>+GZ$38</f>
        <v>120381132</v>
      </c>
      <c r="HA57" s="996">
        <f>+GZ$39/12*(12.5-GZ$40)</f>
        <v>1749725.7558139537</v>
      </c>
      <c r="HB57" s="996">
        <f>+GZ57-HA57</f>
        <v>118631406.24418604</v>
      </c>
      <c r="HC57" s="997"/>
      <c r="HD57" s="992"/>
      <c r="HE57" s="996"/>
      <c r="HF57" s="996"/>
      <c r="HG57" s="997"/>
      <c r="HH57" s="992"/>
      <c r="HI57" s="996"/>
      <c r="HJ57" s="996"/>
      <c r="HK57" s="997"/>
      <c r="HL57" s="992"/>
      <c r="HM57" s="996"/>
      <c r="HN57" s="996"/>
      <c r="HO57" s="997"/>
      <c r="HP57" s="992"/>
      <c r="HQ57" s="996"/>
      <c r="HR57" s="996"/>
      <c r="HS57" s="997"/>
      <c r="HT57" s="992">
        <f t="shared" ref="HT57" si="346">+HV56</f>
        <v>106541.53349673202</v>
      </c>
      <c r="HU57" s="991">
        <f>HT38/51*3/12+HT39*9/12</f>
        <v>2430.1810305517556</v>
      </c>
      <c r="HV57" s="996">
        <f t="shared" si="224"/>
        <v>104111.35246618027</v>
      </c>
      <c r="HW57" s="997"/>
      <c r="HX57" s="992">
        <f t="shared" ref="HX57" si="347">+HZ56</f>
        <v>73901.572712418303</v>
      </c>
      <c r="HY57" s="991">
        <f>HX38/51*3/12+HX39*9/12</f>
        <v>1691.315549475604</v>
      </c>
      <c r="HZ57" s="996">
        <f t="shared" si="226"/>
        <v>72210.257162942697</v>
      </c>
      <c r="IA57" s="997"/>
      <c r="IB57" s="992">
        <f>+IB$38</f>
        <v>14147883</v>
      </c>
      <c r="IC57" s="996">
        <f>+IB$39/12*(12.5-IB$40)</f>
        <v>233056.21220930232</v>
      </c>
      <c r="ID57" s="996">
        <f>+IB57-IC57</f>
        <v>13914826.787790697</v>
      </c>
      <c r="IE57" s="997"/>
      <c r="IF57" s="992">
        <f>+IH56</f>
        <v>506416.59885620914</v>
      </c>
      <c r="IG57" s="817">
        <f>IF38/51*3/12+IF39*9/12</f>
        <v>11417.893752849977</v>
      </c>
      <c r="IH57" s="996">
        <f t="shared" ref="IH57:IH62" si="348">+IF57-IG57</f>
        <v>494998.70510335919</v>
      </c>
      <c r="II57" s="997"/>
      <c r="IJ57" s="992">
        <f t="shared" ref="IJ57" si="349">+IL56</f>
        <v>742083.91666666663</v>
      </c>
      <c r="IK57" s="817">
        <f>IJ38/51*3/12+IJ39*9/12</f>
        <v>16870.434108527134</v>
      </c>
      <c r="IL57" s="996">
        <f t="shared" ref="IL57:IL62" si="350">+IJ57-IK57</f>
        <v>725213.48255813948</v>
      </c>
      <c r="IM57" s="997"/>
      <c r="IN57" s="992">
        <f>+IN$38</f>
        <v>16278</v>
      </c>
      <c r="IO57" s="996">
        <f>IN38/51*2.5/12+IN39*9/12</f>
        <v>350.41370269037844</v>
      </c>
      <c r="IP57" s="996">
        <f>+IN57-IO57</f>
        <v>15927.586297309621</v>
      </c>
      <c r="IQ57" s="997"/>
      <c r="IR57" s="992">
        <f>+IR$38</f>
        <v>16278</v>
      </c>
      <c r="IS57" s="996">
        <f>IR38/51*2.5/12+IR39*9/12</f>
        <v>350.41370269037844</v>
      </c>
      <c r="IT57" s="996">
        <f>+IR57-IS57</f>
        <v>15927.586297309621</v>
      </c>
      <c r="IU57" s="997"/>
      <c r="IV57" s="992">
        <f>+IV$38</f>
        <v>858877</v>
      </c>
      <c r="IW57" s="996">
        <f>IV38/51*2.5/12+IV39*9/12</f>
        <v>18488.897267821856</v>
      </c>
      <c r="IX57" s="996">
        <f>+IV57-IW57</f>
        <v>840388.10273217817</v>
      </c>
      <c r="IY57" s="997"/>
      <c r="IZ57" s="992">
        <f>+IZ$38</f>
        <v>858877</v>
      </c>
      <c r="JA57" s="996">
        <f>IZ38/51*2.5/12+IZ39*9/12</f>
        <v>18488.897267821856</v>
      </c>
      <c r="JB57" s="996">
        <f>+IZ57-JA57</f>
        <v>840388.10273217817</v>
      </c>
      <c r="JC57" s="997"/>
      <c r="JD57" s="992">
        <f>+JF56</f>
        <v>233386.61111111112</v>
      </c>
      <c r="JE57" s="817">
        <f>JD38/51*3/12+JD39*9/12</f>
        <v>5270.728682170542</v>
      </c>
      <c r="JF57" s="996">
        <f t="shared" ref="JF57:JF62" si="351">+JD57-JE57</f>
        <v>228115.88242894059</v>
      </c>
      <c r="JG57" s="997"/>
      <c r="JH57" s="992">
        <f>+JH$38</f>
        <v>16717801</v>
      </c>
      <c r="JI57" s="996">
        <f>+JH$39/12*(12.5-JH$40)</f>
        <v>16199.41957364341</v>
      </c>
      <c r="JJ57" s="996">
        <f>+JH57-JI57</f>
        <v>16701601.580426356</v>
      </c>
      <c r="JK57" s="997"/>
      <c r="JL57" s="992">
        <f>+JL$38</f>
        <v>8758930</v>
      </c>
      <c r="JM57" s="996">
        <f>+JL$39/12*(12.5-JL$40)</f>
        <v>8487.3352713178301</v>
      </c>
      <c r="JN57" s="996">
        <f>+JL57-JM57</f>
        <v>8750442.6647286825</v>
      </c>
      <c r="JO57" s="997"/>
      <c r="JP57" s="992"/>
      <c r="JQ57" s="996"/>
      <c r="JR57" s="996"/>
      <c r="JS57" s="997"/>
      <c r="JT57" s="992"/>
      <c r="JU57" s="996"/>
      <c r="JV57" s="996"/>
      <c r="JW57" s="997"/>
      <c r="JX57" s="992"/>
      <c r="JY57" s="996"/>
      <c r="JZ57" s="996"/>
      <c r="KA57" s="997"/>
      <c r="KB57" s="992"/>
      <c r="KC57" s="996"/>
      <c r="KD57" s="996"/>
      <c r="KE57" s="997"/>
      <c r="KF57" s="992">
        <f>+KF$38</f>
        <v>4061382</v>
      </c>
      <c r="KG57" s="996">
        <f>+KF$39/12*(12.5-KF$40)</f>
        <v>59031.715116279076</v>
      </c>
      <c r="KH57" s="996">
        <f t="shared" ref="KH57:KH62" si="352">+KF57-KG57</f>
        <v>4002350.2848837208</v>
      </c>
      <c r="KI57" s="997"/>
      <c r="KJ57" s="992">
        <f>+KJ$38</f>
        <v>17513390</v>
      </c>
      <c r="KK57" s="996">
        <f>+KJ$39/12*(12.5-KJ$40)</f>
        <v>84851.695736434107</v>
      </c>
      <c r="KL57" s="996">
        <f>+KJ57-KK57</f>
        <v>17428538.304263566</v>
      </c>
      <c r="KM57" s="997"/>
      <c r="KN57" s="992"/>
      <c r="KO57" s="996"/>
      <c r="KP57" s="996"/>
      <c r="KQ57" s="997"/>
      <c r="KR57" s="992">
        <f>+KR$38</f>
        <v>3131641</v>
      </c>
      <c r="KS57" s="996">
        <f>+KR$39/12*(12.5-KR$40)</f>
        <v>3034.535852713178</v>
      </c>
      <c r="KT57" s="996">
        <f>+KR57-KS57</f>
        <v>3128606.464147287</v>
      </c>
      <c r="KU57" s="997"/>
      <c r="KV57" s="992"/>
      <c r="KW57" s="996"/>
      <c r="KX57" s="996"/>
      <c r="KY57" s="997"/>
      <c r="KZ57" s="992"/>
      <c r="LA57" s="996"/>
      <c r="LB57" s="996"/>
      <c r="LC57" s="997"/>
      <c r="LD57" s="992"/>
      <c r="LE57" s="996"/>
      <c r="LF57" s="996"/>
      <c r="LG57" s="997"/>
      <c r="LH57" s="992"/>
      <c r="LI57" s="996"/>
      <c r="LJ57" s="996"/>
      <c r="LK57" s="997"/>
      <c r="LL57" s="992"/>
      <c r="LM57" s="996"/>
      <c r="LN57" s="996"/>
      <c r="LO57" s="997"/>
      <c r="LP57" s="992">
        <f>+LP$38</f>
        <v>4216741</v>
      </c>
      <c r="LQ57" s="996">
        <f>+LP$39/12*(12.5-LP$40)</f>
        <v>20429.946705426359</v>
      </c>
      <c r="LR57" s="996">
        <f>+LP57-LQ57</f>
        <v>4196311.0532945739</v>
      </c>
      <c r="LS57" s="997"/>
      <c r="LT57" s="992"/>
      <c r="LU57" s="996"/>
      <c r="LV57" s="996"/>
      <c r="LW57" s="997"/>
      <c r="LX57" s="992"/>
      <c r="LY57" s="996"/>
      <c r="LZ57" s="996"/>
      <c r="MA57" s="997"/>
      <c r="MB57" s="992"/>
      <c r="MC57" s="996"/>
      <c r="MD57" s="996"/>
      <c r="ME57" s="997"/>
      <c r="MF57" s="992"/>
      <c r="MG57" s="996"/>
      <c r="MH57" s="996"/>
      <c r="MI57" s="997"/>
      <c r="MJ57" s="992"/>
      <c r="MK57" s="996"/>
      <c r="ML57" s="996"/>
      <c r="MM57" s="997"/>
      <c r="MN57" s="992"/>
      <c r="MO57" s="996"/>
      <c r="MP57" s="996"/>
      <c r="MQ57" s="997"/>
      <c r="MR57" s="992"/>
      <c r="MS57" s="996"/>
      <c r="MT57" s="996"/>
      <c r="MU57" s="997"/>
      <c r="MV57" s="992"/>
      <c r="MW57" s="996"/>
      <c r="MX57" s="996"/>
      <c r="MY57" s="997"/>
      <c r="MZ57" s="992"/>
      <c r="NA57" s="996"/>
      <c r="NB57" s="996"/>
      <c r="NC57" s="997"/>
      <c r="ND57" s="992"/>
      <c r="NE57" s="996"/>
      <c r="NF57" s="996"/>
      <c r="NG57" s="997"/>
      <c r="NH57" s="998"/>
      <c r="NI57" s="992"/>
      <c r="NJ57" s="997"/>
      <c r="NL57" s="977"/>
    </row>
    <row r="58" spans="1:376">
      <c r="A58" s="874">
        <v>35</v>
      </c>
      <c r="B58" s="992" t="str">
        <f t="shared" si="1"/>
        <v>W incentive</v>
      </c>
      <c r="C58" s="993">
        <f t="shared" si="2"/>
        <v>2013</v>
      </c>
      <c r="D58" s="992">
        <f t="shared" ref="D58:E58" si="353">+D57</f>
        <v>1722917.5400326794</v>
      </c>
      <c r="E58" s="991">
        <f t="shared" si="353"/>
        <v>42719.665754673959</v>
      </c>
      <c r="F58" s="996">
        <f t="shared" si="3"/>
        <v>1680197.8742780054</v>
      </c>
      <c r="G58" s="997"/>
      <c r="H58" s="992">
        <f t="shared" ref="H58:I58" si="354">+H57</f>
        <v>943974.37990196096</v>
      </c>
      <c r="I58" s="991">
        <f t="shared" si="354"/>
        <v>24060.206566347471</v>
      </c>
      <c r="J58" s="996">
        <f t="shared" si="0"/>
        <v>919914.17333561345</v>
      </c>
      <c r="K58" s="997"/>
      <c r="L58" s="992">
        <f>+L57</f>
        <v>591996</v>
      </c>
      <c r="M58" s="991">
        <f>+M57</f>
        <v>9751.8720930232557</v>
      </c>
      <c r="N58" s="996">
        <f>+L58-M58</f>
        <v>582244.12790697673</v>
      </c>
      <c r="O58" s="997"/>
      <c r="P58" s="992">
        <f t="shared" ref="P58:Q58" si="355">+P57</f>
        <v>7355686.6544117639</v>
      </c>
      <c r="Q58" s="991">
        <f t="shared" si="355"/>
        <v>183716.41723666212</v>
      </c>
      <c r="R58" s="996">
        <f t="shared" si="4"/>
        <v>7171970.2371751014</v>
      </c>
      <c r="S58" s="997"/>
      <c r="T58" s="992">
        <f t="shared" ref="T58:U58" si="356">+T57</f>
        <v>6462745.8676470583</v>
      </c>
      <c r="U58" s="991">
        <f t="shared" si="356"/>
        <v>160534.59097127221</v>
      </c>
      <c r="V58" s="996">
        <f t="shared" si="5"/>
        <v>6302211.2766757859</v>
      </c>
      <c r="W58" s="997"/>
      <c r="X58" s="992">
        <f t="shared" ref="X58:Y58" si="357">+X57</f>
        <v>2238744.8447712413</v>
      </c>
      <c r="Y58" s="991">
        <f t="shared" si="357"/>
        <v>53944.553579571366</v>
      </c>
      <c r="Z58" s="996">
        <f t="shared" si="34"/>
        <v>2184800.2911916701</v>
      </c>
      <c r="AA58" s="997"/>
      <c r="AB58" s="992">
        <f t="shared" ref="AB58:AC58" si="358">+AB57</f>
        <v>20332936.666666672</v>
      </c>
      <c r="AC58" s="991">
        <f t="shared" si="358"/>
        <v>488219.64432284544</v>
      </c>
      <c r="AD58" s="996">
        <f t="shared" si="37"/>
        <v>19844717.022343826</v>
      </c>
      <c r="AE58" s="997"/>
      <c r="AF58" s="992">
        <f t="shared" ref="AF58:AG58" si="359">+AF57</f>
        <v>42400064.999183007</v>
      </c>
      <c r="AG58" s="991">
        <f t="shared" si="359"/>
        <v>1007465.2261741904</v>
      </c>
      <c r="AH58" s="996">
        <f t="shared" si="40"/>
        <v>41392599.773008816</v>
      </c>
      <c r="AI58" s="997"/>
      <c r="AJ58" s="992">
        <f t="shared" ref="AJ58:AK58" si="360">+AJ57</f>
        <v>12926360.294117646</v>
      </c>
      <c r="AK58" s="991">
        <f t="shared" si="360"/>
        <v>303451.43638850888</v>
      </c>
      <c r="AL58" s="996">
        <f t="shared" si="42"/>
        <v>12622908.857729137</v>
      </c>
      <c r="AM58" s="997"/>
      <c r="AN58" s="992">
        <f t="shared" ref="AN58:AO58" si="361">+AN57</f>
        <v>10628220.960400328</v>
      </c>
      <c r="AO58" s="991">
        <f t="shared" si="361"/>
        <v>250793.3432877337</v>
      </c>
      <c r="AP58" s="996">
        <f t="shared" si="44"/>
        <v>10377427.617112594</v>
      </c>
      <c r="AQ58" s="997"/>
      <c r="AR58" s="992">
        <f t="shared" ref="AR58:AS58" si="362">+AR57</f>
        <v>13925175.749183007</v>
      </c>
      <c r="AS58" s="991">
        <f t="shared" si="362"/>
        <v>327461.19060647517</v>
      </c>
      <c r="AT58" s="996">
        <f t="shared" si="46"/>
        <v>13597714.558576532</v>
      </c>
      <c r="AU58" s="997"/>
      <c r="AV58" s="992">
        <f t="shared" ref="AV58:AW58" si="363">+AV57</f>
        <v>16141368.62745098</v>
      </c>
      <c r="AW58" s="991">
        <f t="shared" si="363"/>
        <v>377628.45417236659</v>
      </c>
      <c r="AX58" s="996">
        <f t="shared" si="48"/>
        <v>15763740.173278613</v>
      </c>
      <c r="AY58" s="997"/>
      <c r="AZ58" s="992">
        <f t="shared" ref="AZ58:BA58" si="364">+AZ57</f>
        <v>10907887.867647059</v>
      </c>
      <c r="BA58" s="991">
        <f t="shared" si="364"/>
        <v>253887.70177838579</v>
      </c>
      <c r="BB58" s="996">
        <f t="shared" si="50"/>
        <v>10654000.165868673</v>
      </c>
      <c r="BC58" s="997"/>
      <c r="BD58" s="992">
        <f t="shared" ref="BD58:BE58" si="365">+BD57</f>
        <v>88679539.552287579</v>
      </c>
      <c r="BE58" s="991">
        <f t="shared" si="365"/>
        <v>2050111.8267213865</v>
      </c>
      <c r="BF58" s="996">
        <f t="shared" si="171"/>
        <v>86629427.725566193</v>
      </c>
      <c r="BG58" s="997"/>
      <c r="BH58" s="992">
        <f t="shared" ref="BH58:BI58" si="366">+BH57</f>
        <v>13289450.674019607</v>
      </c>
      <c r="BI58" s="991">
        <f t="shared" si="366"/>
        <v>306709.72412220703</v>
      </c>
      <c r="BJ58" s="996">
        <f t="shared" si="173"/>
        <v>12982740.949897399</v>
      </c>
      <c r="BK58" s="997"/>
      <c r="BL58" s="992">
        <f t="shared" ref="BL58:BM58" si="367">+BL57</f>
        <v>3024389.1421568627</v>
      </c>
      <c r="BM58" s="991">
        <f t="shared" si="367"/>
        <v>69800.444140446867</v>
      </c>
      <c r="BN58" s="996">
        <f t="shared" si="175"/>
        <v>2954588.6980164158</v>
      </c>
      <c r="BO58" s="997"/>
      <c r="BP58" s="992">
        <f t="shared" ref="BP58:BQ58" si="368">+BP57</f>
        <v>2289634.272875817</v>
      </c>
      <c r="BQ58" s="991">
        <f t="shared" si="368"/>
        <v>54403.853169174647</v>
      </c>
      <c r="BR58" s="996">
        <f t="shared" si="53"/>
        <v>2235230.4197066422</v>
      </c>
      <c r="BS58" s="997"/>
      <c r="BT58" s="992">
        <f t="shared" ref="BT58:BU58" si="369">+BT57</f>
        <v>37804314.965686269</v>
      </c>
      <c r="BU58" s="991">
        <f t="shared" si="369"/>
        <v>871022.79343365261</v>
      </c>
      <c r="BV58" s="996">
        <f t="shared" si="179"/>
        <v>36933292.172252618</v>
      </c>
      <c r="BW58" s="997"/>
      <c r="BX58" s="992">
        <f t="shared" ref="BX58:BY58" si="370">+BX57</f>
        <v>158196854.25245097</v>
      </c>
      <c r="BY58" s="991">
        <f t="shared" si="370"/>
        <v>3651054.8641130868</v>
      </c>
      <c r="BZ58" s="996">
        <f t="shared" si="181"/>
        <v>154545799.38833788</v>
      </c>
      <c r="CA58" s="997"/>
      <c r="CB58" s="992">
        <f t="shared" ref="CB58:CC58" si="371">+CB57</f>
        <v>0</v>
      </c>
      <c r="CC58" s="996">
        <f t="shared" si="371"/>
        <v>0</v>
      </c>
      <c r="CD58" s="996">
        <f t="shared" si="183"/>
        <v>0</v>
      </c>
      <c r="CE58" s="997">
        <f t="shared" ref="CE58" si="372">+CB$37*(CB58+CD58)/2+CC58</f>
        <v>0</v>
      </c>
      <c r="CF58" s="992">
        <f t="shared" ref="CF58:CG58" si="373">+CF57</f>
        <v>12856600.413398691</v>
      </c>
      <c r="CG58" s="991">
        <f t="shared" si="373"/>
        <v>305484.85818513448</v>
      </c>
      <c r="CH58" s="996">
        <f t="shared" si="56"/>
        <v>12551115.555213556</v>
      </c>
      <c r="CI58" s="997"/>
      <c r="CJ58" s="992">
        <f t="shared" ref="CJ58:CK58" si="374">+CJ57</f>
        <v>13875136.610294117</v>
      </c>
      <c r="CK58" s="991">
        <f t="shared" si="374"/>
        <v>326846.55677154585</v>
      </c>
      <c r="CL58" s="996">
        <f t="shared" si="58"/>
        <v>13548290.05352257</v>
      </c>
      <c r="CM58" s="997"/>
      <c r="CN58" s="992">
        <f t="shared" ref="CN58:CO58" si="375">+CN57</f>
        <v>9987855.3627450988</v>
      </c>
      <c r="CO58" s="991">
        <f t="shared" si="375"/>
        <v>239400.72777017788</v>
      </c>
      <c r="CP58" s="996">
        <f t="shared" si="61"/>
        <v>9748454.6349749211</v>
      </c>
      <c r="CQ58" s="997"/>
      <c r="CR58" s="992">
        <f t="shared" ref="CR58:CS58" si="376">+CR57</f>
        <v>2888958.2802287582</v>
      </c>
      <c r="CS58" s="991">
        <f t="shared" si="376"/>
        <v>68644.352485180119</v>
      </c>
      <c r="CT58" s="996">
        <f t="shared" si="64"/>
        <v>2820313.9277435783</v>
      </c>
      <c r="CU58" s="997"/>
      <c r="CV58" s="992">
        <f t="shared" ref="CV58:CW58" si="377">+CV57</f>
        <v>10646439.995098041</v>
      </c>
      <c r="CW58" s="991">
        <f t="shared" si="377"/>
        <v>256988.30916552668</v>
      </c>
      <c r="CX58" s="996">
        <f t="shared" si="67"/>
        <v>10389451.685932515</v>
      </c>
      <c r="CY58" s="997"/>
      <c r="CZ58" s="992">
        <f t="shared" ref="CZ58:DA58" si="378">+CZ57</f>
        <v>15734203.245915033</v>
      </c>
      <c r="DA58" s="991">
        <f t="shared" si="378"/>
        <v>370001.86000911996</v>
      </c>
      <c r="DB58" s="996">
        <f t="shared" si="69"/>
        <v>15364201.385905912</v>
      </c>
      <c r="DC58" s="997"/>
      <c r="DD58" s="992">
        <f t="shared" ref="DD58:DE58" si="379">+DD57</f>
        <v>17915045.735294115</v>
      </c>
      <c r="DE58" s="991">
        <f t="shared" si="379"/>
        <v>422011.77382580942</v>
      </c>
      <c r="DF58" s="996">
        <f t="shared" si="71"/>
        <v>17493033.961468305</v>
      </c>
      <c r="DG58" s="997"/>
      <c r="DH58" s="992">
        <f t="shared" ref="DH58:DI58" si="380">+DH57</f>
        <v>10257429.326797385</v>
      </c>
      <c r="DI58" s="991">
        <f t="shared" si="380"/>
        <v>233968.94482444139</v>
      </c>
      <c r="DJ58" s="996">
        <f t="shared" si="196"/>
        <v>10023460.381972943</v>
      </c>
      <c r="DK58" s="997"/>
      <c r="DL58" s="992">
        <f t="shared" ref="DL58:DM58" si="381">+DL57</f>
        <v>18388156.480392158</v>
      </c>
      <c r="DM58" s="991">
        <f t="shared" si="381"/>
        <v>422245.75832193339</v>
      </c>
      <c r="DN58" s="996">
        <f t="shared" si="198"/>
        <v>17965910.722070225</v>
      </c>
      <c r="DO58" s="997"/>
      <c r="DP58" s="992">
        <f t="shared" ref="DP58:DQ58" si="382">+DP57</f>
        <v>11573763.439542484</v>
      </c>
      <c r="DQ58" s="991">
        <f t="shared" si="382"/>
        <v>269386.35932512541</v>
      </c>
      <c r="DR58" s="996">
        <f t="shared" si="73"/>
        <v>11304377.080217358</v>
      </c>
      <c r="DS58" s="997"/>
      <c r="DT58" s="992">
        <f t="shared" ref="DT58:DU58" si="383">+DT57</f>
        <v>86736911.513888881</v>
      </c>
      <c r="DU58" s="991">
        <f t="shared" si="383"/>
        <v>2039685.0155038759</v>
      </c>
      <c r="DV58" s="996">
        <f t="shared" si="75"/>
        <v>84697226.498385012</v>
      </c>
      <c r="DW58" s="997"/>
      <c r="DX58" s="992">
        <f t="shared" ref="DX58:DY58" si="384">+DX57</f>
        <v>31231157</v>
      </c>
      <c r="DY58" s="991">
        <f t="shared" si="384"/>
        <v>719575.25581395358</v>
      </c>
      <c r="DZ58" s="996">
        <f t="shared" si="202"/>
        <v>30511581.744186047</v>
      </c>
      <c r="EA58" s="997"/>
      <c r="EB58" s="992">
        <f t="shared" ref="EB58:EC58" si="385">+EB57</f>
        <v>13196451.012254901</v>
      </c>
      <c r="EC58" s="817">
        <f t="shared" si="385"/>
        <v>300006.30962152302</v>
      </c>
      <c r="ED58" s="996">
        <f t="shared" si="325"/>
        <v>12896444.702633379</v>
      </c>
      <c r="EE58" s="997"/>
      <c r="EF58" s="992">
        <f t="shared" ref="EF58:EG58" si="386">+EF57</f>
        <v>81023037.939542487</v>
      </c>
      <c r="EG58" s="991">
        <f t="shared" si="386"/>
        <v>1892302.1988144096</v>
      </c>
      <c r="EH58" s="996">
        <f t="shared" si="77"/>
        <v>79130735.74072808</v>
      </c>
      <c r="EI58" s="997"/>
      <c r="EJ58" s="992">
        <f t="shared" ref="EJ58:EK58" si="387">+EJ57</f>
        <v>1254120.794117647</v>
      </c>
      <c r="EK58" s="991">
        <f t="shared" si="387"/>
        <v>29091.387140902876</v>
      </c>
      <c r="EL58" s="996">
        <f t="shared" si="205"/>
        <v>1225029.4069767441</v>
      </c>
      <c r="EM58" s="997"/>
      <c r="EN58" s="992">
        <f t="shared" ref="EN58:EO58" si="388">+EN57</f>
        <v>195332.69117647057</v>
      </c>
      <c r="EO58" s="991">
        <f t="shared" si="388"/>
        <v>4593.3980848153215</v>
      </c>
      <c r="EP58" s="996">
        <f t="shared" si="79"/>
        <v>190739.29309165524</v>
      </c>
      <c r="EQ58" s="997"/>
      <c r="ER58" s="992">
        <f t="shared" ref="ER58:ES58" si="389">+ER57</f>
        <v>22773703.448529411</v>
      </c>
      <c r="ES58" s="991">
        <f t="shared" si="389"/>
        <v>524712.98084815324</v>
      </c>
      <c r="ET58" s="996">
        <f t="shared" si="208"/>
        <v>22248990.467681259</v>
      </c>
      <c r="EU58" s="997"/>
      <c r="EV58" s="992">
        <f t="shared" ref="EV58:EW58" si="390">+EV57</f>
        <v>1406434.0236928102</v>
      </c>
      <c r="EW58" s="991">
        <f t="shared" si="390"/>
        <v>32903.622891016865</v>
      </c>
      <c r="EX58" s="996">
        <f t="shared" si="81"/>
        <v>1373530.4008017934</v>
      </c>
      <c r="EY58" s="997"/>
      <c r="EZ58" s="992">
        <f t="shared" ref="EZ58:FA58" si="391">+EZ57</f>
        <v>13310513.156862745</v>
      </c>
      <c r="FA58" s="817">
        <f t="shared" si="391"/>
        <v>301097.64888280892</v>
      </c>
      <c r="FB58" s="996">
        <f t="shared" si="332"/>
        <v>13009415.507979937</v>
      </c>
      <c r="FC58" s="997"/>
      <c r="FD58" s="992">
        <f t="shared" ref="FD58:FE58" si="392">+FD57</f>
        <v>5930901.4003267968</v>
      </c>
      <c r="FE58" s="991">
        <f t="shared" si="392"/>
        <v>143162.62745098039</v>
      </c>
      <c r="FF58" s="996">
        <f t="shared" si="83"/>
        <v>5787738.7728758166</v>
      </c>
      <c r="FG58" s="997"/>
      <c r="FH58" s="992">
        <f t="shared" ref="FH58:FI58" si="393">+FH57</f>
        <v>5088122.0490196077</v>
      </c>
      <c r="FI58" s="991">
        <f t="shared" si="393"/>
        <v>117231.86320109438</v>
      </c>
      <c r="FJ58" s="996">
        <f t="shared" si="212"/>
        <v>4970890.1858185129</v>
      </c>
      <c r="FK58" s="997"/>
      <c r="FL58" s="992">
        <f t="shared" ref="FL58:FM58" si="394">+FL57</f>
        <v>2985067.7647058829</v>
      </c>
      <c r="FM58" s="991">
        <f t="shared" si="394"/>
        <v>71424.437756497951</v>
      </c>
      <c r="FN58" s="996">
        <f t="shared" si="85"/>
        <v>2913643.326949385</v>
      </c>
      <c r="FO58" s="997"/>
      <c r="FP58" s="992">
        <f t="shared" ref="FP58:FQ58" si="395">+FP57</f>
        <v>20568687.384803917</v>
      </c>
      <c r="FQ58" s="991">
        <f t="shared" si="395"/>
        <v>489581.96944824443</v>
      </c>
      <c r="FR58" s="996">
        <f t="shared" si="87"/>
        <v>20079105.415355671</v>
      </c>
      <c r="FS58" s="997"/>
      <c r="FT58" s="992">
        <f t="shared" ref="FT58:FU58" si="396">+FT57</f>
        <v>4543417.291666666</v>
      </c>
      <c r="FU58" s="991">
        <f t="shared" si="396"/>
        <v>108143.75968992247</v>
      </c>
      <c r="FV58" s="996">
        <f t="shared" si="89"/>
        <v>4435273.5319767436</v>
      </c>
      <c r="FW58" s="997"/>
      <c r="FX58" s="992">
        <f t="shared" ref="FX58:FY58" si="397">+FX57</f>
        <v>19917311.472222228</v>
      </c>
      <c r="FY58" s="991">
        <f t="shared" si="397"/>
        <v>478239.95531235746</v>
      </c>
      <c r="FZ58" s="996">
        <f t="shared" si="91"/>
        <v>19439071.516909871</v>
      </c>
      <c r="GA58" s="997"/>
      <c r="GB58" s="992">
        <f t="shared" ref="GB58:GC58" si="398">+GB57</f>
        <v>3302012.4191176472</v>
      </c>
      <c r="GC58" s="991">
        <f t="shared" si="398"/>
        <v>79424.9781121751</v>
      </c>
      <c r="GD58" s="996">
        <f t="shared" si="93"/>
        <v>3222587.4410054721</v>
      </c>
      <c r="GE58" s="997"/>
      <c r="GF58" s="992">
        <f t="shared" ref="GF58:GG58" si="399">+GF57</f>
        <v>3138939.8570261435</v>
      </c>
      <c r="GG58" s="991">
        <f t="shared" si="399"/>
        <v>74974.982672138634</v>
      </c>
      <c r="GH58" s="996">
        <f t="shared" si="95"/>
        <v>3063964.8743540049</v>
      </c>
      <c r="GI58" s="997"/>
      <c r="GJ58" s="992">
        <f t="shared" ref="GJ58:GK58" si="400">+GJ57</f>
        <v>725062.83333333326</v>
      </c>
      <c r="GK58" s="991">
        <f t="shared" si="400"/>
        <v>17409.679890560878</v>
      </c>
      <c r="GL58" s="996">
        <f t="shared" si="97"/>
        <v>707653.15344277234</v>
      </c>
      <c r="GM58" s="997"/>
      <c r="GN58" s="992">
        <f t="shared" ref="GN58:GO58" si="401">+GN57</f>
        <v>5911981.9076797385</v>
      </c>
      <c r="GO58" s="991">
        <f t="shared" si="401"/>
        <v>138786.12083903328</v>
      </c>
      <c r="GP58" s="996">
        <f t="shared" si="99"/>
        <v>5773195.7868407052</v>
      </c>
      <c r="GQ58" s="997"/>
      <c r="GR58" s="992">
        <f t="shared" ref="GR58:GS58" si="402">+GR57</f>
        <v>23458515.325163398</v>
      </c>
      <c r="GS58" s="991">
        <f t="shared" si="402"/>
        <v>535081.8321933425</v>
      </c>
      <c r="GT58" s="996">
        <f t="shared" si="222"/>
        <v>22923433.492970057</v>
      </c>
      <c r="GU58" s="997"/>
      <c r="GV58" s="992">
        <f t="shared" ref="GV58:GW58" si="403">+GV57</f>
        <v>21523963.30882353</v>
      </c>
      <c r="GW58" s="817">
        <f t="shared" si="403"/>
        <v>486894.43228454172</v>
      </c>
      <c r="GX58" s="996">
        <f t="shared" si="345"/>
        <v>21037068.876538988</v>
      </c>
      <c r="GY58" s="997"/>
      <c r="GZ58" s="992">
        <f>+GZ57</f>
        <v>120381132</v>
      </c>
      <c r="HA58" s="996">
        <f>+HA57</f>
        <v>1749725.7558139537</v>
      </c>
      <c r="HB58" s="996">
        <f>+GZ58-HA58</f>
        <v>118631406.24418604</v>
      </c>
      <c r="HC58" s="997"/>
      <c r="HD58" s="992"/>
      <c r="HE58" s="996"/>
      <c r="HF58" s="996"/>
      <c r="HG58" s="997"/>
      <c r="HH58" s="992"/>
      <c r="HI58" s="996"/>
      <c r="HJ58" s="996"/>
      <c r="HK58" s="997"/>
      <c r="HL58" s="992"/>
      <c r="HM58" s="996"/>
      <c r="HN58" s="996"/>
      <c r="HO58" s="997"/>
      <c r="HP58" s="992"/>
      <c r="HQ58" s="996"/>
      <c r="HR58" s="996"/>
      <c r="HS58" s="997"/>
      <c r="HT58" s="992">
        <f t="shared" ref="HT58:HU58" si="404">+HT57</f>
        <v>106541.53349673202</v>
      </c>
      <c r="HU58" s="991">
        <f t="shared" si="404"/>
        <v>2430.1810305517556</v>
      </c>
      <c r="HV58" s="996">
        <f t="shared" si="224"/>
        <v>104111.35246618027</v>
      </c>
      <c r="HW58" s="997"/>
      <c r="HX58" s="992">
        <f t="shared" ref="HX58:HY58" si="405">+HX57</f>
        <v>73901.572712418303</v>
      </c>
      <c r="HY58" s="991">
        <f t="shared" si="405"/>
        <v>1691.315549475604</v>
      </c>
      <c r="HZ58" s="996">
        <f t="shared" si="226"/>
        <v>72210.257162942697</v>
      </c>
      <c r="IA58" s="997"/>
      <c r="IB58" s="992">
        <f>+IB57</f>
        <v>14147883</v>
      </c>
      <c r="IC58" s="996">
        <f>+IC57</f>
        <v>233056.21220930232</v>
      </c>
      <c r="ID58" s="996">
        <f>+IB58-IC58</f>
        <v>13914826.787790697</v>
      </c>
      <c r="IE58" s="997"/>
      <c r="IF58" s="992">
        <f t="shared" ref="IF58:IG58" si="406">+IF57</f>
        <v>506416.59885620914</v>
      </c>
      <c r="IG58" s="817">
        <f t="shared" si="406"/>
        <v>11417.893752849977</v>
      </c>
      <c r="IH58" s="996">
        <f t="shared" si="348"/>
        <v>494998.70510335919</v>
      </c>
      <c r="II58" s="997"/>
      <c r="IJ58" s="992">
        <f t="shared" ref="IJ58:IK58" si="407">+IJ57</f>
        <v>742083.91666666663</v>
      </c>
      <c r="IK58" s="817">
        <f t="shared" si="407"/>
        <v>16870.434108527134</v>
      </c>
      <c r="IL58" s="996">
        <f t="shared" si="350"/>
        <v>725213.48255813948</v>
      </c>
      <c r="IM58" s="997"/>
      <c r="IN58" s="992">
        <f>+IN57</f>
        <v>16278</v>
      </c>
      <c r="IO58" s="996">
        <f>+IO57</f>
        <v>350.41370269037844</v>
      </c>
      <c r="IP58" s="996">
        <f>+IN58-IO58</f>
        <v>15927.586297309621</v>
      </c>
      <c r="IQ58" s="997"/>
      <c r="IR58" s="992">
        <f>+IR57</f>
        <v>16278</v>
      </c>
      <c r="IS58" s="996">
        <f>+IS57</f>
        <v>350.41370269037844</v>
      </c>
      <c r="IT58" s="996">
        <f>+IR58-IS58</f>
        <v>15927.586297309621</v>
      </c>
      <c r="IU58" s="997"/>
      <c r="IV58" s="992">
        <f>+IV57</f>
        <v>858877</v>
      </c>
      <c r="IW58" s="996">
        <f>+IW57</f>
        <v>18488.897267821856</v>
      </c>
      <c r="IX58" s="996">
        <f>+IV58-IW58</f>
        <v>840388.10273217817</v>
      </c>
      <c r="IY58" s="997"/>
      <c r="IZ58" s="992">
        <f>+IZ57</f>
        <v>858877</v>
      </c>
      <c r="JA58" s="996">
        <f>+JA57</f>
        <v>18488.897267821856</v>
      </c>
      <c r="JB58" s="996">
        <f>+IZ58-JA58</f>
        <v>840388.10273217817</v>
      </c>
      <c r="JC58" s="997"/>
      <c r="JD58" s="992">
        <f t="shared" ref="JD58:JE58" si="408">+JD57</f>
        <v>233386.61111111112</v>
      </c>
      <c r="JE58" s="817">
        <f t="shared" si="408"/>
        <v>5270.728682170542</v>
      </c>
      <c r="JF58" s="996">
        <f t="shared" si="351"/>
        <v>228115.88242894059</v>
      </c>
      <c r="JG58" s="997"/>
      <c r="JH58" s="992">
        <f>+JH57</f>
        <v>16717801</v>
      </c>
      <c r="JI58" s="996">
        <f>+JI57</f>
        <v>16199.41957364341</v>
      </c>
      <c r="JJ58" s="996">
        <f>+JH58-JI58</f>
        <v>16701601.580426356</v>
      </c>
      <c r="JK58" s="997"/>
      <c r="JL58" s="992">
        <f>+JL57</f>
        <v>8758930</v>
      </c>
      <c r="JM58" s="996">
        <f>+JM57</f>
        <v>8487.3352713178301</v>
      </c>
      <c r="JN58" s="996">
        <f>+JL58-JM58</f>
        <v>8750442.6647286825</v>
      </c>
      <c r="JO58" s="997"/>
      <c r="JP58" s="992"/>
      <c r="JQ58" s="996"/>
      <c r="JR58" s="996"/>
      <c r="JS58" s="997"/>
      <c r="JT58" s="992"/>
      <c r="JU58" s="996"/>
      <c r="JV58" s="996"/>
      <c r="JW58" s="997"/>
      <c r="JX58" s="992"/>
      <c r="JY58" s="996"/>
      <c r="JZ58" s="996"/>
      <c r="KA58" s="997"/>
      <c r="KB58" s="992"/>
      <c r="KC58" s="996"/>
      <c r="KD58" s="996"/>
      <c r="KE58" s="997"/>
      <c r="KF58" s="992">
        <f>+KF57</f>
        <v>4061382</v>
      </c>
      <c r="KG58" s="996">
        <f>+KG57</f>
        <v>59031.715116279076</v>
      </c>
      <c r="KH58" s="996">
        <f t="shared" si="352"/>
        <v>4002350.2848837208</v>
      </c>
      <c r="KI58" s="997"/>
      <c r="KJ58" s="992">
        <f>+KJ57</f>
        <v>17513390</v>
      </c>
      <c r="KK58" s="996">
        <f>+KK57</f>
        <v>84851.695736434107</v>
      </c>
      <c r="KL58" s="996">
        <f>+KJ58-KK58</f>
        <v>17428538.304263566</v>
      </c>
      <c r="KM58" s="997"/>
      <c r="KN58" s="992"/>
      <c r="KO58" s="996"/>
      <c r="KP58" s="996"/>
      <c r="KQ58" s="997"/>
      <c r="KR58" s="992">
        <f>+KR57</f>
        <v>3131641</v>
      </c>
      <c r="KS58" s="996">
        <f>+KS57</f>
        <v>3034.535852713178</v>
      </c>
      <c r="KT58" s="996">
        <f>+KR58-KS58</f>
        <v>3128606.464147287</v>
      </c>
      <c r="KU58" s="997"/>
      <c r="KV58" s="992"/>
      <c r="KW58" s="996"/>
      <c r="KX58" s="996"/>
      <c r="KY58" s="997"/>
      <c r="KZ58" s="992"/>
      <c r="LA58" s="996"/>
      <c r="LB58" s="996"/>
      <c r="LC58" s="997"/>
      <c r="LD58" s="992"/>
      <c r="LE58" s="996"/>
      <c r="LF58" s="996"/>
      <c r="LG58" s="997"/>
      <c r="LH58" s="992"/>
      <c r="LI58" s="996"/>
      <c r="LJ58" s="996"/>
      <c r="LK58" s="997"/>
      <c r="LL58" s="992"/>
      <c r="LM58" s="996"/>
      <c r="LN58" s="996"/>
      <c r="LO58" s="997"/>
      <c r="LP58" s="992">
        <f>+LP57</f>
        <v>4216741</v>
      </c>
      <c r="LQ58" s="996">
        <f>+LQ57</f>
        <v>20429.946705426359</v>
      </c>
      <c r="LR58" s="996">
        <f>+LP58-LQ58</f>
        <v>4196311.0532945739</v>
      </c>
      <c r="LS58" s="997"/>
      <c r="LT58" s="992"/>
      <c r="LU58" s="996"/>
      <c r="LV58" s="996"/>
      <c r="LW58" s="997"/>
      <c r="LX58" s="992"/>
      <c r="LY58" s="996"/>
      <c r="LZ58" s="996"/>
      <c r="MA58" s="997"/>
      <c r="MB58" s="992"/>
      <c r="MC58" s="996"/>
      <c r="MD58" s="996"/>
      <c r="ME58" s="997"/>
      <c r="MF58" s="992"/>
      <c r="MG58" s="996"/>
      <c r="MH58" s="996"/>
      <c r="MI58" s="997"/>
      <c r="MJ58" s="992"/>
      <c r="MK58" s="996"/>
      <c r="ML58" s="996"/>
      <c r="MM58" s="997"/>
      <c r="MN58" s="992"/>
      <c r="MO58" s="996"/>
      <c r="MP58" s="996"/>
      <c r="MQ58" s="997"/>
      <c r="MR58" s="992"/>
      <c r="MS58" s="996"/>
      <c r="MT58" s="996"/>
      <c r="MU58" s="997"/>
      <c r="MV58" s="992"/>
      <c r="MW58" s="996"/>
      <c r="MX58" s="996"/>
      <c r="MY58" s="997"/>
      <c r="MZ58" s="992"/>
      <c r="NA58" s="996"/>
      <c r="NB58" s="996"/>
      <c r="NC58" s="997"/>
      <c r="ND58" s="992"/>
      <c r="NE58" s="996"/>
      <c r="NF58" s="996"/>
      <c r="NG58" s="997"/>
      <c r="NH58" s="998"/>
      <c r="NI58" s="992"/>
      <c r="NJ58" s="997"/>
      <c r="NL58" s="977"/>
    </row>
    <row r="59" spans="1:376">
      <c r="A59" s="874">
        <v>36</v>
      </c>
      <c r="B59" s="992" t="str">
        <f t="shared" si="1"/>
        <v>W / O incentive</v>
      </c>
      <c r="C59" s="993">
        <f t="shared" si="2"/>
        <v>2014</v>
      </c>
      <c r="D59" s="992">
        <f t="shared" ref="D59" si="409">+F58</f>
        <v>1680197.8742780054</v>
      </c>
      <c r="E59" s="991">
        <f>D39</f>
        <v>44463.325581395351</v>
      </c>
      <c r="F59" s="996">
        <f t="shared" si="3"/>
        <v>1635734.5486966101</v>
      </c>
      <c r="G59" s="997"/>
      <c r="H59" s="992">
        <f t="shared" ref="H59" si="410">+J58</f>
        <v>919914.17333561345</v>
      </c>
      <c r="I59" s="991">
        <f>H39</f>
        <v>25042.255813953489</v>
      </c>
      <c r="J59" s="996">
        <f t="shared" si="0"/>
        <v>894871.91752165998</v>
      </c>
      <c r="K59" s="997"/>
      <c r="L59" s="992">
        <f t="shared" ref="L59" si="411">+N58</f>
        <v>582244.12790697673</v>
      </c>
      <c r="M59" s="991">
        <f>L39</f>
        <v>13767.348837209302</v>
      </c>
      <c r="N59" s="996">
        <f t="shared" ref="N59:N62" si="412">+L59-M59</f>
        <v>568476.77906976745</v>
      </c>
      <c r="O59" s="997"/>
      <c r="P59" s="992">
        <f t="shared" ref="P59" si="413">+R58</f>
        <v>7171970.2371751014</v>
      </c>
      <c r="Q59" s="991">
        <f>P39</f>
        <v>191215.04651162791</v>
      </c>
      <c r="R59" s="996">
        <f t="shared" si="4"/>
        <v>6980755.1906634737</v>
      </c>
      <c r="S59" s="997"/>
      <c r="T59" s="992">
        <f t="shared" ref="T59" si="414">+V58</f>
        <v>6302211.2766757859</v>
      </c>
      <c r="U59" s="991">
        <f>T39</f>
        <v>167087.02325581395</v>
      </c>
      <c r="V59" s="996">
        <f t="shared" si="5"/>
        <v>6135124.253419972</v>
      </c>
      <c r="W59" s="997"/>
      <c r="X59" s="992">
        <f t="shared" ref="X59" si="415">+Z58</f>
        <v>2184800.2911916701</v>
      </c>
      <c r="Y59" s="991">
        <f>X39</f>
        <v>56146.372093023259</v>
      </c>
      <c r="Z59" s="996">
        <f t="shared" si="34"/>
        <v>2128653.9190986468</v>
      </c>
      <c r="AA59" s="997"/>
      <c r="AB59" s="992">
        <f t="shared" ref="AB59" si="416">+AD58</f>
        <v>19844717.022343826</v>
      </c>
      <c r="AC59" s="991">
        <f>AB39</f>
        <v>508146.97674418607</v>
      </c>
      <c r="AD59" s="996">
        <f t="shared" si="37"/>
        <v>19336570.045599639</v>
      </c>
      <c r="AE59" s="997"/>
      <c r="AF59" s="992">
        <f t="shared" ref="AF59" si="417">+AH58</f>
        <v>41392599.773008816</v>
      </c>
      <c r="AG59" s="991">
        <f>AF39</f>
        <v>1048586.2558139535</v>
      </c>
      <c r="AH59" s="996">
        <f t="shared" si="40"/>
        <v>40344013.51719486</v>
      </c>
      <c r="AI59" s="997"/>
      <c r="AJ59" s="992">
        <f t="shared" ref="AJ59" si="418">+AL58</f>
        <v>12622908.857729137</v>
      </c>
      <c r="AK59" s="991">
        <f>AJ39</f>
        <v>315837.20930232556</v>
      </c>
      <c r="AL59" s="996">
        <f t="shared" si="42"/>
        <v>12307071.648426812</v>
      </c>
      <c r="AM59" s="997"/>
      <c r="AN59" s="992">
        <f t="shared" ref="AN59" si="419">+AP58</f>
        <v>10377427.617112594</v>
      </c>
      <c r="AO59" s="991">
        <f>AN39</f>
        <v>261029.80627906977</v>
      </c>
      <c r="AP59" s="996">
        <f t="shared" si="44"/>
        <v>10116397.810833523</v>
      </c>
      <c r="AQ59" s="997"/>
      <c r="AR59" s="992">
        <f t="shared" ref="AR59" si="420">+AT58</f>
        <v>13597714.558576532</v>
      </c>
      <c r="AS59" s="991">
        <f>AR39</f>
        <v>340826.95348837209</v>
      </c>
      <c r="AT59" s="996">
        <f t="shared" si="46"/>
        <v>13256887.605088159</v>
      </c>
      <c r="AU59" s="997"/>
      <c r="AV59" s="992">
        <f t="shared" ref="AV59" si="421">+AX58</f>
        <v>15763740.173278613</v>
      </c>
      <c r="AW59" s="991">
        <f>AV39</f>
        <v>393041.86046511628</v>
      </c>
      <c r="AX59" s="996">
        <f t="shared" si="48"/>
        <v>15370698.312813496</v>
      </c>
      <c r="AY59" s="997"/>
      <c r="AZ59" s="992">
        <f t="shared" ref="AZ59" si="422">+BB58</f>
        <v>10654000.165868673</v>
      </c>
      <c r="BA59" s="991">
        <f>AZ39</f>
        <v>264250.46511627908</v>
      </c>
      <c r="BB59" s="996">
        <f t="shared" si="50"/>
        <v>10389749.700752394</v>
      </c>
      <c r="BC59" s="997"/>
      <c r="BD59" s="992">
        <f t="shared" ref="BD59" si="423">+BF58</f>
        <v>86629427.725566193</v>
      </c>
      <c r="BE59" s="991">
        <f>BD39</f>
        <v>2133789.8604651163</v>
      </c>
      <c r="BF59" s="996">
        <f t="shared" si="171"/>
        <v>84495637.865101084</v>
      </c>
      <c r="BG59" s="997"/>
      <c r="BH59" s="992">
        <f t="shared" ref="BH59" si="424">+BJ58</f>
        <v>12982740.949897399</v>
      </c>
      <c r="BI59" s="991">
        <f>BH39</f>
        <v>319228.48837209301</v>
      </c>
      <c r="BJ59" s="996">
        <f t="shared" si="173"/>
        <v>12663512.461525306</v>
      </c>
      <c r="BK59" s="997"/>
      <c r="BL59" s="992">
        <f t="shared" ref="BL59" si="425">+BN58</f>
        <v>2954588.6980164158</v>
      </c>
      <c r="BM59" s="991">
        <f>BL39</f>
        <v>72649.441860465115</v>
      </c>
      <c r="BN59" s="996">
        <f t="shared" si="175"/>
        <v>2881939.2561559505</v>
      </c>
      <c r="BO59" s="997"/>
      <c r="BP59" s="992">
        <f t="shared" ref="BP59" si="426">+BR58</f>
        <v>2235230.4197066422</v>
      </c>
      <c r="BQ59" s="991">
        <f>BP39</f>
        <v>56624.41860465116</v>
      </c>
      <c r="BR59" s="996">
        <f t="shared" si="53"/>
        <v>2178606.0011019912</v>
      </c>
      <c r="BS59" s="997"/>
      <c r="BT59" s="992">
        <f t="shared" ref="BT59" si="427">+BV58</f>
        <v>36933292.172252618</v>
      </c>
      <c r="BU59" s="991">
        <f>BT39</f>
        <v>906574.74418604653</v>
      </c>
      <c r="BV59" s="996">
        <f t="shared" si="179"/>
        <v>36026717.428066574</v>
      </c>
      <c r="BW59" s="997"/>
      <c r="BX59" s="992">
        <f t="shared" ref="BX59" si="428">+BZ58</f>
        <v>154545799.38833788</v>
      </c>
      <c r="BY59" s="991">
        <f>BX39</f>
        <v>3800077.5116279069</v>
      </c>
      <c r="BZ59" s="996">
        <f t="shared" si="181"/>
        <v>150745721.87670997</v>
      </c>
      <c r="CA59" s="997"/>
      <c r="CB59" s="992">
        <f t="shared" ref="CB59" si="429">+CD58</f>
        <v>0</v>
      </c>
      <c r="CC59" s="996">
        <f t="shared" ref="CC59" si="430">CB40/51*3/12+CB41*9/12</f>
        <v>0</v>
      </c>
      <c r="CD59" s="996">
        <f t="shared" si="183"/>
        <v>0</v>
      </c>
      <c r="CE59" s="997">
        <f t="shared" ref="CE59" si="431">+CB$35*(CB59+CD59)/2+CC59</f>
        <v>0</v>
      </c>
      <c r="CF59" s="992">
        <f t="shared" ref="CF59" si="432">+CH58</f>
        <v>12551115.555213556</v>
      </c>
      <c r="CG59" s="991">
        <f>CF39</f>
        <v>317953.62790697673</v>
      </c>
      <c r="CH59" s="996">
        <f t="shared" si="56"/>
        <v>12233161.927306579</v>
      </c>
      <c r="CI59" s="997"/>
      <c r="CJ59" s="992">
        <f t="shared" ref="CJ59" si="433">+CL58</f>
        <v>13548290.05352257</v>
      </c>
      <c r="CK59" s="991">
        <f>CJ39</f>
        <v>340187.23255813954</v>
      </c>
      <c r="CL59" s="996">
        <f t="shared" si="58"/>
        <v>13208102.820964431</v>
      </c>
      <c r="CM59" s="997"/>
      <c r="CN59" s="992">
        <f t="shared" ref="CN59" si="434">+CP58</f>
        <v>9748454.6349749211</v>
      </c>
      <c r="CO59" s="991">
        <f>CN39</f>
        <v>249172.18604651163</v>
      </c>
      <c r="CP59" s="996">
        <f t="shared" si="61"/>
        <v>9499282.4489284102</v>
      </c>
      <c r="CQ59" s="997"/>
      <c r="CR59" s="992">
        <f t="shared" ref="CR59" si="435">+CT58</f>
        <v>2820313.9277435783</v>
      </c>
      <c r="CS59" s="991">
        <f>CR39</f>
        <v>71446.162790697679</v>
      </c>
      <c r="CT59" s="996">
        <f t="shared" si="64"/>
        <v>2748867.7649528808</v>
      </c>
      <c r="CU59" s="997"/>
      <c r="CV59" s="992">
        <f t="shared" ref="CV59" si="436">+CX58</f>
        <v>10389451.685932515</v>
      </c>
      <c r="CW59" s="991">
        <f>CV39</f>
        <v>267477.62790697673</v>
      </c>
      <c r="CX59" s="996">
        <f t="shared" si="67"/>
        <v>10121974.058025539</v>
      </c>
      <c r="CY59" s="997"/>
      <c r="CZ59" s="992">
        <f t="shared" ref="CZ59" si="437">+DB58</f>
        <v>15364201.385905912</v>
      </c>
      <c r="DA59" s="991">
        <f>CZ39</f>
        <v>385103.97674418607</v>
      </c>
      <c r="DB59" s="996">
        <f t="shared" si="69"/>
        <v>14979097.409161726</v>
      </c>
      <c r="DC59" s="997"/>
      <c r="DD59" s="992">
        <f t="shared" ref="DD59" si="438">+DF58</f>
        <v>17493033.961468305</v>
      </c>
      <c r="DE59" s="991">
        <f>DD39</f>
        <v>439236.74418604653</v>
      </c>
      <c r="DF59" s="996">
        <f t="shared" si="71"/>
        <v>17053797.217282258</v>
      </c>
      <c r="DG59" s="997"/>
      <c r="DH59" s="992">
        <f t="shared" ref="DH59" si="439">+DJ58</f>
        <v>10023460.381972943</v>
      </c>
      <c r="DI59" s="991">
        <f>DH39</f>
        <v>243518.6976744186</v>
      </c>
      <c r="DJ59" s="996">
        <f t="shared" si="196"/>
        <v>9779941.6842985246</v>
      </c>
      <c r="DK59" s="997"/>
      <c r="DL59" s="992">
        <f t="shared" ref="DL59" si="440">+DN58</f>
        <v>17965910.722070225</v>
      </c>
      <c r="DM59" s="991">
        <f>DL39</f>
        <v>439480.27906976745</v>
      </c>
      <c r="DN59" s="996">
        <f t="shared" si="198"/>
        <v>17526430.443000458</v>
      </c>
      <c r="DO59" s="997"/>
      <c r="DP59" s="992">
        <f t="shared" ref="DP59" si="441">+DR58</f>
        <v>11304377.080217358</v>
      </c>
      <c r="DQ59" s="991">
        <f>DP39</f>
        <v>280381.72093023255</v>
      </c>
      <c r="DR59" s="996">
        <f t="shared" si="73"/>
        <v>11023995.359287126</v>
      </c>
      <c r="DS59" s="997"/>
      <c r="DT59" s="992">
        <f t="shared" ref="DT59" si="442">+DV58</f>
        <v>84697226.498385012</v>
      </c>
      <c r="DU59" s="991">
        <f>DT39</f>
        <v>2122937.4651162792</v>
      </c>
      <c r="DV59" s="996">
        <f t="shared" si="75"/>
        <v>82574289.033268735</v>
      </c>
      <c r="DW59" s="997"/>
      <c r="DX59" s="992">
        <f t="shared" ref="DX59" si="443">+DZ58</f>
        <v>30511581.744186047</v>
      </c>
      <c r="DY59" s="991">
        <f>DX39</f>
        <v>748945.6744186047</v>
      </c>
      <c r="DZ59" s="996">
        <f t="shared" si="202"/>
        <v>29762636.069767442</v>
      </c>
      <c r="EA59" s="997"/>
      <c r="EB59" s="992">
        <f t="shared" ref="EB59" si="444">+ED58</f>
        <v>12896444.702633379</v>
      </c>
      <c r="EC59" s="991">
        <f>EB39</f>
        <v>312251.46511627908</v>
      </c>
      <c r="ED59" s="996">
        <f t="shared" si="325"/>
        <v>12584193.2375171</v>
      </c>
      <c r="EE59" s="997"/>
      <c r="EF59" s="992">
        <f t="shared" ref="EF59" si="445">+EH58</f>
        <v>79130735.74072808</v>
      </c>
      <c r="EG59" s="991">
        <f>EF39</f>
        <v>1969539.0232558139</v>
      </c>
      <c r="EH59" s="996">
        <f t="shared" si="77"/>
        <v>77161196.71747227</v>
      </c>
      <c r="EI59" s="997"/>
      <c r="EJ59" s="992">
        <f t="shared" ref="EJ59" si="446">+EL58</f>
        <v>1225029.4069767441</v>
      </c>
      <c r="EK59" s="991">
        <f>EJ39</f>
        <v>30278.79069767442</v>
      </c>
      <c r="EL59" s="996">
        <f t="shared" si="205"/>
        <v>1194750.6162790696</v>
      </c>
      <c r="EM59" s="997"/>
      <c r="EN59" s="992">
        <f t="shared" ref="EN59" si="447">+EP58</f>
        <v>190739.29309165524</v>
      </c>
      <c r="EO59" s="991">
        <f>EN39</f>
        <v>4780.8837209302328</v>
      </c>
      <c r="EP59" s="996">
        <f t="shared" si="79"/>
        <v>185958.40937072501</v>
      </c>
      <c r="EQ59" s="997"/>
      <c r="ER59" s="992">
        <f t="shared" ref="ER59" si="448">+ET58</f>
        <v>22248990.467681259</v>
      </c>
      <c r="ES59" s="991">
        <f>ER39</f>
        <v>546129.83720930235</v>
      </c>
      <c r="ET59" s="996">
        <f t="shared" si="208"/>
        <v>21702860.630471956</v>
      </c>
      <c r="EU59" s="997"/>
      <c r="EV59" s="992">
        <f t="shared" ref="EV59" si="449">+EX58</f>
        <v>1373530.4008017934</v>
      </c>
      <c r="EW59" s="991">
        <f>EV39</f>
        <v>34246.627906976741</v>
      </c>
      <c r="EX59" s="996">
        <f t="shared" si="81"/>
        <v>1339283.7728948167</v>
      </c>
      <c r="EY59" s="997"/>
      <c r="EZ59" s="992">
        <f t="shared" ref="EZ59" si="450">+FB58</f>
        <v>13009415.507979937</v>
      </c>
      <c r="FA59" s="991">
        <f>EZ39</f>
        <v>313387.34883720928</v>
      </c>
      <c r="FB59" s="996">
        <f t="shared" si="332"/>
        <v>12696028.159142727</v>
      </c>
      <c r="FC59" s="997"/>
      <c r="FD59" s="992">
        <f t="shared" ref="FD59" si="451">+FF58</f>
        <v>5787738.7728758166</v>
      </c>
      <c r="FE59" s="991">
        <f>FD39</f>
        <v>149006</v>
      </c>
      <c r="FF59" s="996">
        <f t="shared" si="83"/>
        <v>5638732.7728758166</v>
      </c>
      <c r="FG59" s="997"/>
      <c r="FH59" s="992">
        <f t="shared" ref="FH59" si="452">+FJ58</f>
        <v>4970890.1858185129</v>
      </c>
      <c r="FI59" s="991">
        <f>FH39</f>
        <v>122016.83720930232</v>
      </c>
      <c r="FJ59" s="996">
        <f t="shared" si="212"/>
        <v>4848873.3486092109</v>
      </c>
      <c r="FK59" s="997"/>
      <c r="FL59" s="992">
        <f t="shared" ref="FL59" si="453">+FN58</f>
        <v>2913643.326949385</v>
      </c>
      <c r="FM59" s="991">
        <f>FL39</f>
        <v>74339.720930232565</v>
      </c>
      <c r="FN59" s="996">
        <f t="shared" si="85"/>
        <v>2839303.6060191523</v>
      </c>
      <c r="FO59" s="997"/>
      <c r="FP59" s="992">
        <f t="shared" ref="FP59" si="454">+FR58</f>
        <v>20079105.415355671</v>
      </c>
      <c r="FQ59" s="991">
        <f>FP39</f>
        <v>509564.90697674418</v>
      </c>
      <c r="FR59" s="996">
        <f t="shared" si="87"/>
        <v>19569540.508378927</v>
      </c>
      <c r="FS59" s="997"/>
      <c r="FT59" s="992">
        <f t="shared" ref="FT59" si="455">+FV58</f>
        <v>4435273.5319767436</v>
      </c>
      <c r="FU59" s="991">
        <f>FT39</f>
        <v>112557.79069767441</v>
      </c>
      <c r="FV59" s="996">
        <f t="shared" si="89"/>
        <v>4322715.7412790693</v>
      </c>
      <c r="FW59" s="997"/>
      <c r="FX59" s="992">
        <f t="shared" ref="FX59" si="456">+FZ58</f>
        <v>19439071.516909871</v>
      </c>
      <c r="FY59" s="991">
        <f>FX39</f>
        <v>497759.95348837209</v>
      </c>
      <c r="FZ59" s="996">
        <f t="shared" si="91"/>
        <v>18941311.563421499</v>
      </c>
      <c r="GA59" s="997"/>
      <c r="GB59" s="992">
        <f t="shared" ref="GB59" si="457">+GD58</f>
        <v>3222587.4410054721</v>
      </c>
      <c r="GC59" s="991">
        <f>GB39</f>
        <v>82666.813953488367</v>
      </c>
      <c r="GD59" s="996">
        <f t="shared" si="93"/>
        <v>3139920.627051984</v>
      </c>
      <c r="GE59" s="997"/>
      <c r="GF59" s="992">
        <f t="shared" ref="GF59" si="458">+GH58</f>
        <v>3063964.8743540049</v>
      </c>
      <c r="GG59" s="991">
        <f>GF39</f>
        <v>78035.186046511633</v>
      </c>
      <c r="GH59" s="996">
        <f t="shared" si="95"/>
        <v>2985929.688307493</v>
      </c>
      <c r="GI59" s="997"/>
      <c r="GJ59" s="992">
        <f t="shared" ref="GJ59" si="459">+GL58</f>
        <v>707653.15344277234</v>
      </c>
      <c r="GK59" s="991">
        <f>GJ39</f>
        <v>18120.279069767443</v>
      </c>
      <c r="GL59" s="996">
        <f t="shared" si="97"/>
        <v>689532.87437300489</v>
      </c>
      <c r="GM59" s="997"/>
      <c r="GN59" s="992">
        <f t="shared" ref="GN59" si="460">+GP58</f>
        <v>5773195.7868407052</v>
      </c>
      <c r="GO59" s="991">
        <f>GN39</f>
        <v>144450.86046511628</v>
      </c>
      <c r="GP59" s="996">
        <f t="shared" si="99"/>
        <v>5628744.9263755893</v>
      </c>
      <c r="GQ59" s="997"/>
      <c r="GR59" s="992">
        <f t="shared" ref="GR59" si="461">+GT58</f>
        <v>22923433.492970057</v>
      </c>
      <c r="GS59" s="991">
        <f>GR39</f>
        <v>556921.90697674418</v>
      </c>
      <c r="GT59" s="996">
        <f t="shared" si="222"/>
        <v>22366511.585993312</v>
      </c>
      <c r="GU59" s="997"/>
      <c r="GV59" s="992">
        <f t="shared" ref="GV59" si="462">+GX58</f>
        <v>21037068.876538988</v>
      </c>
      <c r="GW59" s="991">
        <f>GV39</f>
        <v>506767.67441860464</v>
      </c>
      <c r="GX59" s="996">
        <f t="shared" si="345"/>
        <v>20530301.202120382</v>
      </c>
      <c r="GY59" s="997"/>
      <c r="GZ59" s="992">
        <f t="shared" ref="GZ59" si="463">+HB58</f>
        <v>118631406.24418604</v>
      </c>
      <c r="HA59" s="991">
        <f>GZ39</f>
        <v>2799561.2093023257</v>
      </c>
      <c r="HB59" s="996">
        <f t="shared" ref="HB59:HB62" si="464">+GZ59-HA59</f>
        <v>115831845.03488372</v>
      </c>
      <c r="HC59" s="997"/>
      <c r="HD59" s="992">
        <f>+HD$38</f>
        <v>126055105</v>
      </c>
      <c r="HE59" s="996">
        <f>+HD$39/12*(12.5-HD$40)</f>
        <v>1832196.2936046512</v>
      </c>
      <c r="HF59" s="996">
        <f>+HD59-HE59</f>
        <v>124222908.70639534</v>
      </c>
      <c r="HG59" s="997"/>
      <c r="HH59" s="992">
        <f>+HH$38</f>
        <v>2100000</v>
      </c>
      <c r="HI59" s="996">
        <f>+HH$39/12*(12.5-HH$40)</f>
        <v>2034.8837209302326</v>
      </c>
      <c r="HJ59" s="996">
        <f>+HH59-HI59</f>
        <v>2097965.1162790698</v>
      </c>
      <c r="HK59" s="997"/>
      <c r="HL59" s="992"/>
      <c r="HM59" s="991"/>
      <c r="HN59" s="996"/>
      <c r="HO59" s="997"/>
      <c r="HP59" s="992"/>
      <c r="HQ59" s="991"/>
      <c r="HR59" s="996"/>
      <c r="HS59" s="997"/>
      <c r="HT59" s="992">
        <f t="shared" ref="HT59" si="465">+HV58</f>
        <v>104111.35246618027</v>
      </c>
      <c r="HU59" s="991">
        <f>HT39</f>
        <v>2529.3720930232557</v>
      </c>
      <c r="HV59" s="996">
        <f t="shared" si="224"/>
        <v>101581.98037315701</v>
      </c>
      <c r="HW59" s="997"/>
      <c r="HX59" s="992">
        <f t="shared" ref="HX59" si="466">+HZ58</f>
        <v>72210.257162942697</v>
      </c>
      <c r="HY59" s="991">
        <f>HX39</f>
        <v>1760.3488372093022</v>
      </c>
      <c r="HZ59" s="996">
        <f t="shared" si="226"/>
        <v>70449.908325733399</v>
      </c>
      <c r="IA59" s="997"/>
      <c r="IB59" s="992">
        <f t="shared" ref="IB59" si="467">+ID58</f>
        <v>13914826.787790697</v>
      </c>
      <c r="IC59" s="991">
        <f>IB39</f>
        <v>329020.53488372092</v>
      </c>
      <c r="ID59" s="996">
        <f t="shared" ref="ID59:ID62" si="468">+IB59-IC59</f>
        <v>13585806.252906976</v>
      </c>
      <c r="IE59" s="997"/>
      <c r="IF59" s="992">
        <f t="shared" ref="IF59" si="469">+IH58</f>
        <v>494998.70510335919</v>
      </c>
      <c r="IG59" s="991">
        <f>IF39</f>
        <v>11883.930232558139</v>
      </c>
      <c r="IH59" s="996">
        <f t="shared" si="348"/>
        <v>483114.77487080102</v>
      </c>
      <c r="II59" s="997"/>
      <c r="IJ59" s="992">
        <f t="shared" ref="IJ59" si="470">+IL58</f>
        <v>725213.48255813948</v>
      </c>
      <c r="IK59" s="991">
        <f>IJ39</f>
        <v>17559.023255813954</v>
      </c>
      <c r="IL59" s="996">
        <f t="shared" si="350"/>
        <v>707654.4593023255</v>
      </c>
      <c r="IM59" s="997"/>
      <c r="IN59" s="992">
        <f t="shared" ref="IN59" si="471">+IP58</f>
        <v>15927.586297309621</v>
      </c>
      <c r="IO59" s="991">
        <f>IN39</f>
        <v>378.55813953488371</v>
      </c>
      <c r="IP59" s="996">
        <f t="shared" ref="IP59:IP62" si="472">+IN59-IO59</f>
        <v>15549.028157774737</v>
      </c>
      <c r="IQ59" s="997"/>
      <c r="IR59" s="992">
        <f t="shared" ref="IR59" si="473">+IT58</f>
        <v>15927.586297309621</v>
      </c>
      <c r="IS59" s="991">
        <f>IR39</f>
        <v>378.55813953488371</v>
      </c>
      <c r="IT59" s="996">
        <f t="shared" ref="IT59:IT62" si="474">+IR59-IS59</f>
        <v>15549.028157774737</v>
      </c>
      <c r="IU59" s="997"/>
      <c r="IV59" s="992">
        <f t="shared" ref="IV59" si="475">+IX58</f>
        <v>840388.10273217817</v>
      </c>
      <c r="IW59" s="991">
        <f>IV39</f>
        <v>19973.883720930233</v>
      </c>
      <c r="IX59" s="996">
        <f t="shared" ref="IX59:IX62" si="476">+IV59-IW59</f>
        <v>820414.21901124797</v>
      </c>
      <c r="IY59" s="997"/>
      <c r="IZ59" s="992">
        <f t="shared" ref="IZ59" si="477">+JB58</f>
        <v>840388.10273217817</v>
      </c>
      <c r="JA59" s="991">
        <f>IZ39</f>
        <v>19973.883720930233</v>
      </c>
      <c r="JB59" s="996">
        <f t="shared" ref="JB59:JB62" si="478">+IZ59-JA59</f>
        <v>820414.21901124797</v>
      </c>
      <c r="JC59" s="997"/>
      <c r="JD59" s="992">
        <f t="shared" ref="JD59" si="479">+JF58</f>
        <v>228115.88242894059</v>
      </c>
      <c r="JE59" s="991">
        <f>JD39</f>
        <v>5485.8604651162786</v>
      </c>
      <c r="JF59" s="996">
        <f t="shared" si="351"/>
        <v>222630.02196382431</v>
      </c>
      <c r="JG59" s="997"/>
      <c r="JH59" s="992">
        <f t="shared" ref="JH59" si="480">+JJ58</f>
        <v>16701601.580426356</v>
      </c>
      <c r="JI59" s="991">
        <f>JH39</f>
        <v>388786.06976744183</v>
      </c>
      <c r="JJ59" s="996">
        <f t="shared" ref="JJ59:JJ62" si="481">+JH59-JI59</f>
        <v>16312815.510658914</v>
      </c>
      <c r="JK59" s="997"/>
      <c r="JL59" s="992">
        <f t="shared" ref="JL59" si="482">+JN58</f>
        <v>8750442.6647286825</v>
      </c>
      <c r="JM59" s="991">
        <f>JL39</f>
        <v>203696.04651162791</v>
      </c>
      <c r="JN59" s="996">
        <f t="shared" ref="JN59:JN62" si="483">+JL59-JM59</f>
        <v>8546746.6182170548</v>
      </c>
      <c r="JO59" s="997"/>
      <c r="JP59" s="992">
        <f>+JP$38</f>
        <v>1617569</v>
      </c>
      <c r="JQ59" s="996">
        <f>+JP$39/12*(12.5-JP$40)</f>
        <v>36050.471899224802</v>
      </c>
      <c r="JR59" s="996">
        <f>+JP59-JQ59</f>
        <v>1581518.5281007751</v>
      </c>
      <c r="JS59" s="997"/>
      <c r="JT59" s="992">
        <f>+JT$38</f>
        <v>246157</v>
      </c>
      <c r="JU59" s="996">
        <f>+JT$39/12*(12.5-JT$40)</f>
        <v>238.52422480620154</v>
      </c>
      <c r="JV59" s="996">
        <f>+JT59-JU59</f>
        <v>245918.4757751938</v>
      </c>
      <c r="JW59" s="997"/>
      <c r="JX59" s="992"/>
      <c r="JY59" s="991"/>
      <c r="JZ59" s="996"/>
      <c r="KA59" s="997"/>
      <c r="KB59" s="992"/>
      <c r="KC59" s="991"/>
      <c r="KD59" s="996"/>
      <c r="KE59" s="997"/>
      <c r="KF59" s="992">
        <f t="shared" ref="KF59" si="484">+KH58</f>
        <v>4002350.2848837208</v>
      </c>
      <c r="KG59" s="991">
        <f>KF39</f>
        <v>94450.744186046519</v>
      </c>
      <c r="KH59" s="996">
        <f t="shared" si="352"/>
        <v>3907899.5406976743</v>
      </c>
      <c r="KI59" s="997"/>
      <c r="KJ59" s="992">
        <f t="shared" ref="KJ59" si="485">+KL58</f>
        <v>17428538.304263566</v>
      </c>
      <c r="KK59" s="991">
        <f>KJ39</f>
        <v>407288.13953488372</v>
      </c>
      <c r="KL59" s="996">
        <f t="shared" ref="KL59:KL62" si="486">+KJ59-KK59</f>
        <v>17021250.164728682</v>
      </c>
      <c r="KM59" s="997"/>
      <c r="KN59" s="992">
        <f>+KN$38</f>
        <v>16038226</v>
      </c>
      <c r="KO59" s="996">
        <f>+KN$39/12*(12.5-KN$40)</f>
        <v>15540.916666666666</v>
      </c>
      <c r="KP59" s="996">
        <f>+KN59-KO59</f>
        <v>16022685.083333334</v>
      </c>
      <c r="KQ59" s="997"/>
      <c r="KR59" s="992">
        <f t="shared" ref="KR59" si="487">+KT58</f>
        <v>3128606.464147287</v>
      </c>
      <c r="KS59" s="991">
        <f>KR39</f>
        <v>72828.860465116275</v>
      </c>
      <c r="KT59" s="996">
        <f t="shared" ref="KT59:KT62" si="488">+KR59-KS59</f>
        <v>3055777.6036821706</v>
      </c>
      <c r="KU59" s="997"/>
      <c r="KV59" s="992">
        <f>+KV$38</f>
        <v>39218353</v>
      </c>
      <c r="KW59" s="996">
        <f>+KV$39/12*(12.5-KV$40)</f>
        <v>570034.2005813953</v>
      </c>
      <c r="KX59" s="996">
        <f>+KV59-KW59</f>
        <v>38648318.799418606</v>
      </c>
      <c r="KY59" s="997"/>
      <c r="KZ59" s="992">
        <f>+KZ$38</f>
        <v>18443400</v>
      </c>
      <c r="LA59" s="996">
        <f>+KZ$39/12*(12.5-KZ$40)</f>
        <v>232329.65116279072</v>
      </c>
      <c r="LB59" s="996">
        <f>+KZ59-LA59</f>
        <v>18211070.348837208</v>
      </c>
      <c r="LC59" s="997"/>
      <c r="LD59" s="992">
        <f>+LD$38</f>
        <v>27157860</v>
      </c>
      <c r="LE59" s="996">
        <f>+LD$39/12*(12.5-LD$40)</f>
        <v>236841.80232558138</v>
      </c>
      <c r="LF59" s="996">
        <f>+LD59-LE59</f>
        <v>26921018.19767442</v>
      </c>
      <c r="LG59" s="997"/>
      <c r="LH59" s="992">
        <f>+LH$38</f>
        <v>7917561</v>
      </c>
      <c r="LI59" s="996">
        <f>+LH$39/12*(12.5-LH$40)</f>
        <v>38360.276162790702</v>
      </c>
      <c r="LJ59" s="996">
        <f>+LH59-LI59</f>
        <v>7879200.7238372089</v>
      </c>
      <c r="LK59" s="997"/>
      <c r="LL59" s="992">
        <f>+LL$38</f>
        <v>36855488</v>
      </c>
      <c r="LM59" s="996">
        <f>+LL$39/12*(12.5-LL$40)</f>
        <v>464264.86821705423</v>
      </c>
      <c r="LN59" s="996">
        <f>+LL59-LM59</f>
        <v>36391223.131782949</v>
      </c>
      <c r="LO59" s="997"/>
      <c r="LP59" s="992">
        <f t="shared" ref="LP59" si="489">+LR58</f>
        <v>4196311.0532945739</v>
      </c>
      <c r="LQ59" s="991">
        <f>LP39</f>
        <v>98063.744186046519</v>
      </c>
      <c r="LR59" s="996">
        <f t="shared" ref="LR59:LR62" si="490">+LP59-LQ59</f>
        <v>4098247.3091085274</v>
      </c>
      <c r="LS59" s="997"/>
      <c r="LT59" s="992">
        <f>+LT$38</f>
        <v>49500000</v>
      </c>
      <c r="LU59" s="996">
        <f>+LT$39/12*(12.5-LT$40)</f>
        <v>335755.81395348837</v>
      </c>
      <c r="LV59" s="996">
        <f>+LT59-LU59</f>
        <v>49164244.186046511</v>
      </c>
      <c r="LW59" s="997"/>
      <c r="LX59" s="992"/>
      <c r="LY59" s="991"/>
      <c r="LZ59" s="996"/>
      <c r="MA59" s="997"/>
      <c r="MB59" s="992"/>
      <c r="MC59" s="991"/>
      <c r="MD59" s="996"/>
      <c r="ME59" s="997"/>
      <c r="MF59" s="992"/>
      <c r="MG59" s="991"/>
      <c r="MH59" s="996"/>
      <c r="MI59" s="997"/>
      <c r="MJ59" s="992"/>
      <c r="MK59" s="991"/>
      <c r="ML59" s="996"/>
      <c r="MM59" s="997"/>
      <c r="MN59" s="992"/>
      <c r="MO59" s="991"/>
      <c r="MP59" s="996"/>
      <c r="MQ59" s="997"/>
      <c r="MR59" s="992"/>
      <c r="MS59" s="991"/>
      <c r="MT59" s="996"/>
      <c r="MU59" s="997"/>
      <c r="MV59" s="992"/>
      <c r="MW59" s="991"/>
      <c r="MX59" s="996"/>
      <c r="MY59" s="997"/>
      <c r="MZ59" s="992">
        <f>+MZ$38</f>
        <v>1730162</v>
      </c>
      <c r="NA59" s="996">
        <f>+MZ$39/12*(12.5-MZ$40)</f>
        <v>25147.703488372095</v>
      </c>
      <c r="NB59" s="996">
        <f>+MZ59-NA59</f>
        <v>1705014.296511628</v>
      </c>
      <c r="NC59" s="997"/>
      <c r="ND59" s="992"/>
      <c r="NE59" s="991"/>
      <c r="NF59" s="996"/>
      <c r="NG59" s="997"/>
      <c r="NH59" s="998"/>
      <c r="NI59" s="992"/>
      <c r="NJ59" s="997"/>
      <c r="NK59" s="876"/>
    </row>
    <row r="60" spans="1:376">
      <c r="A60" s="874">
        <v>37</v>
      </c>
      <c r="B60" s="992" t="str">
        <f t="shared" si="1"/>
        <v>W incentive</v>
      </c>
      <c r="C60" s="993">
        <f t="shared" si="2"/>
        <v>2014</v>
      </c>
      <c r="D60" s="992">
        <f t="shared" ref="D60:E60" si="491">+D59</f>
        <v>1680197.8742780054</v>
      </c>
      <c r="E60" s="991">
        <f t="shared" si="491"/>
        <v>44463.325581395351</v>
      </c>
      <c r="F60" s="996">
        <f t="shared" si="3"/>
        <v>1635734.5486966101</v>
      </c>
      <c r="G60" s="997"/>
      <c r="H60" s="992">
        <f t="shared" ref="H60:I60" si="492">+H59</f>
        <v>919914.17333561345</v>
      </c>
      <c r="I60" s="991">
        <f t="shared" si="492"/>
        <v>25042.255813953489</v>
      </c>
      <c r="J60" s="996">
        <f t="shared" si="0"/>
        <v>894871.91752165998</v>
      </c>
      <c r="K60" s="997"/>
      <c r="L60" s="992">
        <f t="shared" ref="L60:M60" si="493">+L59</f>
        <v>582244.12790697673</v>
      </c>
      <c r="M60" s="991">
        <f t="shared" si="493"/>
        <v>13767.348837209302</v>
      </c>
      <c r="N60" s="996">
        <f t="shared" si="412"/>
        <v>568476.77906976745</v>
      </c>
      <c r="O60" s="997"/>
      <c r="P60" s="992">
        <f t="shared" ref="P60:Q60" si="494">+P59</f>
        <v>7171970.2371751014</v>
      </c>
      <c r="Q60" s="991">
        <f t="shared" si="494"/>
        <v>191215.04651162791</v>
      </c>
      <c r="R60" s="996">
        <f t="shared" si="4"/>
        <v>6980755.1906634737</v>
      </c>
      <c r="S60" s="997"/>
      <c r="T60" s="992">
        <f t="shared" ref="T60:U60" si="495">+T59</f>
        <v>6302211.2766757859</v>
      </c>
      <c r="U60" s="991">
        <f t="shared" si="495"/>
        <v>167087.02325581395</v>
      </c>
      <c r="V60" s="996">
        <f t="shared" si="5"/>
        <v>6135124.253419972</v>
      </c>
      <c r="W60" s="997"/>
      <c r="X60" s="992">
        <f t="shared" ref="X60:Y60" si="496">+X59</f>
        <v>2184800.2911916701</v>
      </c>
      <c r="Y60" s="991">
        <f t="shared" si="496"/>
        <v>56146.372093023259</v>
      </c>
      <c r="Z60" s="996">
        <f t="shared" si="34"/>
        <v>2128653.9190986468</v>
      </c>
      <c r="AA60" s="997"/>
      <c r="AB60" s="992">
        <f t="shared" ref="AB60:AC60" si="497">+AB59</f>
        <v>19844717.022343826</v>
      </c>
      <c r="AC60" s="991">
        <f t="shared" si="497"/>
        <v>508146.97674418607</v>
      </c>
      <c r="AD60" s="996">
        <f t="shared" si="37"/>
        <v>19336570.045599639</v>
      </c>
      <c r="AE60" s="997"/>
      <c r="AF60" s="992">
        <f t="shared" ref="AF60:AG60" si="498">+AF59</f>
        <v>41392599.773008816</v>
      </c>
      <c r="AG60" s="991">
        <f t="shared" si="498"/>
        <v>1048586.2558139535</v>
      </c>
      <c r="AH60" s="996">
        <f t="shared" si="40"/>
        <v>40344013.51719486</v>
      </c>
      <c r="AI60" s="997"/>
      <c r="AJ60" s="992">
        <f t="shared" ref="AJ60:AK60" si="499">+AJ59</f>
        <v>12622908.857729137</v>
      </c>
      <c r="AK60" s="991">
        <f t="shared" si="499"/>
        <v>315837.20930232556</v>
      </c>
      <c r="AL60" s="996">
        <f t="shared" si="42"/>
        <v>12307071.648426812</v>
      </c>
      <c r="AM60" s="997"/>
      <c r="AN60" s="992">
        <f t="shared" ref="AN60:AO60" si="500">+AN59</f>
        <v>10377427.617112594</v>
      </c>
      <c r="AO60" s="991">
        <f t="shared" si="500"/>
        <v>261029.80627906977</v>
      </c>
      <c r="AP60" s="996">
        <f t="shared" si="44"/>
        <v>10116397.810833523</v>
      </c>
      <c r="AQ60" s="997"/>
      <c r="AR60" s="992">
        <f t="shared" ref="AR60:AS60" si="501">+AR59</f>
        <v>13597714.558576532</v>
      </c>
      <c r="AS60" s="991">
        <f t="shared" si="501"/>
        <v>340826.95348837209</v>
      </c>
      <c r="AT60" s="996">
        <f t="shared" si="46"/>
        <v>13256887.605088159</v>
      </c>
      <c r="AU60" s="997"/>
      <c r="AV60" s="992">
        <f t="shared" ref="AV60:AW60" si="502">+AV59</f>
        <v>15763740.173278613</v>
      </c>
      <c r="AW60" s="991">
        <f t="shared" si="502"/>
        <v>393041.86046511628</v>
      </c>
      <c r="AX60" s="996">
        <f t="shared" si="48"/>
        <v>15370698.312813496</v>
      </c>
      <c r="AY60" s="997"/>
      <c r="AZ60" s="992">
        <f t="shared" ref="AZ60:BA60" si="503">+AZ59</f>
        <v>10654000.165868673</v>
      </c>
      <c r="BA60" s="991">
        <f t="shared" si="503"/>
        <v>264250.46511627908</v>
      </c>
      <c r="BB60" s="996">
        <f t="shared" si="50"/>
        <v>10389749.700752394</v>
      </c>
      <c r="BC60" s="997"/>
      <c r="BD60" s="992">
        <f t="shared" ref="BD60:BE60" si="504">+BD59</f>
        <v>86629427.725566193</v>
      </c>
      <c r="BE60" s="991">
        <f t="shared" si="504"/>
        <v>2133789.8604651163</v>
      </c>
      <c r="BF60" s="996">
        <f t="shared" si="171"/>
        <v>84495637.865101084</v>
      </c>
      <c r="BG60" s="997"/>
      <c r="BH60" s="992">
        <f t="shared" ref="BH60:BI60" si="505">+BH59</f>
        <v>12982740.949897399</v>
      </c>
      <c r="BI60" s="991">
        <f t="shared" si="505"/>
        <v>319228.48837209301</v>
      </c>
      <c r="BJ60" s="996">
        <f t="shared" si="173"/>
        <v>12663512.461525306</v>
      </c>
      <c r="BK60" s="997"/>
      <c r="BL60" s="992">
        <f t="shared" ref="BL60:BM60" si="506">+BL59</f>
        <v>2954588.6980164158</v>
      </c>
      <c r="BM60" s="991">
        <f t="shared" si="506"/>
        <v>72649.441860465115</v>
      </c>
      <c r="BN60" s="996">
        <f t="shared" si="175"/>
        <v>2881939.2561559505</v>
      </c>
      <c r="BO60" s="997"/>
      <c r="BP60" s="992">
        <f t="shared" ref="BP60:BQ60" si="507">+BP59</f>
        <v>2235230.4197066422</v>
      </c>
      <c r="BQ60" s="991">
        <f t="shared" si="507"/>
        <v>56624.41860465116</v>
      </c>
      <c r="BR60" s="996">
        <f t="shared" si="53"/>
        <v>2178606.0011019912</v>
      </c>
      <c r="BS60" s="997"/>
      <c r="BT60" s="992">
        <f t="shared" ref="BT60:BU60" si="508">+BT59</f>
        <v>36933292.172252618</v>
      </c>
      <c r="BU60" s="991">
        <f t="shared" si="508"/>
        <v>906574.74418604653</v>
      </c>
      <c r="BV60" s="996">
        <f t="shared" si="179"/>
        <v>36026717.428066574</v>
      </c>
      <c r="BW60" s="997"/>
      <c r="BX60" s="992">
        <f t="shared" ref="BX60:BY60" si="509">+BX59</f>
        <v>154545799.38833788</v>
      </c>
      <c r="BY60" s="991">
        <f t="shared" si="509"/>
        <v>3800077.5116279069</v>
      </c>
      <c r="BZ60" s="996">
        <f t="shared" si="181"/>
        <v>150745721.87670997</v>
      </c>
      <c r="CA60" s="997"/>
      <c r="CB60" s="992">
        <f t="shared" ref="CB60:CC60" si="510">+CB59</f>
        <v>0</v>
      </c>
      <c r="CC60" s="996">
        <f t="shared" si="510"/>
        <v>0</v>
      </c>
      <c r="CD60" s="996">
        <f t="shared" si="183"/>
        <v>0</v>
      </c>
      <c r="CE60" s="997">
        <f t="shared" ref="CE60" si="511">+CB$37*(CB60+CD60)/2+CC60</f>
        <v>0</v>
      </c>
      <c r="CF60" s="992">
        <f t="shared" ref="CF60:CG60" si="512">+CF59</f>
        <v>12551115.555213556</v>
      </c>
      <c r="CG60" s="991">
        <f t="shared" si="512"/>
        <v>317953.62790697673</v>
      </c>
      <c r="CH60" s="996">
        <f t="shared" si="56"/>
        <v>12233161.927306579</v>
      </c>
      <c r="CI60" s="997"/>
      <c r="CJ60" s="992">
        <f t="shared" ref="CJ60:CK60" si="513">+CJ59</f>
        <v>13548290.05352257</v>
      </c>
      <c r="CK60" s="991">
        <f t="shared" si="513"/>
        <v>340187.23255813954</v>
      </c>
      <c r="CL60" s="996">
        <f t="shared" si="58"/>
        <v>13208102.820964431</v>
      </c>
      <c r="CM60" s="997"/>
      <c r="CN60" s="992">
        <f t="shared" ref="CN60:CO60" si="514">+CN59</f>
        <v>9748454.6349749211</v>
      </c>
      <c r="CO60" s="991">
        <f t="shared" si="514"/>
        <v>249172.18604651163</v>
      </c>
      <c r="CP60" s="996">
        <f t="shared" si="61"/>
        <v>9499282.4489284102</v>
      </c>
      <c r="CQ60" s="997"/>
      <c r="CR60" s="992">
        <f t="shared" ref="CR60:CS60" si="515">+CR59</f>
        <v>2820313.9277435783</v>
      </c>
      <c r="CS60" s="991">
        <f t="shared" si="515"/>
        <v>71446.162790697679</v>
      </c>
      <c r="CT60" s="996">
        <f t="shared" si="64"/>
        <v>2748867.7649528808</v>
      </c>
      <c r="CU60" s="997"/>
      <c r="CV60" s="992">
        <f t="shared" ref="CV60:CW60" si="516">+CV59</f>
        <v>10389451.685932515</v>
      </c>
      <c r="CW60" s="991">
        <f t="shared" si="516"/>
        <v>267477.62790697673</v>
      </c>
      <c r="CX60" s="996">
        <f t="shared" si="67"/>
        <v>10121974.058025539</v>
      </c>
      <c r="CY60" s="997"/>
      <c r="CZ60" s="992">
        <f t="shared" ref="CZ60:DA60" si="517">+CZ59</f>
        <v>15364201.385905912</v>
      </c>
      <c r="DA60" s="991">
        <f t="shared" si="517"/>
        <v>385103.97674418607</v>
      </c>
      <c r="DB60" s="996">
        <f t="shared" si="69"/>
        <v>14979097.409161726</v>
      </c>
      <c r="DC60" s="997"/>
      <c r="DD60" s="992">
        <f t="shared" ref="DD60:DE60" si="518">+DD59</f>
        <v>17493033.961468305</v>
      </c>
      <c r="DE60" s="991">
        <f t="shared" si="518"/>
        <v>439236.74418604653</v>
      </c>
      <c r="DF60" s="996">
        <f t="shared" si="71"/>
        <v>17053797.217282258</v>
      </c>
      <c r="DG60" s="997"/>
      <c r="DH60" s="992">
        <f t="shared" ref="DH60:DI60" si="519">+DH59</f>
        <v>10023460.381972943</v>
      </c>
      <c r="DI60" s="991">
        <f t="shared" si="519"/>
        <v>243518.6976744186</v>
      </c>
      <c r="DJ60" s="996">
        <f t="shared" si="196"/>
        <v>9779941.6842985246</v>
      </c>
      <c r="DK60" s="997"/>
      <c r="DL60" s="992">
        <f t="shared" ref="DL60:DM60" si="520">+DL59</f>
        <v>17965910.722070225</v>
      </c>
      <c r="DM60" s="991">
        <f t="shared" si="520"/>
        <v>439480.27906976745</v>
      </c>
      <c r="DN60" s="996">
        <f t="shared" si="198"/>
        <v>17526430.443000458</v>
      </c>
      <c r="DO60" s="997"/>
      <c r="DP60" s="992">
        <f t="shared" ref="DP60:DQ60" si="521">+DP59</f>
        <v>11304377.080217358</v>
      </c>
      <c r="DQ60" s="991">
        <f t="shared" si="521"/>
        <v>280381.72093023255</v>
      </c>
      <c r="DR60" s="996">
        <f t="shared" si="73"/>
        <v>11023995.359287126</v>
      </c>
      <c r="DS60" s="997"/>
      <c r="DT60" s="992">
        <f t="shared" ref="DT60:DU60" si="522">+DT59</f>
        <v>84697226.498385012</v>
      </c>
      <c r="DU60" s="991">
        <f t="shared" si="522"/>
        <v>2122937.4651162792</v>
      </c>
      <c r="DV60" s="996">
        <f t="shared" si="75"/>
        <v>82574289.033268735</v>
      </c>
      <c r="DW60" s="997"/>
      <c r="DX60" s="992">
        <f t="shared" ref="DX60:DY60" si="523">+DX59</f>
        <v>30511581.744186047</v>
      </c>
      <c r="DY60" s="991">
        <f t="shared" si="523"/>
        <v>748945.6744186047</v>
      </c>
      <c r="DZ60" s="996">
        <f t="shared" si="202"/>
        <v>29762636.069767442</v>
      </c>
      <c r="EA60" s="997"/>
      <c r="EB60" s="992">
        <f t="shared" ref="EB60:EC60" si="524">+EB59</f>
        <v>12896444.702633379</v>
      </c>
      <c r="EC60" s="991">
        <f t="shared" si="524"/>
        <v>312251.46511627908</v>
      </c>
      <c r="ED60" s="996">
        <f t="shared" si="325"/>
        <v>12584193.2375171</v>
      </c>
      <c r="EE60" s="997"/>
      <c r="EF60" s="992">
        <f t="shared" ref="EF60:EG60" si="525">+EF59</f>
        <v>79130735.74072808</v>
      </c>
      <c r="EG60" s="991">
        <f t="shared" si="525"/>
        <v>1969539.0232558139</v>
      </c>
      <c r="EH60" s="996">
        <f t="shared" si="77"/>
        <v>77161196.71747227</v>
      </c>
      <c r="EI60" s="997"/>
      <c r="EJ60" s="992">
        <f t="shared" ref="EJ60:EK60" si="526">+EJ59</f>
        <v>1225029.4069767441</v>
      </c>
      <c r="EK60" s="991">
        <f t="shared" si="526"/>
        <v>30278.79069767442</v>
      </c>
      <c r="EL60" s="996">
        <f t="shared" si="205"/>
        <v>1194750.6162790696</v>
      </c>
      <c r="EM60" s="997"/>
      <c r="EN60" s="992">
        <f t="shared" ref="EN60:EO60" si="527">+EN59</f>
        <v>190739.29309165524</v>
      </c>
      <c r="EO60" s="991">
        <f t="shared" si="527"/>
        <v>4780.8837209302328</v>
      </c>
      <c r="EP60" s="996">
        <f t="shared" si="79"/>
        <v>185958.40937072501</v>
      </c>
      <c r="EQ60" s="997"/>
      <c r="ER60" s="992">
        <f t="shared" ref="ER60:ES60" si="528">+ER59</f>
        <v>22248990.467681259</v>
      </c>
      <c r="ES60" s="991">
        <f t="shared" si="528"/>
        <v>546129.83720930235</v>
      </c>
      <c r="ET60" s="996">
        <f t="shared" si="208"/>
        <v>21702860.630471956</v>
      </c>
      <c r="EU60" s="997"/>
      <c r="EV60" s="992">
        <f t="shared" ref="EV60:EW60" si="529">+EV59</f>
        <v>1373530.4008017934</v>
      </c>
      <c r="EW60" s="991">
        <f t="shared" si="529"/>
        <v>34246.627906976741</v>
      </c>
      <c r="EX60" s="996">
        <f t="shared" si="81"/>
        <v>1339283.7728948167</v>
      </c>
      <c r="EY60" s="997"/>
      <c r="EZ60" s="992">
        <f t="shared" ref="EZ60:FA60" si="530">+EZ59</f>
        <v>13009415.507979937</v>
      </c>
      <c r="FA60" s="991">
        <f t="shared" si="530"/>
        <v>313387.34883720928</v>
      </c>
      <c r="FB60" s="996">
        <f t="shared" si="332"/>
        <v>12696028.159142727</v>
      </c>
      <c r="FC60" s="997"/>
      <c r="FD60" s="992">
        <f t="shared" ref="FD60:FE60" si="531">+FD59</f>
        <v>5787738.7728758166</v>
      </c>
      <c r="FE60" s="991">
        <f t="shared" si="531"/>
        <v>149006</v>
      </c>
      <c r="FF60" s="996">
        <f t="shared" si="83"/>
        <v>5638732.7728758166</v>
      </c>
      <c r="FG60" s="997"/>
      <c r="FH60" s="992">
        <f t="shared" ref="FH60:FI60" si="532">+FH59</f>
        <v>4970890.1858185129</v>
      </c>
      <c r="FI60" s="991">
        <f t="shared" si="532"/>
        <v>122016.83720930232</v>
      </c>
      <c r="FJ60" s="996">
        <f t="shared" si="212"/>
        <v>4848873.3486092109</v>
      </c>
      <c r="FK60" s="997"/>
      <c r="FL60" s="992">
        <f t="shared" ref="FL60:FM60" si="533">+FL59</f>
        <v>2913643.326949385</v>
      </c>
      <c r="FM60" s="991">
        <f t="shared" si="533"/>
        <v>74339.720930232565</v>
      </c>
      <c r="FN60" s="996">
        <f t="shared" si="85"/>
        <v>2839303.6060191523</v>
      </c>
      <c r="FO60" s="997"/>
      <c r="FP60" s="992">
        <f t="shared" ref="FP60:FQ60" si="534">+FP59</f>
        <v>20079105.415355671</v>
      </c>
      <c r="FQ60" s="991">
        <f t="shared" si="534"/>
        <v>509564.90697674418</v>
      </c>
      <c r="FR60" s="996">
        <f t="shared" si="87"/>
        <v>19569540.508378927</v>
      </c>
      <c r="FS60" s="997"/>
      <c r="FT60" s="992">
        <f t="shared" ref="FT60:FU60" si="535">+FT59</f>
        <v>4435273.5319767436</v>
      </c>
      <c r="FU60" s="991">
        <f t="shared" si="535"/>
        <v>112557.79069767441</v>
      </c>
      <c r="FV60" s="996">
        <f t="shared" si="89"/>
        <v>4322715.7412790693</v>
      </c>
      <c r="FW60" s="997"/>
      <c r="FX60" s="992">
        <f t="shared" ref="FX60:FY60" si="536">+FX59</f>
        <v>19439071.516909871</v>
      </c>
      <c r="FY60" s="991">
        <f t="shared" si="536"/>
        <v>497759.95348837209</v>
      </c>
      <c r="FZ60" s="996">
        <f t="shared" si="91"/>
        <v>18941311.563421499</v>
      </c>
      <c r="GA60" s="997"/>
      <c r="GB60" s="992">
        <f t="shared" ref="GB60:GC60" si="537">+GB59</f>
        <v>3222587.4410054721</v>
      </c>
      <c r="GC60" s="991">
        <f t="shared" si="537"/>
        <v>82666.813953488367</v>
      </c>
      <c r="GD60" s="996">
        <f t="shared" si="93"/>
        <v>3139920.627051984</v>
      </c>
      <c r="GE60" s="997"/>
      <c r="GF60" s="992">
        <f t="shared" ref="GF60:GG60" si="538">+GF59</f>
        <v>3063964.8743540049</v>
      </c>
      <c r="GG60" s="991">
        <f t="shared" si="538"/>
        <v>78035.186046511633</v>
      </c>
      <c r="GH60" s="996">
        <f t="shared" si="95"/>
        <v>2985929.688307493</v>
      </c>
      <c r="GI60" s="997"/>
      <c r="GJ60" s="992">
        <f t="shared" ref="GJ60:GK60" si="539">+GJ59</f>
        <v>707653.15344277234</v>
      </c>
      <c r="GK60" s="991">
        <f t="shared" si="539"/>
        <v>18120.279069767443</v>
      </c>
      <c r="GL60" s="996">
        <f t="shared" si="97"/>
        <v>689532.87437300489</v>
      </c>
      <c r="GM60" s="997"/>
      <c r="GN60" s="992">
        <f t="shared" ref="GN60:GO60" si="540">+GN59</f>
        <v>5773195.7868407052</v>
      </c>
      <c r="GO60" s="991">
        <f t="shared" si="540"/>
        <v>144450.86046511628</v>
      </c>
      <c r="GP60" s="996">
        <f t="shared" si="99"/>
        <v>5628744.9263755893</v>
      </c>
      <c r="GQ60" s="997"/>
      <c r="GR60" s="992">
        <f t="shared" ref="GR60:GS60" si="541">+GR59</f>
        <v>22923433.492970057</v>
      </c>
      <c r="GS60" s="991">
        <f t="shared" si="541"/>
        <v>556921.90697674418</v>
      </c>
      <c r="GT60" s="996">
        <f t="shared" si="222"/>
        <v>22366511.585993312</v>
      </c>
      <c r="GU60" s="997"/>
      <c r="GV60" s="992">
        <f t="shared" ref="GV60:GW60" si="542">+GV59</f>
        <v>21037068.876538988</v>
      </c>
      <c r="GW60" s="991">
        <f t="shared" si="542"/>
        <v>506767.67441860464</v>
      </c>
      <c r="GX60" s="996">
        <f t="shared" si="345"/>
        <v>20530301.202120382</v>
      </c>
      <c r="GY60" s="997"/>
      <c r="GZ60" s="992">
        <f t="shared" ref="GZ60:HA60" si="543">+GZ59</f>
        <v>118631406.24418604</v>
      </c>
      <c r="HA60" s="991">
        <f t="shared" si="543"/>
        <v>2799561.2093023257</v>
      </c>
      <c r="HB60" s="996">
        <f t="shared" si="464"/>
        <v>115831845.03488372</v>
      </c>
      <c r="HC60" s="997"/>
      <c r="HD60" s="992">
        <f>+HD59</f>
        <v>126055105</v>
      </c>
      <c r="HE60" s="996">
        <f>+HE59</f>
        <v>1832196.2936046512</v>
      </c>
      <c r="HF60" s="996">
        <f>+HD60-HE60</f>
        <v>124222908.70639534</v>
      </c>
      <c r="HG60" s="997"/>
      <c r="HH60" s="992">
        <f>+HH59</f>
        <v>2100000</v>
      </c>
      <c r="HI60" s="996">
        <f>+HI59</f>
        <v>2034.8837209302326</v>
      </c>
      <c r="HJ60" s="996">
        <f>+HH60-HI60</f>
        <v>2097965.1162790698</v>
      </c>
      <c r="HK60" s="997"/>
      <c r="HL60" s="992"/>
      <c r="HM60" s="991"/>
      <c r="HN60" s="996"/>
      <c r="HO60" s="997"/>
      <c r="HP60" s="992"/>
      <c r="HQ60" s="991"/>
      <c r="HR60" s="996"/>
      <c r="HS60" s="997"/>
      <c r="HT60" s="992">
        <f t="shared" ref="HT60:HU60" si="544">+HT59</f>
        <v>104111.35246618027</v>
      </c>
      <c r="HU60" s="991">
        <f t="shared" si="544"/>
        <v>2529.3720930232557</v>
      </c>
      <c r="HV60" s="996">
        <f t="shared" si="224"/>
        <v>101581.98037315701</v>
      </c>
      <c r="HW60" s="997"/>
      <c r="HX60" s="992">
        <f t="shared" ref="HX60:HY60" si="545">+HX59</f>
        <v>72210.257162942697</v>
      </c>
      <c r="HY60" s="991">
        <f t="shared" si="545"/>
        <v>1760.3488372093022</v>
      </c>
      <c r="HZ60" s="996">
        <f t="shared" si="226"/>
        <v>70449.908325733399</v>
      </c>
      <c r="IA60" s="997"/>
      <c r="IB60" s="992">
        <f t="shared" ref="IB60:IC60" si="546">+IB59</f>
        <v>13914826.787790697</v>
      </c>
      <c r="IC60" s="991">
        <f t="shared" si="546"/>
        <v>329020.53488372092</v>
      </c>
      <c r="ID60" s="996">
        <f t="shared" si="468"/>
        <v>13585806.252906976</v>
      </c>
      <c r="IE60" s="997"/>
      <c r="IF60" s="992">
        <f t="shared" ref="IF60:IG60" si="547">+IF59</f>
        <v>494998.70510335919</v>
      </c>
      <c r="IG60" s="991">
        <f t="shared" si="547"/>
        <v>11883.930232558139</v>
      </c>
      <c r="IH60" s="996">
        <f t="shared" si="348"/>
        <v>483114.77487080102</v>
      </c>
      <c r="II60" s="997"/>
      <c r="IJ60" s="992">
        <f t="shared" ref="IJ60:IK60" si="548">+IJ59</f>
        <v>725213.48255813948</v>
      </c>
      <c r="IK60" s="991">
        <f t="shared" si="548"/>
        <v>17559.023255813954</v>
      </c>
      <c r="IL60" s="996">
        <f t="shared" si="350"/>
        <v>707654.4593023255</v>
      </c>
      <c r="IM60" s="997"/>
      <c r="IN60" s="992">
        <f t="shared" ref="IN60:IO60" si="549">+IN59</f>
        <v>15927.586297309621</v>
      </c>
      <c r="IO60" s="991">
        <f t="shared" si="549"/>
        <v>378.55813953488371</v>
      </c>
      <c r="IP60" s="996">
        <f t="shared" si="472"/>
        <v>15549.028157774737</v>
      </c>
      <c r="IQ60" s="997"/>
      <c r="IR60" s="992">
        <f t="shared" ref="IR60:IS60" si="550">+IR59</f>
        <v>15927.586297309621</v>
      </c>
      <c r="IS60" s="991">
        <f t="shared" si="550"/>
        <v>378.55813953488371</v>
      </c>
      <c r="IT60" s="996">
        <f t="shared" si="474"/>
        <v>15549.028157774737</v>
      </c>
      <c r="IU60" s="997"/>
      <c r="IV60" s="992">
        <f t="shared" ref="IV60:IW60" si="551">+IV59</f>
        <v>840388.10273217817</v>
      </c>
      <c r="IW60" s="991">
        <f t="shared" si="551"/>
        <v>19973.883720930233</v>
      </c>
      <c r="IX60" s="996">
        <f t="shared" si="476"/>
        <v>820414.21901124797</v>
      </c>
      <c r="IY60" s="997"/>
      <c r="IZ60" s="992">
        <f t="shared" ref="IZ60:JA60" si="552">+IZ59</f>
        <v>840388.10273217817</v>
      </c>
      <c r="JA60" s="991">
        <f t="shared" si="552"/>
        <v>19973.883720930233</v>
      </c>
      <c r="JB60" s="996">
        <f t="shared" si="478"/>
        <v>820414.21901124797</v>
      </c>
      <c r="JC60" s="997"/>
      <c r="JD60" s="992">
        <f t="shared" ref="JD60:JE60" si="553">+JD59</f>
        <v>228115.88242894059</v>
      </c>
      <c r="JE60" s="991">
        <f t="shared" si="553"/>
        <v>5485.8604651162786</v>
      </c>
      <c r="JF60" s="996">
        <f t="shared" si="351"/>
        <v>222630.02196382431</v>
      </c>
      <c r="JG60" s="997"/>
      <c r="JH60" s="992">
        <f t="shared" ref="JH60:JI60" si="554">+JH59</f>
        <v>16701601.580426356</v>
      </c>
      <c r="JI60" s="991">
        <f t="shared" si="554"/>
        <v>388786.06976744183</v>
      </c>
      <c r="JJ60" s="996">
        <f t="shared" si="481"/>
        <v>16312815.510658914</v>
      </c>
      <c r="JK60" s="997"/>
      <c r="JL60" s="992">
        <f t="shared" ref="JL60:JM60" si="555">+JL59</f>
        <v>8750442.6647286825</v>
      </c>
      <c r="JM60" s="991">
        <f t="shared" si="555"/>
        <v>203696.04651162791</v>
      </c>
      <c r="JN60" s="996">
        <f t="shared" si="483"/>
        <v>8546746.6182170548</v>
      </c>
      <c r="JO60" s="997"/>
      <c r="JP60" s="992">
        <f>+JP59</f>
        <v>1617569</v>
      </c>
      <c r="JQ60" s="996">
        <f>+JQ59</f>
        <v>36050.471899224802</v>
      </c>
      <c r="JR60" s="996">
        <f>+JP60-JQ60</f>
        <v>1581518.5281007751</v>
      </c>
      <c r="JS60" s="997"/>
      <c r="JT60" s="992">
        <f>+JT59</f>
        <v>246157</v>
      </c>
      <c r="JU60" s="996">
        <f>+JU59</f>
        <v>238.52422480620154</v>
      </c>
      <c r="JV60" s="996">
        <f>+JT60-JU60</f>
        <v>245918.4757751938</v>
      </c>
      <c r="JW60" s="997"/>
      <c r="JX60" s="992"/>
      <c r="JY60" s="991"/>
      <c r="JZ60" s="996"/>
      <c r="KA60" s="997"/>
      <c r="KB60" s="992"/>
      <c r="KC60" s="991"/>
      <c r="KD60" s="996"/>
      <c r="KE60" s="997"/>
      <c r="KF60" s="992">
        <f t="shared" ref="KF60:KG60" si="556">+KF59</f>
        <v>4002350.2848837208</v>
      </c>
      <c r="KG60" s="991">
        <f t="shared" si="556"/>
        <v>94450.744186046519</v>
      </c>
      <c r="KH60" s="996">
        <f t="shared" si="352"/>
        <v>3907899.5406976743</v>
      </c>
      <c r="KI60" s="997"/>
      <c r="KJ60" s="992">
        <f t="shared" ref="KJ60:KK60" si="557">+KJ59</f>
        <v>17428538.304263566</v>
      </c>
      <c r="KK60" s="991">
        <f t="shared" si="557"/>
        <v>407288.13953488372</v>
      </c>
      <c r="KL60" s="996">
        <f t="shared" si="486"/>
        <v>17021250.164728682</v>
      </c>
      <c r="KM60" s="997"/>
      <c r="KN60" s="992">
        <f>+KN59</f>
        <v>16038226</v>
      </c>
      <c r="KO60" s="996">
        <f>+KO59</f>
        <v>15540.916666666666</v>
      </c>
      <c r="KP60" s="996">
        <f>+KN60-KO60</f>
        <v>16022685.083333334</v>
      </c>
      <c r="KQ60" s="997"/>
      <c r="KR60" s="992">
        <f t="shared" ref="KR60:KS60" si="558">+KR59</f>
        <v>3128606.464147287</v>
      </c>
      <c r="KS60" s="991">
        <f t="shared" si="558"/>
        <v>72828.860465116275</v>
      </c>
      <c r="KT60" s="996">
        <f t="shared" si="488"/>
        <v>3055777.6036821706</v>
      </c>
      <c r="KU60" s="997"/>
      <c r="KV60" s="992">
        <f>+KV59</f>
        <v>39218353</v>
      </c>
      <c r="KW60" s="996">
        <f>+KW59</f>
        <v>570034.2005813953</v>
      </c>
      <c r="KX60" s="996">
        <f>+KV60-KW60</f>
        <v>38648318.799418606</v>
      </c>
      <c r="KY60" s="997"/>
      <c r="KZ60" s="992">
        <f>+KZ59</f>
        <v>18443400</v>
      </c>
      <c r="LA60" s="996">
        <f>+LA59</f>
        <v>232329.65116279072</v>
      </c>
      <c r="LB60" s="996">
        <f>+KZ60-LA60</f>
        <v>18211070.348837208</v>
      </c>
      <c r="LC60" s="997"/>
      <c r="LD60" s="992">
        <f>+LD59</f>
        <v>27157860</v>
      </c>
      <c r="LE60" s="996">
        <f>+LE59</f>
        <v>236841.80232558138</v>
      </c>
      <c r="LF60" s="996">
        <f>+LD60-LE60</f>
        <v>26921018.19767442</v>
      </c>
      <c r="LG60" s="997"/>
      <c r="LH60" s="992">
        <f>+LH59</f>
        <v>7917561</v>
      </c>
      <c r="LI60" s="996">
        <f>+LI59</f>
        <v>38360.276162790702</v>
      </c>
      <c r="LJ60" s="996">
        <f>+LH60-LI60</f>
        <v>7879200.7238372089</v>
      </c>
      <c r="LK60" s="997"/>
      <c r="LL60" s="992">
        <f>+LL59</f>
        <v>36855488</v>
      </c>
      <c r="LM60" s="996">
        <f>+LM59</f>
        <v>464264.86821705423</v>
      </c>
      <c r="LN60" s="996">
        <f>+LL60-LM60</f>
        <v>36391223.131782949</v>
      </c>
      <c r="LO60" s="997"/>
      <c r="LP60" s="992">
        <f t="shared" ref="LP60:LQ60" si="559">+LP59</f>
        <v>4196311.0532945739</v>
      </c>
      <c r="LQ60" s="991">
        <f t="shared" si="559"/>
        <v>98063.744186046519</v>
      </c>
      <c r="LR60" s="996">
        <f t="shared" si="490"/>
        <v>4098247.3091085274</v>
      </c>
      <c r="LS60" s="997"/>
      <c r="LT60" s="992">
        <f>+LT59</f>
        <v>49500000</v>
      </c>
      <c r="LU60" s="996">
        <f>+LU59</f>
        <v>335755.81395348837</v>
      </c>
      <c r="LV60" s="996">
        <f>+LT60-LU60</f>
        <v>49164244.186046511</v>
      </c>
      <c r="LW60" s="997"/>
      <c r="LX60" s="992"/>
      <c r="LY60" s="991"/>
      <c r="LZ60" s="996"/>
      <c r="MA60" s="997"/>
      <c r="MB60" s="992"/>
      <c r="MC60" s="991"/>
      <c r="MD60" s="996"/>
      <c r="ME60" s="997"/>
      <c r="MF60" s="992"/>
      <c r="MG60" s="991"/>
      <c r="MH60" s="996"/>
      <c r="MI60" s="997"/>
      <c r="MJ60" s="992"/>
      <c r="MK60" s="991"/>
      <c r="ML60" s="996"/>
      <c r="MM60" s="997"/>
      <c r="MN60" s="992"/>
      <c r="MO60" s="991"/>
      <c r="MP60" s="996"/>
      <c r="MQ60" s="997"/>
      <c r="MR60" s="992"/>
      <c r="MS60" s="991"/>
      <c r="MT60" s="996"/>
      <c r="MU60" s="997"/>
      <c r="MV60" s="992"/>
      <c r="MW60" s="991"/>
      <c r="MX60" s="996"/>
      <c r="MY60" s="997"/>
      <c r="MZ60" s="992">
        <f>+MZ59</f>
        <v>1730162</v>
      </c>
      <c r="NA60" s="996">
        <f>+NA59</f>
        <v>25147.703488372095</v>
      </c>
      <c r="NB60" s="996">
        <f>+MZ60-NA60</f>
        <v>1705014.296511628</v>
      </c>
      <c r="NC60" s="997"/>
      <c r="ND60" s="992"/>
      <c r="NE60" s="991"/>
      <c r="NF60" s="996"/>
      <c r="NG60" s="997"/>
      <c r="NH60" s="998"/>
      <c r="NI60" s="992"/>
      <c r="NJ60" s="997"/>
      <c r="NK60" s="1047"/>
      <c r="NL60" s="1047"/>
    </row>
    <row r="61" spans="1:376">
      <c r="A61" s="874">
        <v>38</v>
      </c>
      <c r="B61" s="999" t="str">
        <f t="shared" si="1"/>
        <v>W / O incentive</v>
      </c>
      <c r="C61" s="1000">
        <f t="shared" si="2"/>
        <v>2015</v>
      </c>
      <c r="D61" s="1001">
        <f t="shared" ref="D61" si="560">+F60</f>
        <v>1635734.5486966101</v>
      </c>
      <c r="E61" s="1002">
        <f>E60</f>
        <v>44463.325581395351</v>
      </c>
      <c r="F61" s="1003">
        <f t="shared" si="3"/>
        <v>1591271.2231152148</v>
      </c>
      <c r="G61" s="1004">
        <f t="shared" ref="G61" si="561">+D$35*(D61+F61)/2+E61</f>
        <v>265477.35715203499</v>
      </c>
      <c r="H61" s="1001">
        <f t="shared" ref="H61" si="562">+J60</f>
        <v>894871.91752165998</v>
      </c>
      <c r="I61" s="1002">
        <f>I60</f>
        <v>25042.255813953489</v>
      </c>
      <c r="J61" s="1003">
        <f t="shared" si="0"/>
        <v>869829.66170770652</v>
      </c>
      <c r="K61" s="1004">
        <f t="shared" ref="K61" si="563">+H$35*(H61+J61)/2+I61</f>
        <v>145904.7017232384</v>
      </c>
      <c r="L61" s="1001">
        <f t="shared" ref="L61" si="564">+N60</f>
        <v>568476.77906976745</v>
      </c>
      <c r="M61" s="1002">
        <f>M60</f>
        <v>13767.348837209302</v>
      </c>
      <c r="N61" s="1003">
        <f t="shared" si="412"/>
        <v>554709.43023255817</v>
      </c>
      <c r="O61" s="1004">
        <f t="shared" ref="O61" si="565">+L$35*(L61+N61)/2+M61</f>
        <v>90693.121480954913</v>
      </c>
      <c r="P61" s="1001">
        <f t="shared" ref="P61" si="566">+R60</f>
        <v>6980755.1906634737</v>
      </c>
      <c r="Q61" s="1002">
        <f>Q60</f>
        <v>191215.04651162791</v>
      </c>
      <c r="R61" s="1003">
        <f t="shared" si="4"/>
        <v>6789540.1441518459</v>
      </c>
      <c r="S61" s="1004">
        <f t="shared" ref="S61" si="567">+P$35*(P61+R61)/2+Q61</f>
        <v>1134327.2387644327</v>
      </c>
      <c r="T61" s="1001">
        <f t="shared" ref="T61" si="568">+V60</f>
        <v>6135124.253419972</v>
      </c>
      <c r="U61" s="1002">
        <f>U60</f>
        <v>167087.02325581395</v>
      </c>
      <c r="V61" s="1003">
        <f t="shared" si="5"/>
        <v>5968037.2301641582</v>
      </c>
      <c r="W61" s="1004">
        <f t="shared" ref="W61" si="569">+T$35*(T61+V61)/2+U61</f>
        <v>996019.07463405898</v>
      </c>
      <c r="X61" s="1001">
        <f t="shared" ref="X61" si="570">+Z60</f>
        <v>2128653.9190986468</v>
      </c>
      <c r="Y61" s="1002">
        <f>Y60</f>
        <v>56146.372093023259</v>
      </c>
      <c r="Z61" s="1003">
        <f t="shared" si="34"/>
        <v>2072507.5470056236</v>
      </c>
      <c r="AA61" s="1004">
        <f t="shared" ref="AA61" si="571">+X$35*(X61+Z61)/2+Y61</f>
        <v>343879.24230155797</v>
      </c>
      <c r="AB61" s="1001">
        <f t="shared" ref="AB61" si="572">+AD60</f>
        <v>19336570.045599639</v>
      </c>
      <c r="AC61" s="1002">
        <f>AC60</f>
        <v>508146.97674418607</v>
      </c>
      <c r="AD61" s="1003">
        <f t="shared" si="37"/>
        <v>18828423.068855453</v>
      </c>
      <c r="AE61" s="1004">
        <f t="shared" ref="AE61" si="573">+AB$35*(AB61+AD61)/2+AC61</f>
        <v>3122024.8528768751</v>
      </c>
      <c r="AF61" s="1001">
        <f t="shared" ref="AF61" si="574">+AH60</f>
        <v>40344013.51719486</v>
      </c>
      <c r="AG61" s="1002">
        <f>AG60</f>
        <v>1048586.2558139535</v>
      </c>
      <c r="AH61" s="1003">
        <f t="shared" si="40"/>
        <v>39295427.261380903</v>
      </c>
      <c r="AI61" s="1004">
        <f t="shared" ref="AI61" si="575">+AF$35*(AF61+AH61)/2+AG61</f>
        <v>6503002.864626457</v>
      </c>
      <c r="AJ61" s="1001">
        <f t="shared" ref="AJ61" si="576">+AL60</f>
        <v>12307071.648426812</v>
      </c>
      <c r="AK61" s="1002">
        <f>AK60</f>
        <v>315837.20930232556</v>
      </c>
      <c r="AL61" s="1003">
        <f t="shared" si="42"/>
        <v>11991234.439124487</v>
      </c>
      <c r="AM61" s="1004">
        <f t="shared" ref="AM61" si="577">+AJ$35*(AJ61+AL61)/2+AK61</f>
        <v>1980001.1335372534</v>
      </c>
      <c r="AN61" s="1001">
        <f t="shared" ref="AN61" si="578">+AP60</f>
        <v>10116397.810833523</v>
      </c>
      <c r="AO61" s="1002">
        <f>AO60</f>
        <v>261029.80627906977</v>
      </c>
      <c r="AP61" s="1003">
        <f t="shared" si="44"/>
        <v>9855368.0045544524</v>
      </c>
      <c r="AQ61" s="1004">
        <f t="shared" ref="AQ61" si="579">+AN$35*(AN61+AP61)/2+AO61</f>
        <v>1628873.8055060329</v>
      </c>
      <c r="AR61" s="1001">
        <f t="shared" ref="AR61" si="580">+AT60</f>
        <v>13256887.605088159</v>
      </c>
      <c r="AS61" s="1002">
        <f>AS60</f>
        <v>340826.95348837209</v>
      </c>
      <c r="AT61" s="1003">
        <f t="shared" si="46"/>
        <v>12916060.651599787</v>
      </c>
      <c r="AU61" s="1004">
        <f t="shared" ref="AU61" si="581">+AR$35*(AR61+AT61)/2+AS61</f>
        <v>2133383.0322004813</v>
      </c>
      <c r="AV61" s="1001">
        <f t="shared" ref="AV61" si="582">+AX60</f>
        <v>15370698.312813496</v>
      </c>
      <c r="AW61" s="1002">
        <f>AW60</f>
        <v>393041.86046511628</v>
      </c>
      <c r="AX61" s="1003">
        <f t="shared" si="48"/>
        <v>14977656.452348379</v>
      </c>
      <c r="AY61" s="1004">
        <f t="shared" ref="AY61" si="583">+AV$35*(AV61+AX61)/2+AW61</f>
        <v>2471566.8810195527</v>
      </c>
      <c r="AZ61" s="1001">
        <f t="shared" ref="AZ61" si="584">+BB60</f>
        <v>10389749.700752394</v>
      </c>
      <c r="BA61" s="1002">
        <f>BA60</f>
        <v>264250.46511627908</v>
      </c>
      <c r="BB61" s="1003">
        <f t="shared" si="50"/>
        <v>10125499.235636115</v>
      </c>
      <c r="BC61" s="1004">
        <f t="shared" ref="BC61" si="585">+AZ$35*(AZ61+BB61)/2+BA61</f>
        <v>1669317.0180529868</v>
      </c>
      <c r="BD61" s="1001">
        <f t="shared" ref="BD61" si="586">+BF60</f>
        <v>84495637.865101084</v>
      </c>
      <c r="BE61" s="1002">
        <f>BE60</f>
        <v>2133789.8604651163</v>
      </c>
      <c r="BF61" s="1003">
        <f t="shared" si="171"/>
        <v>82361848.004635975</v>
      </c>
      <c r="BG61" s="1004">
        <f t="shared" ref="BG61" si="587">+BD$35*(BD61+BF61)/2+BE61</f>
        <v>13561673.247579824</v>
      </c>
      <c r="BH61" s="1001">
        <f t="shared" ref="BH61" si="588">+BJ60</f>
        <v>12663512.461525306</v>
      </c>
      <c r="BI61" s="1002">
        <f>BI60</f>
        <v>319228.48837209301</v>
      </c>
      <c r="BJ61" s="1003">
        <f t="shared" si="173"/>
        <v>12344283.973153213</v>
      </c>
      <c r="BK61" s="1004">
        <f t="shared" ref="BK61" si="589">+BH$35*(BH61+BJ61)/2+BI61</f>
        <v>2031984.6163609666</v>
      </c>
      <c r="BL61" s="1001">
        <f t="shared" ref="BL61" si="590">+BN60</f>
        <v>2881939.2561559505</v>
      </c>
      <c r="BM61" s="1002">
        <f>BM60</f>
        <v>72649.441860465115</v>
      </c>
      <c r="BN61" s="1003">
        <f t="shared" si="175"/>
        <v>2809289.8142954852</v>
      </c>
      <c r="BO61" s="1004">
        <f t="shared" ref="BO61" si="591">+BL$35*(BL61+BN61)/2+BM61</f>
        <v>462435.38288351812</v>
      </c>
      <c r="BP61" s="1001">
        <f t="shared" ref="BP61" si="592">+BR60</f>
        <v>2178606.0011019912</v>
      </c>
      <c r="BQ61" s="1002">
        <f>BQ60</f>
        <v>56624.41860465116</v>
      </c>
      <c r="BR61" s="1003">
        <f t="shared" si="53"/>
        <v>2121981.5824973402</v>
      </c>
      <c r="BS61" s="1004">
        <f t="shared" ref="BS61" si="593">+BP$35*(BP61+BR61)/2+BQ61</f>
        <v>351166.87287496508</v>
      </c>
      <c r="BT61" s="1001">
        <f t="shared" ref="BT61" si="594">+BV60</f>
        <v>36026717.428066574</v>
      </c>
      <c r="BU61" s="1002">
        <f>BU60</f>
        <v>906574.74418604653</v>
      </c>
      <c r="BV61" s="1003">
        <f t="shared" si="179"/>
        <v>35120142.68388053</v>
      </c>
      <c r="BW61" s="1004">
        <f t="shared" ref="BW61" si="595">+BT$35*(BT61+BV61)/2+BU61</f>
        <v>5779343.9608661756</v>
      </c>
      <c r="BX61" s="1001">
        <f t="shared" ref="BX61" si="596">+BZ60</f>
        <v>150745721.87670997</v>
      </c>
      <c r="BY61" s="1002">
        <f>BY60</f>
        <v>3800077.5116279069</v>
      </c>
      <c r="BZ61" s="1003">
        <f t="shared" si="181"/>
        <v>146945644.36508206</v>
      </c>
      <c r="CA61" s="1004">
        <f t="shared" ref="CA61" si="597">+BX$35*(BX61+BZ61)/2+BY61</f>
        <v>24188627.662850536</v>
      </c>
      <c r="CB61" s="1001">
        <f t="shared" ref="CB61" si="598">+CD60</f>
        <v>0</v>
      </c>
      <c r="CC61" s="1002">
        <v>0</v>
      </c>
      <c r="CD61" s="1003">
        <f t="shared" si="183"/>
        <v>0</v>
      </c>
      <c r="CE61" s="1004">
        <f t="shared" ref="CE61" si="599">+CB$35*(CB61+CD61)/2+CC61</f>
        <v>0</v>
      </c>
      <c r="CF61" s="1001">
        <f t="shared" ref="CF61" si="600">+CH60</f>
        <v>12233161.927306579</v>
      </c>
      <c r="CG61" s="1002">
        <f>CG60</f>
        <v>317953.62790697673</v>
      </c>
      <c r="CH61" s="1003">
        <f t="shared" si="56"/>
        <v>11915208.299399603</v>
      </c>
      <c r="CI61" s="1004">
        <f t="shared" ref="CI61" si="601">+CF$35*(CF61+CH61)/2+CG61</f>
        <v>1971848.6120080331</v>
      </c>
      <c r="CJ61" s="1001">
        <f t="shared" ref="CJ61" si="602">+CL60</f>
        <v>13208102.820964431</v>
      </c>
      <c r="CK61" s="1002">
        <f>CK60</f>
        <v>340187.23255813954</v>
      </c>
      <c r="CL61" s="1003">
        <f t="shared" si="58"/>
        <v>12867915.588406293</v>
      </c>
      <c r="CM61" s="1004">
        <f t="shared" ref="CM61" si="603">+CJ$35*(CJ61+CL61)/2+CK61</f>
        <v>2126104.693972989</v>
      </c>
      <c r="CN61" s="1001">
        <f t="shared" ref="CN61" si="604">+CP60</f>
        <v>9499282.4489284102</v>
      </c>
      <c r="CO61" s="1002">
        <f>CO60</f>
        <v>249172.18604651163</v>
      </c>
      <c r="CP61" s="1003">
        <f t="shared" si="61"/>
        <v>9250110.2628818993</v>
      </c>
      <c r="CQ61" s="1004">
        <f t="shared" ref="CQ61" si="605">+CN$35*(CN61+CP61)/2+CO61</f>
        <v>1533297.2126998587</v>
      </c>
      <c r="CR61" s="1001">
        <f t="shared" ref="CR61" si="606">+CT60</f>
        <v>2748867.7649528808</v>
      </c>
      <c r="CS61" s="1002">
        <f>CS60</f>
        <v>71446.162790697679</v>
      </c>
      <c r="CT61" s="1003">
        <f t="shared" si="64"/>
        <v>2677421.6021621833</v>
      </c>
      <c r="CU61" s="1004">
        <f t="shared" ref="CU61" si="607">+CR$35*(CR61+CT61)/2+CS61</f>
        <v>443086.67858117528</v>
      </c>
      <c r="CV61" s="1001">
        <f t="shared" ref="CV61" si="608">+CX60</f>
        <v>10121974.058025539</v>
      </c>
      <c r="CW61" s="1002">
        <f>CW60</f>
        <v>267477.62790697673</v>
      </c>
      <c r="CX61" s="1003">
        <f t="shared" si="67"/>
        <v>9854496.4301185627</v>
      </c>
      <c r="CY61" s="1004">
        <f t="shared" ref="CY61" si="609">+CV$35*(CV61+CX61)/2+CW61</f>
        <v>1635643.8449316688</v>
      </c>
      <c r="CZ61" s="1001">
        <f t="shared" ref="CZ61" si="610">+DB60</f>
        <v>14979097.409161726</v>
      </c>
      <c r="DA61" s="1002">
        <f>DA60</f>
        <v>385103.97674418607</v>
      </c>
      <c r="DB61" s="1003">
        <f t="shared" si="69"/>
        <v>14593993.43241754</v>
      </c>
      <c r="DC61" s="1004">
        <f t="shared" ref="DC61" si="611">+CZ$35*(CZ61+DB61)/2+DA61</f>
        <v>2410532.0345417005</v>
      </c>
      <c r="DD61" s="1001">
        <f t="shared" ref="DD61" si="612">+DF60</f>
        <v>17053797.217282258</v>
      </c>
      <c r="DE61" s="1002">
        <f>DE60</f>
        <v>439236.74418604653</v>
      </c>
      <c r="DF61" s="1003">
        <f t="shared" si="71"/>
        <v>16614560.473096211</v>
      </c>
      <c r="DG61" s="1004">
        <f t="shared" ref="DG61" si="613">+DD$35*(DD61+DF61)/2+DE61</f>
        <v>2745145.0677819457</v>
      </c>
      <c r="DH61" s="1001">
        <f t="shared" ref="DH61" si="614">+DJ60</f>
        <v>9779941.6842985246</v>
      </c>
      <c r="DI61" s="1002">
        <f>DI60</f>
        <v>243518.6976744186</v>
      </c>
      <c r="DJ61" s="1003">
        <f t="shared" si="196"/>
        <v>9536422.9866241068</v>
      </c>
      <c r="DK61" s="1004">
        <f t="shared" ref="DK61" si="615">+DH$35*(DH61+DJ61)/2+DI61</f>
        <v>1566475.0024015456</v>
      </c>
      <c r="DL61" s="1001">
        <f t="shared" ref="DL61" si="616">+DN60</f>
        <v>17526430.443000458</v>
      </c>
      <c r="DM61" s="1002">
        <f>DM60</f>
        <v>439480.27906976745</v>
      </c>
      <c r="DN61" s="1003">
        <f t="shared" si="198"/>
        <v>17086950.163930692</v>
      </c>
      <c r="DO61" s="1004">
        <f t="shared" ref="DO61" si="617">+DL$35*(DL61+DN61)/2+DM61</f>
        <v>2810112.1697997544</v>
      </c>
      <c r="DP61" s="1001">
        <f t="shared" ref="DP61" si="618">+DR60</f>
        <v>11023995.359287126</v>
      </c>
      <c r="DQ61" s="1002">
        <f>DQ60</f>
        <v>280381.72093023255</v>
      </c>
      <c r="DR61" s="1003">
        <f t="shared" si="73"/>
        <v>10743613.638356894</v>
      </c>
      <c r="DS61" s="1004">
        <f t="shared" ref="DS61" si="619">+DP$35*(DP61+DR61)/2+DQ61</f>
        <v>1771221.0197770689</v>
      </c>
      <c r="DT61" s="1001">
        <f t="shared" ref="DT61" si="620">+DV60</f>
        <v>82574289.033268735</v>
      </c>
      <c r="DU61" s="1002">
        <f>DU60</f>
        <v>2122937.4651162792</v>
      </c>
      <c r="DV61" s="1003">
        <f t="shared" si="75"/>
        <v>80451351.568152457</v>
      </c>
      <c r="DW61" s="1004">
        <f t="shared" ref="DW61" si="621">+DT$35*(DT61+DV61)/2+DU61</f>
        <v>13288382.037121622</v>
      </c>
      <c r="DX61" s="1001">
        <f t="shared" ref="DX61" si="622">+DZ60</f>
        <v>29762636.069767442</v>
      </c>
      <c r="DY61" s="1002">
        <f>DY60</f>
        <v>748945.6744186047</v>
      </c>
      <c r="DZ61" s="1003">
        <f t="shared" si="202"/>
        <v>29013690.395348836</v>
      </c>
      <c r="EA61" s="1004">
        <f t="shared" ref="EA61" si="623">+DX$35*(DX61+DZ61)/2+DY61</f>
        <v>4774470.8180175535</v>
      </c>
      <c r="EB61" s="1001">
        <f t="shared" ref="EB61" si="624">+ED60</f>
        <v>12584193.2375171</v>
      </c>
      <c r="EC61" s="1002">
        <f>EC60</f>
        <v>312251.46511627908</v>
      </c>
      <c r="ED61" s="1003">
        <f t="shared" si="325"/>
        <v>12271941.772400821</v>
      </c>
      <c r="EE61" s="1004">
        <f t="shared" ref="EE61" si="625">+EB$35*(EB61+ED61)/2+EC61</f>
        <v>2014620.4710203768</v>
      </c>
      <c r="EF61" s="1001">
        <f t="shared" ref="EF61" si="626">+EH60</f>
        <v>77161196.71747227</v>
      </c>
      <c r="EG61" s="1002">
        <f>EG60</f>
        <v>1969539.0232558139</v>
      </c>
      <c r="EH61" s="1003">
        <f t="shared" si="77"/>
        <v>75191657.69421646</v>
      </c>
      <c r="EI61" s="1004">
        <f t="shared" ref="EI61" si="627">+EF$35*(EF61+EH61)/2+EG61</f>
        <v>12404016.354827674</v>
      </c>
      <c r="EJ61" s="1001">
        <f t="shared" ref="EJ61" si="628">+EL60</f>
        <v>1194750.6162790696</v>
      </c>
      <c r="EK61" s="1002">
        <f>EK60</f>
        <v>30278.79069767442</v>
      </c>
      <c r="EL61" s="1003">
        <f t="shared" si="205"/>
        <v>1164471.8255813951</v>
      </c>
      <c r="EM61" s="1004">
        <f t="shared" ref="EM61" si="629">+EJ$35*(EJ61+EL61)/2+EK61</f>
        <v>191859.30840302535</v>
      </c>
      <c r="EN61" s="1001">
        <f t="shared" ref="EN61" si="630">+EP60</f>
        <v>185958.40937072501</v>
      </c>
      <c r="EO61" s="1002">
        <f>EO60</f>
        <v>4780.8837209302328</v>
      </c>
      <c r="EP61" s="1003">
        <f t="shared" si="79"/>
        <v>181177.52564979478</v>
      </c>
      <c r="EQ61" s="1004">
        <f t="shared" ref="EQ61" si="631">+EN$35*(EN61+EP61)/2+EO61</f>
        <v>29925.615051170033</v>
      </c>
      <c r="ER61" s="1001">
        <f t="shared" ref="ER61" si="632">+ET60</f>
        <v>21702860.630471956</v>
      </c>
      <c r="ES61" s="1002">
        <f>ES60</f>
        <v>546129.83720930235</v>
      </c>
      <c r="ET61" s="1003">
        <f t="shared" si="208"/>
        <v>21156730.793262653</v>
      </c>
      <c r="EU61" s="1004">
        <f t="shared" ref="EU61" si="633">+ER$35*(ER61+ET61)/2+ES61</f>
        <v>3481535.5234258338</v>
      </c>
      <c r="EV61" s="1001">
        <f t="shared" ref="EV61" si="634">+EX60</f>
        <v>1339283.7728948167</v>
      </c>
      <c r="EW61" s="1002">
        <f>EW60</f>
        <v>34246.627906976741</v>
      </c>
      <c r="EX61" s="1003">
        <f t="shared" si="81"/>
        <v>1305037.14498784</v>
      </c>
      <c r="EY61" s="1004">
        <f t="shared" ref="EY61" si="635">+EV$35*(EV61+EX61)/2+EW61</f>
        <v>215353.2227364266</v>
      </c>
      <c r="EZ61" s="1001">
        <f t="shared" ref="EZ61" si="636">+FB60</f>
        <v>12696028.159142727</v>
      </c>
      <c r="FA61" s="1002">
        <f>FA60</f>
        <v>313387.34883720928</v>
      </c>
      <c r="FB61" s="1003">
        <f t="shared" si="332"/>
        <v>12382640.810305517</v>
      </c>
      <c r="FC61" s="1004">
        <f t="shared" ref="FC61" si="637">+EZ$35*(EZ61+FB61)/2+FA61</f>
        <v>2030997.4578055758</v>
      </c>
      <c r="FD61" s="1001">
        <f t="shared" ref="FD61" si="638">+FF60</f>
        <v>5638732.7728758166</v>
      </c>
      <c r="FE61" s="1002">
        <f>FE60</f>
        <v>149006</v>
      </c>
      <c r="FF61" s="1003">
        <f t="shared" si="83"/>
        <v>5489726.7728758166</v>
      </c>
      <c r="FG61" s="1004">
        <f t="shared" ref="FG61" si="639">+FD$35*(FD61+FF61)/2+FE61</f>
        <v>911181.80112861353</v>
      </c>
      <c r="FH61" s="1001">
        <f t="shared" ref="FH61" si="640">+FJ60</f>
        <v>4848873.3486092109</v>
      </c>
      <c r="FI61" s="1002">
        <f>FI60</f>
        <v>122016.83720930232</v>
      </c>
      <c r="FJ61" s="1003">
        <f t="shared" si="212"/>
        <v>4726856.5113999089</v>
      </c>
      <c r="FK61" s="1004">
        <f t="shared" ref="FK61" si="641">+FH$35*(FH61+FJ61)/2+FI61</f>
        <v>777847.91135198076</v>
      </c>
      <c r="FL61" s="1001">
        <f t="shared" ref="FL61" si="642">+FN60</f>
        <v>2839303.6060191523</v>
      </c>
      <c r="FM61" s="1002">
        <f>FM60</f>
        <v>74339.720930232565</v>
      </c>
      <c r="FN61" s="1003">
        <f t="shared" si="85"/>
        <v>2764963.8850889197</v>
      </c>
      <c r="FO61" s="1004">
        <f t="shared" ref="FO61" si="643">+FL$35*(FL61+FN61)/2+FM61</f>
        <v>458169.76022843813</v>
      </c>
      <c r="FP61" s="1001">
        <f t="shared" ref="FP61" si="644">+FR60</f>
        <v>19569540.508378927</v>
      </c>
      <c r="FQ61" s="1002">
        <f>FQ60</f>
        <v>509564.90697674418</v>
      </c>
      <c r="FR61" s="1003">
        <f t="shared" si="87"/>
        <v>19059975.601402182</v>
      </c>
      <c r="FS61" s="1004">
        <f t="shared" ref="FS61" si="645">+FP$35*(FP61+FR61)/2+FQ61</f>
        <v>3155257.4457453261</v>
      </c>
      <c r="FT61" s="1001">
        <f t="shared" ref="FT61" si="646">+FV60</f>
        <v>4322715.7412790693</v>
      </c>
      <c r="FU61" s="1002">
        <f>FU60</f>
        <v>112557.79069767441</v>
      </c>
      <c r="FV61" s="1003">
        <f t="shared" si="89"/>
        <v>4210157.9505813951</v>
      </c>
      <c r="FW61" s="1004">
        <f t="shared" ref="FW61" si="647">+FT$35*(FT61+FV61)/2+FU61</f>
        <v>696964.80725602584</v>
      </c>
      <c r="FX61" s="1001">
        <f t="shared" ref="FX61" si="648">+FZ60</f>
        <v>18941311.563421499</v>
      </c>
      <c r="FY61" s="1002">
        <f>FY60</f>
        <v>497759.95348837209</v>
      </c>
      <c r="FZ61" s="1003">
        <f t="shared" si="91"/>
        <v>18443551.609933127</v>
      </c>
      <c r="GA61" s="1004">
        <f t="shared" ref="GA61" si="649">+FX$35*(FX61+FZ61)/2+FY61</f>
        <v>3058207.5987433605</v>
      </c>
      <c r="GB61" s="1001">
        <f t="shared" ref="GB61" si="650">+GD60</f>
        <v>3139920.627051984</v>
      </c>
      <c r="GC61" s="1002">
        <f>GC60</f>
        <v>82666.813953488367</v>
      </c>
      <c r="GD61" s="1003">
        <f t="shared" si="93"/>
        <v>3057253.8130984958</v>
      </c>
      <c r="GE61" s="1004">
        <f t="shared" ref="GE61" si="651">+GB$35*(GB61+GD61)/2+GC61</f>
        <v>507104.38990339835</v>
      </c>
      <c r="GF61" s="1001">
        <f t="shared" ref="GF61" si="652">+GH60</f>
        <v>2985929.688307493</v>
      </c>
      <c r="GG61" s="1002">
        <f>GG60</f>
        <v>78035.186046511633</v>
      </c>
      <c r="GH61" s="1003">
        <f t="shared" si="95"/>
        <v>2907894.5022609811</v>
      </c>
      <c r="GI61" s="1004">
        <f t="shared" ref="GI61" si="653">+GF$35*(GF61+GH61)/2+GG61</f>
        <v>481696.64122721821</v>
      </c>
      <c r="GJ61" s="1001">
        <f t="shared" ref="GJ61" si="654">+GL60</f>
        <v>689532.87437300489</v>
      </c>
      <c r="GK61" s="1002">
        <f>GK60</f>
        <v>18120.279069767443</v>
      </c>
      <c r="GL61" s="1003">
        <f t="shared" si="97"/>
        <v>671412.59530323744</v>
      </c>
      <c r="GM61" s="1004">
        <f t="shared" ref="GM61" si="655">+GJ$35*(GJ61+GL61)/2+GK61</f>
        <v>111329.91867697038</v>
      </c>
      <c r="GN61" s="1001">
        <f t="shared" ref="GN61" si="656">+GP60</f>
        <v>5628744.9263755893</v>
      </c>
      <c r="GO61" s="1002">
        <f>GO60</f>
        <v>144450.86046511628</v>
      </c>
      <c r="GP61" s="1003">
        <f t="shared" si="99"/>
        <v>5484294.0659104735</v>
      </c>
      <c r="GQ61" s="1004">
        <f t="shared" ref="GQ61" si="657">+GN$35*(GN61+GP61)/2+GO61</f>
        <v>905570.52505990444</v>
      </c>
      <c r="GR61" s="1001">
        <f t="shared" ref="GR61" si="658">+GT60</f>
        <v>22366511.585993312</v>
      </c>
      <c r="GS61" s="1002">
        <f>GS60</f>
        <v>556921.90697674418</v>
      </c>
      <c r="GT61" s="1003">
        <f t="shared" si="222"/>
        <v>21809589.679016568</v>
      </c>
      <c r="GU61" s="1004">
        <f t="shared" ref="GU61" si="659">+GR$35*(GR61+GT61)/2+GS61</f>
        <v>3582493.8860968375</v>
      </c>
      <c r="GV61" s="1001">
        <f t="shared" ref="GV61" si="660">+GX60</f>
        <v>20530301.202120382</v>
      </c>
      <c r="GW61" s="1002">
        <f>GW60</f>
        <v>506767.67441860464</v>
      </c>
      <c r="GX61" s="1003">
        <f t="shared" si="345"/>
        <v>20023533.527701776</v>
      </c>
      <c r="GY61" s="1004">
        <f t="shared" ref="GY61" si="661">+GV$35*(GV61+GX61)/2+GW61</f>
        <v>3284254.6524648499</v>
      </c>
      <c r="GZ61" s="1001">
        <f t="shared" ref="GZ61" si="662">+HB60</f>
        <v>115831845.03488372</v>
      </c>
      <c r="HA61" s="1002">
        <f>HA60</f>
        <v>2799561.2093023257</v>
      </c>
      <c r="HB61" s="1003">
        <f t="shared" si="464"/>
        <v>113032283.8255814</v>
      </c>
      <c r="HC61" s="1004">
        <f t="shared" ref="HC61" si="663">+GZ$35*(GZ61+HB61)/2+HA61</f>
        <v>18474210.521427374</v>
      </c>
      <c r="HD61" s="1001">
        <f>+HF60</f>
        <v>124222908.70639534</v>
      </c>
      <c r="HE61" s="1002">
        <f>HD39</f>
        <v>2931514.0697674421</v>
      </c>
      <c r="HF61" s="1003">
        <f t="shared" ref="HF61:HF62" si="664">+HD61-HE61</f>
        <v>121291394.6366279</v>
      </c>
      <c r="HG61" s="1004">
        <f t="shared" ref="HG61" si="665">+HD$35*(HD61+HF61)/2+HE61</f>
        <v>19746515.28980948</v>
      </c>
      <c r="HH61" s="1001">
        <f>+HJ60</f>
        <v>2097965.1162790698</v>
      </c>
      <c r="HI61" s="1002">
        <f>HH39</f>
        <v>48837.20930232558</v>
      </c>
      <c r="HJ61" s="1003">
        <f t="shared" ref="HJ61:HJ62" si="666">+HH61-HI61</f>
        <v>2049127.9069767443</v>
      </c>
      <c r="HK61" s="1004">
        <f t="shared" ref="HK61" si="667">+HH$35*(HH61+HJ61)/2+HI61</f>
        <v>332866.99207325245</v>
      </c>
      <c r="HL61" s="1005">
        <f>+HL$38</f>
        <v>12100000</v>
      </c>
      <c r="HM61" s="1006">
        <f>+HL$39/12*(12.5-HL$40)</f>
        <v>152422.48062015502</v>
      </c>
      <c r="HN61" s="1006">
        <f>+HL61-HM61</f>
        <v>11947577.519379845</v>
      </c>
      <c r="HO61" s="1004">
        <f>+HL$35*(HL61+HN61)/2*(12.5-HL$40)/12+HM61</f>
        <v>1044543.041024621</v>
      </c>
      <c r="HP61" s="1005">
        <f>+HP$38</f>
        <v>16484968</v>
      </c>
      <c r="HQ61" s="1006">
        <f>+HP$39/12*(12.5-HP$40)</f>
        <v>15973.806201550387</v>
      </c>
      <c r="HR61" s="1006">
        <f>+HP61-HQ61</f>
        <v>16468994.193798449</v>
      </c>
      <c r="HS61" s="1004">
        <f>+HP$35*(HP61+HR61)/2*(12.5-HP$40)/12+HQ61</f>
        <v>110014.64668565577</v>
      </c>
      <c r="HT61" s="1001">
        <f t="shared" ref="HT61" si="668">+HV60</f>
        <v>101581.98037315701</v>
      </c>
      <c r="HU61" s="1002">
        <f>HU60</f>
        <v>2529.3720930232557</v>
      </c>
      <c r="HV61" s="1003">
        <f t="shared" si="224"/>
        <v>99052.608280133762</v>
      </c>
      <c r="HW61" s="1004">
        <f t="shared" ref="HW61" si="669">+HT$35*(HT61+HV61)/2+HU61</f>
        <v>16270.611634061939</v>
      </c>
      <c r="HX61" s="1001">
        <f t="shared" ref="HX61" si="670">+HZ60</f>
        <v>70449.908325733399</v>
      </c>
      <c r="HY61" s="1002">
        <f>HY60</f>
        <v>1760.3488372093022</v>
      </c>
      <c r="HZ61" s="1003">
        <f t="shared" si="226"/>
        <v>68689.559488524101</v>
      </c>
      <c r="IA61" s="1004">
        <f t="shared" ref="IA61" si="671">+HX$35*(HX61+HZ61)/2+HY61</f>
        <v>11289.856035752831</v>
      </c>
      <c r="IB61" s="1001">
        <f t="shared" ref="IB61" si="672">+ID60</f>
        <v>13585806.252906976</v>
      </c>
      <c r="IC61" s="1002">
        <f>IC60</f>
        <v>329020.53488372092</v>
      </c>
      <c r="ID61" s="1003">
        <f t="shared" si="468"/>
        <v>13256785.718023255</v>
      </c>
      <c r="IE61" s="1004">
        <f t="shared" ref="IE61" si="673">+IB$35*(IB61+ID61)/2+IC61</f>
        <v>2167439.7658385136</v>
      </c>
      <c r="IF61" s="1001">
        <f t="shared" ref="IF61" si="674">+IH60</f>
        <v>483114.77487080102</v>
      </c>
      <c r="IG61" s="1002">
        <f>IG60</f>
        <v>11883.930232558139</v>
      </c>
      <c r="IH61" s="1003">
        <f t="shared" si="348"/>
        <v>471230.84463824285</v>
      </c>
      <c r="II61" s="1004">
        <f t="shared" ref="II61" si="675">+IF$35*(IF61+IH61)/2+IG61</f>
        <v>77245.998909940405</v>
      </c>
      <c r="IJ61" s="1001">
        <f t="shared" ref="IJ61" si="676">+IL60</f>
        <v>707654.4593023255</v>
      </c>
      <c r="IK61" s="1002">
        <f>IK60</f>
        <v>17559.023255813954</v>
      </c>
      <c r="IL61" s="1003">
        <f t="shared" si="350"/>
        <v>690095.43604651152</v>
      </c>
      <c r="IM61" s="1004">
        <f t="shared" ref="IM61" si="677">+IJ$35*(IJ61+IL61)/2+IK61</f>
        <v>113289.35699024652</v>
      </c>
      <c r="IN61" s="1001">
        <f t="shared" ref="IN61" si="678">+IP60</f>
        <v>15549.028157774737</v>
      </c>
      <c r="IO61" s="1002">
        <f>IO60</f>
        <v>378.55813953488371</v>
      </c>
      <c r="IP61" s="1003">
        <f t="shared" si="472"/>
        <v>15170.470018239854</v>
      </c>
      <c r="IQ61" s="1004">
        <f t="shared" ref="IQ61" si="679">+IN$35*(IN61+IP61)/2+IO61</f>
        <v>2482.5023589763991</v>
      </c>
      <c r="IR61" s="1001">
        <f t="shared" ref="IR61" si="680">+IT60</f>
        <v>15549.028157774737</v>
      </c>
      <c r="IS61" s="1002">
        <f>IS60</f>
        <v>378.55813953488371</v>
      </c>
      <c r="IT61" s="1003">
        <f t="shared" si="474"/>
        <v>15170.470018239854</v>
      </c>
      <c r="IU61" s="1004">
        <f t="shared" ref="IU61" si="681">+IR$35*(IR61+IT61)/2+IS61</f>
        <v>2482.5023589763991</v>
      </c>
      <c r="IV61" s="1001">
        <f t="shared" ref="IV61" si="682">+IX60</f>
        <v>820414.21901124797</v>
      </c>
      <c r="IW61" s="1002">
        <f>IW60</f>
        <v>19973.883720930233</v>
      </c>
      <c r="IX61" s="1003">
        <f t="shared" si="476"/>
        <v>800440.33529031777</v>
      </c>
      <c r="IY61" s="1004">
        <f t="shared" ref="IY61" si="683">+IV$35*(IV61+IX61)/2+IW61</f>
        <v>130984.40708751525</v>
      </c>
      <c r="IZ61" s="1001">
        <f t="shared" ref="IZ61" si="684">+JB60</f>
        <v>820414.21901124797</v>
      </c>
      <c r="JA61" s="1002">
        <f>JA60</f>
        <v>19973.883720930233</v>
      </c>
      <c r="JB61" s="1003">
        <f t="shared" si="478"/>
        <v>800440.33529031777</v>
      </c>
      <c r="JC61" s="1004">
        <f t="shared" ref="JC61" si="685">+IZ$35*(IZ61+JB61)/2+JA61</f>
        <v>130984.40708751525</v>
      </c>
      <c r="JD61" s="1001">
        <f t="shared" ref="JD61" si="686">+JF60</f>
        <v>222630.02196382431</v>
      </c>
      <c r="JE61" s="1002">
        <f>JE60</f>
        <v>5485.8604651162786</v>
      </c>
      <c r="JF61" s="1003">
        <f t="shared" si="351"/>
        <v>217144.16149870804</v>
      </c>
      <c r="JG61" s="1004">
        <f t="shared" ref="JG61" si="687">+JD$35*(JD61+JF61)/2+JE61</f>
        <v>35605.50453788435</v>
      </c>
      <c r="JH61" s="1001">
        <f t="shared" ref="JH61" si="688">+JJ60</f>
        <v>16312815.510658914</v>
      </c>
      <c r="JI61" s="1002">
        <f>JI60</f>
        <v>388786.06976744183</v>
      </c>
      <c r="JJ61" s="1003">
        <f t="shared" si="481"/>
        <v>15924029.440891473</v>
      </c>
      <c r="JK61" s="1004">
        <f t="shared" ref="JK61" si="689">+JH$35*(JH61+JJ61)/2+JI61</f>
        <v>2596651.6800788566</v>
      </c>
      <c r="JL61" s="1001">
        <f t="shared" ref="JL61" si="690">+JN60</f>
        <v>8546746.6182170548</v>
      </c>
      <c r="JM61" s="1002">
        <f>JM60</f>
        <v>203696.04651162791</v>
      </c>
      <c r="JN61" s="1003">
        <f t="shared" si="483"/>
        <v>8343050.571705427</v>
      </c>
      <c r="JO61" s="1004">
        <f t="shared" ref="JO61" si="691">+JL$35*(JL61+JN61)/2+JM61</f>
        <v>1360459.4468012331</v>
      </c>
      <c r="JP61" s="1001">
        <f>+JR60</f>
        <v>1581518.5281007751</v>
      </c>
      <c r="JQ61" s="1002">
        <f>JP39</f>
        <v>37617.883720930229</v>
      </c>
      <c r="JR61" s="1003">
        <f t="shared" ref="JR61:JR62" si="692">+JP61-JQ61</f>
        <v>1543900.6443798449</v>
      </c>
      <c r="JS61" s="1004">
        <f t="shared" ref="JS61" si="693">+JP$35*(JP61+JR61)/2+JQ61</f>
        <v>251674.36223484419</v>
      </c>
      <c r="JT61" s="1001">
        <f>+JV60</f>
        <v>245918.4757751938</v>
      </c>
      <c r="JU61" s="1002">
        <f>JT39</f>
        <v>5724.5813953488368</v>
      </c>
      <c r="JV61" s="1003">
        <f t="shared" ref="JV61:JV62" si="694">+JT61-JU61</f>
        <v>240193.89437984498</v>
      </c>
      <c r="JW61" s="1004">
        <f t="shared" ref="JW61" si="695">+JT$35*(JT61+JV61)/2+JU61</f>
        <v>39017.876270369343</v>
      </c>
      <c r="JX61" s="1005">
        <f>+JX$38</f>
        <v>24905442</v>
      </c>
      <c r="JY61" s="1006">
        <f>+JX$39/12*(12.5-JX$40)</f>
        <v>458530.42441860458</v>
      </c>
      <c r="JZ61" s="1006">
        <f>+JX61-JY61</f>
        <v>24446911.575581394</v>
      </c>
      <c r="KA61" s="1004">
        <f>+JX$35*(JX61+JZ61)/2*(12.5-JX$40)/12+JY61</f>
        <v>3134433.2149123885</v>
      </c>
      <c r="KB61" s="1005">
        <f>+KB$38</f>
        <v>5879633</v>
      </c>
      <c r="KC61" s="1006">
        <f>+KB$39/12*(12.5-KB$40)</f>
        <v>85459.781976744169</v>
      </c>
      <c r="KD61" s="1006">
        <f>+KB61-KC61</f>
        <v>5794173.2180232555</v>
      </c>
      <c r="KE61" s="1004">
        <f>+KB$35*(KB61+KD61)/2*(12.5-KB$40)/12+KC61</f>
        <v>585163.52409523132</v>
      </c>
      <c r="KF61" s="1001">
        <f t="shared" ref="KF61" si="696">+KH60</f>
        <v>3907899.5406976743</v>
      </c>
      <c r="KG61" s="1002">
        <f>KG60</f>
        <v>94450.744186046519</v>
      </c>
      <c r="KH61" s="1003">
        <f t="shared" si="352"/>
        <v>3813448.7965116277</v>
      </c>
      <c r="KI61" s="1004">
        <f>+KF$35*(KF61+KH61)/2+KG61</f>
        <v>623277.29295597377</v>
      </c>
      <c r="KJ61" s="1001">
        <f t="shared" ref="KJ61" si="697">+KL60</f>
        <v>17021250.164728682</v>
      </c>
      <c r="KK61" s="1002">
        <f>KK60</f>
        <v>407288.13953488372</v>
      </c>
      <c r="KL61" s="1003">
        <f t="shared" si="486"/>
        <v>16613962.025193799</v>
      </c>
      <c r="KM61" s="1004">
        <f t="shared" ref="KM61" si="698">+KJ$35*(KJ61+KL61)/2+KK61</f>
        <v>2710926.3647168926</v>
      </c>
      <c r="KN61" s="1001">
        <f>+KP60</f>
        <v>16022685.083333334</v>
      </c>
      <c r="KO61" s="1002">
        <f>KN39</f>
        <v>372982</v>
      </c>
      <c r="KP61" s="1003">
        <f t="shared" ref="KP61:KP62" si="699">+KN61-KO61</f>
        <v>15649703.083333334</v>
      </c>
      <c r="KQ61" s="1004">
        <f t="shared" ref="KQ61" si="700">+KN$35*(KN61+KP61)/2+KO61</f>
        <v>2542188.5937195392</v>
      </c>
      <c r="KR61" s="1001">
        <f t="shared" ref="KR61" si="701">+KT60</f>
        <v>3055777.6036821706</v>
      </c>
      <c r="KS61" s="1002">
        <f>KS60</f>
        <v>72828.860465116275</v>
      </c>
      <c r="KT61" s="1003">
        <f t="shared" si="488"/>
        <v>2982948.7432170543</v>
      </c>
      <c r="KU61" s="1004">
        <f t="shared" ref="KU61" si="702">+KR$35*(KR61+KT61)/2+KS61</f>
        <v>486414.50296326831</v>
      </c>
      <c r="KV61" s="1001">
        <f>+KX60</f>
        <v>38648318.799418606</v>
      </c>
      <c r="KW61" s="1002">
        <f>KV39</f>
        <v>912054.72093023255</v>
      </c>
      <c r="KX61" s="1003">
        <f t="shared" ref="KX61:KX62" si="703">+KV61-KW61</f>
        <v>37736264.078488372</v>
      </c>
      <c r="KY61" s="1004">
        <f t="shared" ref="KY61" si="704">+KV$35*(KV61+KX61)/2+KW61</f>
        <v>6143549.7368840845</v>
      </c>
      <c r="KZ61" s="1001">
        <f>+LB60</f>
        <v>18211070.348837208</v>
      </c>
      <c r="LA61" s="1002">
        <f>KZ39</f>
        <v>428916.27906976745</v>
      </c>
      <c r="LB61" s="1003">
        <f t="shared" ref="LB61:LB62" si="705">+KZ61-LA61</f>
        <v>17782154.069767442</v>
      </c>
      <c r="LC61" s="1004">
        <f t="shared" ref="LC61" si="706">+KZ$35*(KZ61+LB61)/2+LA61</f>
        <v>2894052.1358042941</v>
      </c>
      <c r="LD61" s="1001">
        <f>+LF60</f>
        <v>26921018.19767442</v>
      </c>
      <c r="LE61" s="1002">
        <f>LD39</f>
        <v>631578.13953488367</v>
      </c>
      <c r="LF61" s="1003">
        <f t="shared" ref="LF61:LF62" si="707">+LD61-LE61</f>
        <v>26289440.058139537</v>
      </c>
      <c r="LG61" s="1004">
        <f t="shared" ref="LG61" si="708">+LD$35*(LD61+LF61)/2+LE61</f>
        <v>4275903.1678833114</v>
      </c>
      <c r="LH61" s="1001">
        <f>+LJ60</f>
        <v>7879200.7238372089</v>
      </c>
      <c r="LI61" s="1002">
        <f>LH39</f>
        <v>184129.32558139536</v>
      </c>
      <c r="LJ61" s="1003">
        <f t="shared" ref="LJ61:LJ62" si="709">+LH61-LI61</f>
        <v>7695071.3982558139</v>
      </c>
      <c r="LK61" s="1004">
        <f t="shared" ref="LK61" si="710">+LH$35*(LH61+LJ61)/2+LI61</f>
        <v>1250793.8790040533</v>
      </c>
      <c r="LL61" s="1001">
        <f>+LN60</f>
        <v>36391223.131782949</v>
      </c>
      <c r="LM61" s="1002">
        <f>LL39</f>
        <v>857104.37209302327</v>
      </c>
      <c r="LN61" s="1003">
        <f t="shared" ref="LN61:LN62" si="711">+LL61-LM61</f>
        <v>35534118.759689927</v>
      </c>
      <c r="LO61" s="1004">
        <f t="shared" ref="LO61" si="712">+LL$35*(LL61+LN61)/2+LM61</f>
        <v>5783190.9389000703</v>
      </c>
      <c r="LP61" s="1001">
        <f t="shared" ref="LP61" si="713">+LR60</f>
        <v>4098247.3091085274</v>
      </c>
      <c r="LQ61" s="1002">
        <f>LQ60</f>
        <v>98063.744186046519</v>
      </c>
      <c r="LR61" s="1003">
        <f t="shared" si="490"/>
        <v>4000183.5649224808</v>
      </c>
      <c r="LS61" s="1004">
        <f t="shared" ref="LS61" si="714">+LP$35*(LP61+LR61)/2+LQ61</f>
        <v>652716.25596658757</v>
      </c>
      <c r="LT61" s="1001">
        <f>+LV60</f>
        <v>49164244.186046511</v>
      </c>
      <c r="LU61" s="1002">
        <f>LT39</f>
        <v>1151162.7906976745</v>
      </c>
      <c r="LV61" s="1003">
        <f t="shared" ref="LV61:LV62" si="715">+LT61-LU61</f>
        <v>48013081.395348839</v>
      </c>
      <c r="LW61" s="1004">
        <f t="shared" ref="LW61" si="716">+LT$35*(LT61+LV61)/2+LU61</f>
        <v>7806729.5986671932</v>
      </c>
      <c r="LX61" s="1005">
        <f>+LX$38</f>
        <v>13000000</v>
      </c>
      <c r="LY61" s="1006">
        <f>+LX$39/12*(12.5-LX$40)</f>
        <v>163759.68992248061</v>
      </c>
      <c r="LZ61" s="1006">
        <f>+LX61-LY61</f>
        <v>12836240.31007752</v>
      </c>
      <c r="MA61" s="1004">
        <f>+LX$35*(LX61+LZ61)/2*(12.5-LX$40)/12+LY61</f>
        <v>1122236.3250677746</v>
      </c>
      <c r="MB61" s="1005">
        <f>+MB$38</f>
        <v>15796731</v>
      </c>
      <c r="MC61" s="1006">
        <f>+MB$39/12*(12.5-MB$40)</f>
        <v>12627440.375</v>
      </c>
      <c r="MD61" s="1006">
        <f>+MB61-MC61</f>
        <v>3169290.625</v>
      </c>
      <c r="ME61" s="1004">
        <f>+MB$35*(MB61+MD61)/2*(12.5-MB$40)/12+MC61</f>
        <v>13655785.053905318</v>
      </c>
      <c r="MF61" s="1005">
        <f>+MF$38</f>
        <v>15950451</v>
      </c>
      <c r="MG61" s="1006">
        <f>+MF$39/12*(12.5-MF$40)</f>
        <v>170014.49709302327</v>
      </c>
      <c r="MH61" s="1006">
        <f>+MF61-MG61</f>
        <v>15780436.502906976</v>
      </c>
      <c r="MI61" s="1004">
        <f>+MF$35*(MF61+MH61)/2*(12.5-MF$40)/12+MG61</f>
        <v>1166070.5233106152</v>
      </c>
      <c r="MJ61" s="1005">
        <f>+MJ$38</f>
        <v>12600000</v>
      </c>
      <c r="MK61" s="1006">
        <f>+MJ$39/12*(12.5-MJ$40)</f>
        <v>158720.93023255814</v>
      </c>
      <c r="ML61" s="1006">
        <f>+MJ61-MK61</f>
        <v>12441279.069767442</v>
      </c>
      <c r="MM61" s="1004">
        <f>+MJ$35*(MJ61+ML61)/2*(12.5-MJ$40)/12+MK61</f>
        <v>1087705.9766041508</v>
      </c>
      <c r="MN61" s="1005">
        <f>+MN$38</f>
        <v>2788384</v>
      </c>
      <c r="MO61" s="1006">
        <f>+MN$39/12*(12.5-MN$40)</f>
        <v>62144.217054263565</v>
      </c>
      <c r="MP61" s="1006">
        <f>+MN61-MO61</f>
        <v>2726239.7829457363</v>
      </c>
      <c r="MQ61" s="1004">
        <f>+MN$35*(MN61+MP61)/2*(12.5-MN$40)/12+MO61</f>
        <v>424097.55688018916</v>
      </c>
      <c r="MR61" s="1005">
        <f>+MR$38</f>
        <v>50746196</v>
      </c>
      <c r="MS61" s="1006">
        <f>+MR$39/12*(12.5-MR$40)</f>
        <v>540899.37596899224</v>
      </c>
      <c r="MT61" s="1006">
        <f>+MR61-MS61</f>
        <v>50205296.624031007</v>
      </c>
      <c r="MU61" s="1004">
        <f>+MR$35*(MR61+MT61)/2*(12.5-MR$40)/12+MS61</f>
        <v>3709841.3910517669</v>
      </c>
      <c r="MV61" s="1005">
        <f>+MV$38</f>
        <v>42555845</v>
      </c>
      <c r="MW61" s="1006">
        <f>+MV$39/12*(12.5-MV$40)</f>
        <v>41236.28391472868</v>
      </c>
      <c r="MX61" s="1006">
        <f>+MV61-MW61</f>
        <v>42514608.71608527</v>
      </c>
      <c r="MY61" s="1004">
        <f>+MV$35*(MV61+MX61)/2*(12.5-MV$40)/12+MW61</f>
        <v>284002.14377635007</v>
      </c>
      <c r="MZ61" s="1001">
        <f>+NB60</f>
        <v>1705014.296511628</v>
      </c>
      <c r="NA61" s="1002">
        <f>MZ39</f>
        <v>40236.325581395351</v>
      </c>
      <c r="NB61" s="1003">
        <f t="shared" ref="NB61:NB62" si="717">+MZ61-NA61</f>
        <v>1664777.9709302327</v>
      </c>
      <c r="NC61" s="1004">
        <f t="shared" ref="NC61" si="718">+MZ$35*(MZ61+NB61)/2+NA61</f>
        <v>271029.64522418473</v>
      </c>
      <c r="ND61" s="1005">
        <f>+ND$38</f>
        <v>3985867</v>
      </c>
      <c r="NE61" s="1006">
        <f>+ND$39/12*(12.5-ND$40)</f>
        <v>57934.11337209303</v>
      </c>
      <c r="NF61" s="1006">
        <f>+ND61-NE61</f>
        <v>3927932.8866279069</v>
      </c>
      <c r="NG61" s="1004">
        <f>+ND$35*(ND61+NF61)/2*(12.5-ND$40)/12+NE61</f>
        <v>396688.70153883542</v>
      </c>
      <c r="NH61" s="1007">
        <f>G61+K61+S61+W61+AA61+AE61+AI61+AM61+AQ61+AU61+AY61+BC61+BG61+BK61+BO61+BS61+BW61+CA61+CE61+EU61+FC61+FG61+FK61+FO61+FS61+FW61+GA61+GE61+GI61+GM61+GQ61+EQ61+EY61+GY61+HW61+IM61+II61+IA61+GU61+HC61+IE61+IQ61+IU61+IY61+JC61+JG61+JK61+JO61+KI61+KM61+KU61+LS61+O61+HG61+HK61+HO61+HS61+JS61+JW61+KA61+KE61+KQ61+KY61+LC61+LG61+LO61+LW61+MA61+ME61+MI61+MM61+MQ61+MU61+MY61+NC61+NG61+LK61</f>
        <v>200198418.51727104</v>
      </c>
      <c r="NI61" s="1001"/>
      <c r="NJ61" s="1008">
        <f t="shared" ref="NJ61" si="719">+CI61+CM61+CQ61+CU61+CY61+DC61+DG61+DK61+DO61+DS61+DW61+EA61+EI61+EM61+EE61</f>
        <v>51686815.325885996</v>
      </c>
      <c r="NK61" s="1047"/>
      <c r="NL61" s="1047"/>
    </row>
    <row r="62" spans="1:376" ht="13.6" thickBot="1">
      <c r="A62" s="874">
        <v>39</v>
      </c>
      <c r="B62" s="1009" t="str">
        <f t="shared" si="1"/>
        <v>W incentive</v>
      </c>
      <c r="C62" s="1010">
        <f t="shared" si="2"/>
        <v>2015</v>
      </c>
      <c r="D62" s="1011">
        <f t="shared" ref="D62:E62" si="720">+D61</f>
        <v>1635734.5486966101</v>
      </c>
      <c r="E62" s="1012">
        <f t="shared" si="720"/>
        <v>44463.325581395351</v>
      </c>
      <c r="F62" s="1012">
        <f t="shared" si="3"/>
        <v>1591271.2231152148</v>
      </c>
      <c r="G62" s="1013">
        <f t="shared" ref="G62" si="721">+D$37*(D62+F62)/2+E62</f>
        <v>265477.35715203499</v>
      </c>
      <c r="H62" s="1011">
        <f t="shared" ref="H62:I62" si="722">+H61</f>
        <v>894871.91752165998</v>
      </c>
      <c r="I62" s="1012">
        <f t="shared" si="722"/>
        <v>25042.255813953489</v>
      </c>
      <c r="J62" s="1012">
        <f t="shared" si="0"/>
        <v>869829.66170770652</v>
      </c>
      <c r="K62" s="1013">
        <f t="shared" ref="K62" si="723">+H$37*(H62+J62)/2+I62</f>
        <v>145904.7017232384</v>
      </c>
      <c r="L62" s="1011">
        <f t="shared" ref="L62:M62" si="724">+L61</f>
        <v>568476.77906976745</v>
      </c>
      <c r="M62" s="1012">
        <f t="shared" si="724"/>
        <v>13767.348837209302</v>
      </c>
      <c r="N62" s="1012">
        <f t="shared" si="412"/>
        <v>554709.43023255817</v>
      </c>
      <c r="O62" s="1013">
        <f t="shared" ref="O62" si="725">+L$37*(L62+N62)/2+M62</f>
        <v>90693.121480954913</v>
      </c>
      <c r="P62" s="1011">
        <f t="shared" ref="P62:Q62" si="726">+P61</f>
        <v>6980755.1906634737</v>
      </c>
      <c r="Q62" s="1012">
        <f t="shared" si="726"/>
        <v>191215.04651162791</v>
      </c>
      <c r="R62" s="1012">
        <f t="shared" si="4"/>
        <v>6789540.1441518459</v>
      </c>
      <c r="S62" s="1013">
        <f t="shared" ref="S62" si="727">+P$37*(P62+R62)/2+Q62</f>
        <v>1134327.2387644327</v>
      </c>
      <c r="T62" s="1011">
        <f t="shared" ref="T62:U62" si="728">+T61</f>
        <v>6135124.253419972</v>
      </c>
      <c r="U62" s="1012">
        <f t="shared" si="728"/>
        <v>167087.02325581395</v>
      </c>
      <c r="V62" s="1012">
        <f t="shared" si="5"/>
        <v>5968037.2301641582</v>
      </c>
      <c r="W62" s="1013">
        <f t="shared" ref="W62" si="729">+T$37*(T62+V62)/2+U62</f>
        <v>996019.07463405898</v>
      </c>
      <c r="X62" s="1011">
        <f t="shared" ref="X62:Y62" si="730">+X61</f>
        <v>2128653.9190986468</v>
      </c>
      <c r="Y62" s="1012">
        <f t="shared" si="730"/>
        <v>56146.372093023259</v>
      </c>
      <c r="Z62" s="1012">
        <f t="shared" si="34"/>
        <v>2072507.5470056236</v>
      </c>
      <c r="AA62" s="1013">
        <f t="shared" ref="AA62" si="731">+X$37*(X62+Z62)/2+Y62</f>
        <v>343879.24230155797</v>
      </c>
      <c r="AB62" s="1011">
        <f t="shared" ref="AB62:AC62" si="732">+AB61</f>
        <v>19336570.045599639</v>
      </c>
      <c r="AC62" s="1012">
        <f t="shared" si="732"/>
        <v>508146.97674418607</v>
      </c>
      <c r="AD62" s="1012">
        <f t="shared" si="37"/>
        <v>18828423.068855453</v>
      </c>
      <c r="AE62" s="1013">
        <f t="shared" ref="AE62" si="733">+AB$37*(AB62+AD62)/2+AC62</f>
        <v>3341350.1788211996</v>
      </c>
      <c r="AF62" s="1011">
        <f t="shared" ref="AF62:AG62" si="734">+AF61</f>
        <v>40344013.51719486</v>
      </c>
      <c r="AG62" s="1012">
        <f t="shared" si="734"/>
        <v>1048586.2558139535</v>
      </c>
      <c r="AH62" s="1012">
        <f t="shared" si="40"/>
        <v>39295427.261380903</v>
      </c>
      <c r="AI62" s="1013">
        <f t="shared" ref="AI62" si="735">+AF$37*(AF62+AH62)/2+AG62</f>
        <v>6960672.1809657076</v>
      </c>
      <c r="AJ62" s="1011">
        <f t="shared" ref="AJ62:AK62" si="736">+AJ61</f>
        <v>12307071.648426812</v>
      </c>
      <c r="AK62" s="1012">
        <f t="shared" si="736"/>
        <v>315837.20930232556</v>
      </c>
      <c r="AL62" s="1012">
        <f t="shared" si="42"/>
        <v>11991234.439124487</v>
      </c>
      <c r="AM62" s="1013">
        <f t="shared" ref="AM62" si="737">+AJ$37*(AJ62+AL62)/2+AK62</f>
        <v>2119637.8390009492</v>
      </c>
      <c r="AN62" s="1011">
        <f t="shared" ref="AN62:AO62" si="738">+AN61</f>
        <v>10116397.810833523</v>
      </c>
      <c r="AO62" s="1012">
        <f t="shared" si="738"/>
        <v>261029.80627906977</v>
      </c>
      <c r="AP62" s="1012">
        <f t="shared" si="44"/>
        <v>9855368.0045544524</v>
      </c>
      <c r="AQ62" s="1013">
        <f t="shared" ref="AQ62" si="739">+AN$37*(AN62+AP62)/2+AO62</f>
        <v>1743646.8917740514</v>
      </c>
      <c r="AR62" s="1011">
        <f t="shared" ref="AR62:AS62" si="740">+AR61</f>
        <v>13256887.605088159</v>
      </c>
      <c r="AS62" s="1012">
        <f t="shared" si="740"/>
        <v>340826.95348837209</v>
      </c>
      <c r="AT62" s="1012">
        <f t="shared" si="46"/>
        <v>12916060.651599787</v>
      </c>
      <c r="AU62" s="1013">
        <f t="shared" ref="AU62" si="741">+AR$37*(AR62+AT62)/2+AS62</f>
        <v>2283792.8695639218</v>
      </c>
      <c r="AV62" s="1011">
        <f t="shared" ref="AV62:AW62" si="742">+AV61</f>
        <v>15370698.312813496</v>
      </c>
      <c r="AW62" s="1012">
        <f t="shared" si="742"/>
        <v>393041.86046511628</v>
      </c>
      <c r="AX62" s="1012">
        <f t="shared" si="48"/>
        <v>14977656.452348379</v>
      </c>
      <c r="AY62" s="1013">
        <f t="shared" ref="AY62" si="743">+AV$37*(AV62+AX62)/2+AW62</f>
        <v>2645971.8070411975</v>
      </c>
      <c r="AZ62" s="1011">
        <f t="shared" ref="AZ62:BA62" si="744">+AZ61</f>
        <v>10389749.700752394</v>
      </c>
      <c r="BA62" s="1012">
        <f t="shared" si="744"/>
        <v>264250.46511627908</v>
      </c>
      <c r="BB62" s="1012">
        <f t="shared" si="50"/>
        <v>10125499.235636115</v>
      </c>
      <c r="BC62" s="1013">
        <f t="shared" ref="BC62" si="745">+AZ$37*(AZ62+BB62)/2+BA62</f>
        <v>1787213.3752279645</v>
      </c>
      <c r="BD62" s="1011">
        <f t="shared" ref="BD62:BE62" si="746">+BD61</f>
        <v>84495637.865101084</v>
      </c>
      <c r="BE62" s="1012">
        <f t="shared" si="746"/>
        <v>2133789.8604651163</v>
      </c>
      <c r="BF62" s="1012">
        <f t="shared" si="171"/>
        <v>82361848.004635975</v>
      </c>
      <c r="BG62" s="1013">
        <f t="shared" ref="BG62" si="747">+BD$37*(BD62+BF62)/2+BE62</f>
        <v>14520564.35401552</v>
      </c>
      <c r="BH62" s="1011">
        <f t="shared" ref="BH62:BI62" si="748">+BH61</f>
        <v>12663512.461525306</v>
      </c>
      <c r="BI62" s="1012">
        <f t="shared" si="748"/>
        <v>319228.48837209301</v>
      </c>
      <c r="BJ62" s="1012">
        <f t="shared" si="173"/>
        <v>12344283.973153213</v>
      </c>
      <c r="BK62" s="1013">
        <f t="shared" ref="BK62" si="749">+BH$37*(BH62+BJ62)/2+BI62</f>
        <v>2175698.5975933587</v>
      </c>
      <c r="BL62" s="1011">
        <f t="shared" ref="BL62:BM62" si="750">+BL61</f>
        <v>2881939.2561559505</v>
      </c>
      <c r="BM62" s="1012">
        <f t="shared" si="750"/>
        <v>72649.441860465115</v>
      </c>
      <c r="BN62" s="1012">
        <f t="shared" si="175"/>
        <v>2809289.8142954852</v>
      </c>
      <c r="BO62" s="1013">
        <f t="shared" ref="BO62" si="751">+BL$37*(BL62+BN62)/2+BM62</f>
        <v>495141.5507362723</v>
      </c>
      <c r="BP62" s="1011">
        <f t="shared" ref="BP62:BQ62" si="752">+BP61</f>
        <v>2178606.0011019912</v>
      </c>
      <c r="BQ62" s="1012">
        <f t="shared" si="752"/>
        <v>56624.41860465116</v>
      </c>
      <c r="BR62" s="1012">
        <f t="shared" si="53"/>
        <v>2121981.5824973402</v>
      </c>
      <c r="BS62" s="1013">
        <f t="shared" ref="BS62" si="753">+BP$37*(BP62+BR62)/2+BQ62</f>
        <v>375881.34801442962</v>
      </c>
      <c r="BT62" s="1011">
        <f t="shared" ref="BT62:BU62" si="754">+BT61</f>
        <v>36026717.428066574</v>
      </c>
      <c r="BU62" s="1012">
        <f t="shared" si="754"/>
        <v>906574.74418604653</v>
      </c>
      <c r="BV62" s="1012">
        <f t="shared" si="179"/>
        <v>35120142.68388053</v>
      </c>
      <c r="BW62" s="1013">
        <f t="shared" ref="BW62" si="755">+BT$37*(BT62+BV62)/2+BU62</f>
        <v>6188208.3942271722</v>
      </c>
      <c r="BX62" s="1011">
        <f t="shared" ref="BX62:BY62" si="756">+BX61</f>
        <v>150745721.87670997</v>
      </c>
      <c r="BY62" s="1012">
        <f t="shared" si="756"/>
        <v>3800077.5116279069</v>
      </c>
      <c r="BZ62" s="1012">
        <f t="shared" si="181"/>
        <v>146945644.36508206</v>
      </c>
      <c r="CA62" s="1013">
        <f t="shared" ref="CA62" si="757">+BX$37*(BX62+BZ62)/2+BY62</f>
        <v>25899390.605633907</v>
      </c>
      <c r="CB62" s="1011">
        <f t="shared" ref="CB62:CC62" si="758">+CB61</f>
        <v>0</v>
      </c>
      <c r="CC62" s="1012">
        <f t="shared" si="758"/>
        <v>0</v>
      </c>
      <c r="CD62" s="1012">
        <f t="shared" si="183"/>
        <v>0</v>
      </c>
      <c r="CE62" s="1013">
        <f t="shared" ref="CE62" si="759">+CB$37*(CB62+CD62)/2+CC62</f>
        <v>0</v>
      </c>
      <c r="CF62" s="1011">
        <f t="shared" ref="CF62:CG62" si="760">+CF61</f>
        <v>12233161.927306579</v>
      </c>
      <c r="CG62" s="1012">
        <f t="shared" si="760"/>
        <v>317953.62790697673</v>
      </c>
      <c r="CH62" s="1012">
        <f t="shared" si="56"/>
        <v>11915208.299399603</v>
      </c>
      <c r="CI62" s="1013">
        <f t="shared" ref="CI62" si="761">+CF$37*(CF62+CH62)/2+CG62</f>
        <v>2110623.6710028835</v>
      </c>
      <c r="CJ62" s="1011">
        <f t="shared" ref="CJ62:CK62" si="762">+CJ61</f>
        <v>13208102.820964431</v>
      </c>
      <c r="CK62" s="1012">
        <f t="shared" si="762"/>
        <v>340187.23255813954</v>
      </c>
      <c r="CL62" s="1012">
        <f t="shared" si="58"/>
        <v>12867915.588406293</v>
      </c>
      <c r="CM62" s="1013">
        <f t="shared" ref="CM62" si="763">+CJ$37*(CJ62+CL62)/2+CK62</f>
        <v>2275957.4980810368</v>
      </c>
      <c r="CN62" s="1011">
        <f t="shared" ref="CN62:CO62" si="764">+CN61</f>
        <v>9499282.4489284102</v>
      </c>
      <c r="CO62" s="1012">
        <f t="shared" si="764"/>
        <v>249172.18604651163</v>
      </c>
      <c r="CP62" s="1012">
        <f t="shared" si="61"/>
        <v>9250110.2628818993</v>
      </c>
      <c r="CQ62" s="1013">
        <f t="shared" ref="CQ62" si="765">+CN$37*(CN62+CP62)/2+CO62</f>
        <v>1641045.6054597783</v>
      </c>
      <c r="CR62" s="1011">
        <f t="shared" ref="CR62:CS62" si="766">+CR61</f>
        <v>2748867.7649528808</v>
      </c>
      <c r="CS62" s="1012">
        <f t="shared" si="766"/>
        <v>71446.162790697679</v>
      </c>
      <c r="CT62" s="1012">
        <f t="shared" si="64"/>
        <v>2677421.6021621833</v>
      </c>
      <c r="CU62" s="1013">
        <f t="shared" ref="CU62" si="767">+CR$37*(CR62+CT62)/2+CS62</f>
        <v>474270.29966926528</v>
      </c>
      <c r="CV62" s="1011">
        <f t="shared" ref="CV62:CW62" si="768">+CV61</f>
        <v>10121974.058025539</v>
      </c>
      <c r="CW62" s="1012">
        <f t="shared" si="768"/>
        <v>267477.62790697673</v>
      </c>
      <c r="CX62" s="1012">
        <f t="shared" si="67"/>
        <v>9854496.4301185627</v>
      </c>
      <c r="CY62" s="1013">
        <f t="shared" ref="CY62" si="769">+CV$37*(CV62+CX62)/2+CW62</f>
        <v>1750443.9678581927</v>
      </c>
      <c r="CZ62" s="1011">
        <f t="shared" ref="CZ62:DA62" si="770">+CZ61</f>
        <v>14979097.409161726</v>
      </c>
      <c r="DA62" s="1012">
        <f t="shared" si="770"/>
        <v>385103.97674418607</v>
      </c>
      <c r="DB62" s="1012">
        <f t="shared" si="69"/>
        <v>14593993.43241754</v>
      </c>
      <c r="DC62" s="1013">
        <f t="shared" ref="DC62" si="771">+CZ$37*(CZ62+DB62)/2+DA62</f>
        <v>2580481.6993709039</v>
      </c>
      <c r="DD62" s="1011">
        <f t="shared" ref="DD62:DE62" si="772">+DD61</f>
        <v>17053797.217282258</v>
      </c>
      <c r="DE62" s="1012">
        <f t="shared" si="772"/>
        <v>439236.74418604653</v>
      </c>
      <c r="DF62" s="1012">
        <f t="shared" si="71"/>
        <v>16614560.473096211</v>
      </c>
      <c r="DG62" s="1013">
        <f t="shared" ref="DG62" si="773">+DD$37*(DD62+DF62)/2+DE62</f>
        <v>2938629.2773115295</v>
      </c>
      <c r="DH62" s="1011">
        <f t="shared" ref="DH62:DI62" si="774">+DH61</f>
        <v>9779941.6842985246</v>
      </c>
      <c r="DI62" s="1012">
        <f t="shared" si="774"/>
        <v>243518.6976744186</v>
      </c>
      <c r="DJ62" s="1012">
        <f t="shared" si="196"/>
        <v>9536422.9866241068</v>
      </c>
      <c r="DK62" s="1013">
        <f t="shared" ref="DK62" si="775">+DH$37*(DH62+DJ62)/2+DI62</f>
        <v>1677481.6509499748</v>
      </c>
      <c r="DL62" s="1011">
        <f t="shared" ref="DL62:DM62" si="776">+DL61</f>
        <v>17526430.443000458</v>
      </c>
      <c r="DM62" s="1012">
        <f t="shared" si="776"/>
        <v>439480.27906976745</v>
      </c>
      <c r="DN62" s="1012">
        <f t="shared" si="198"/>
        <v>17086950.163930692</v>
      </c>
      <c r="DO62" s="1013">
        <f t="shared" ref="DO62" si="777">+DL$37*(DL62+DN62)/2+DM62</f>
        <v>3009027.205913695</v>
      </c>
      <c r="DP62" s="1011">
        <f t="shared" ref="DP62:DQ62" si="778">+DP61</f>
        <v>11023995.359287126</v>
      </c>
      <c r="DQ62" s="1012">
        <f t="shared" si="778"/>
        <v>280381.72093023255</v>
      </c>
      <c r="DR62" s="1012">
        <f t="shared" si="73"/>
        <v>10743613.638356894</v>
      </c>
      <c r="DS62" s="1013">
        <f t="shared" ref="DS62" si="779">+DP$37*(DP62+DR62)/2+DQ62</f>
        <v>1896314.3985212841</v>
      </c>
      <c r="DT62" s="1011">
        <f t="shared" ref="DT62:DU62" si="780">+DT61</f>
        <v>82574289.033268735</v>
      </c>
      <c r="DU62" s="1012">
        <f t="shared" si="780"/>
        <v>2122937.4651162792</v>
      </c>
      <c r="DV62" s="1012">
        <f t="shared" si="75"/>
        <v>80451351.568152457</v>
      </c>
      <c r="DW62" s="1013">
        <f t="shared" ref="DW62" si="781">+DT$37*(DT62+DV62)/2+DU62</f>
        <v>14069107.357289579</v>
      </c>
      <c r="DX62" s="1011">
        <f t="shared" ref="DX62:DY62" si="782">+DX61</f>
        <v>29762636.069767442</v>
      </c>
      <c r="DY62" s="1012">
        <f t="shared" si="782"/>
        <v>748945.6744186047</v>
      </c>
      <c r="DZ62" s="1012">
        <f t="shared" si="202"/>
        <v>29013690.395348836</v>
      </c>
      <c r="EA62" s="1013">
        <f t="shared" ref="EA62" si="783">+DX$37*(DX62+DZ62)/2+DY62</f>
        <v>5055949.0329074766</v>
      </c>
      <c r="EB62" s="1011">
        <f t="shared" ref="EB62:EC62" si="784">+EB61</f>
        <v>12584193.2375171</v>
      </c>
      <c r="EC62" s="1012">
        <f t="shared" si="784"/>
        <v>312251.46511627908</v>
      </c>
      <c r="ED62" s="1012">
        <f t="shared" si="325"/>
        <v>12271941.772400821</v>
      </c>
      <c r="EE62" s="1013">
        <f t="shared" ref="EE62" si="785">+EB$37*(EB62+ED62)/2+EC62</f>
        <v>2133655.8196450821</v>
      </c>
      <c r="EF62" s="1011">
        <f t="shared" ref="EF62:EG62" si="786">+EF61</f>
        <v>77161196.71747227</v>
      </c>
      <c r="EG62" s="1012">
        <f t="shared" si="786"/>
        <v>1969539.0232558139</v>
      </c>
      <c r="EH62" s="1012">
        <f t="shared" si="77"/>
        <v>75191657.69421646</v>
      </c>
      <c r="EI62" s="1013">
        <f t="shared" ref="EI62" si="787">+EF$37*(EF62+EH62)/2+EG62</f>
        <v>13133629.994745068</v>
      </c>
      <c r="EJ62" s="1011">
        <f t="shared" ref="EJ62:EK62" si="788">+EJ61</f>
        <v>1194750.6162790696</v>
      </c>
      <c r="EK62" s="1012">
        <f t="shared" si="788"/>
        <v>30278.79069767442</v>
      </c>
      <c r="EL62" s="1012">
        <f t="shared" si="205"/>
        <v>1164471.8255813951</v>
      </c>
      <c r="EM62" s="1013">
        <f t="shared" ref="EM62" si="789">+EJ$37*(EJ62+EL62)/2+EK62</f>
        <v>203157.55995090416</v>
      </c>
      <c r="EN62" s="1011">
        <f t="shared" ref="EN62:EO62" si="790">+EN61</f>
        <v>185958.40937072501</v>
      </c>
      <c r="EO62" s="1012">
        <f t="shared" si="790"/>
        <v>4780.8837209302328</v>
      </c>
      <c r="EP62" s="1012">
        <f t="shared" si="79"/>
        <v>181177.52564979478</v>
      </c>
      <c r="EQ62" s="1013">
        <f t="shared" ref="EQ62" si="791">+EN$37*(EN62+EP62)/2+EO62</f>
        <v>31683.818971465247</v>
      </c>
      <c r="ER62" s="1011">
        <f t="shared" ref="ER62:ES62" si="792">+ER61</f>
        <v>21702860.630471956</v>
      </c>
      <c r="ES62" s="1012">
        <f t="shared" si="792"/>
        <v>546129.83720930235</v>
      </c>
      <c r="ET62" s="1012">
        <f t="shared" si="208"/>
        <v>21156730.793262653</v>
      </c>
      <c r="EU62" s="1013">
        <f t="shared" ref="EU62" si="793">+ER$37*(ER62+ET62)/2+ES62</f>
        <v>3686788.9308844348</v>
      </c>
      <c r="EV62" s="1011">
        <f t="shared" ref="EV62:EW62" si="794">+EV61</f>
        <v>1339283.7728948167</v>
      </c>
      <c r="EW62" s="1012">
        <f t="shared" si="794"/>
        <v>34246.627906976741</v>
      </c>
      <c r="EX62" s="1012">
        <f t="shared" si="81"/>
        <v>1305037.14498784</v>
      </c>
      <c r="EY62" s="1013">
        <f t="shared" ref="EY62" si="795">+EV$37*(EV62+EX62)/2+EW62</f>
        <v>228016.80306418741</v>
      </c>
      <c r="EZ62" s="1011">
        <f t="shared" ref="EZ62:FA62" si="796">+EZ61</f>
        <v>12696028.159142727</v>
      </c>
      <c r="FA62" s="1012">
        <f t="shared" si="796"/>
        <v>313387.34883720928</v>
      </c>
      <c r="FB62" s="1012">
        <f t="shared" si="332"/>
        <v>12382640.810305517</v>
      </c>
      <c r="FC62" s="1013">
        <f t="shared" ref="FC62" si="797">+EZ$37*(EZ62+FB62)/2+FA62</f>
        <v>2151098.5154571654</v>
      </c>
      <c r="FD62" s="1011">
        <f t="shared" ref="FD62:FE62" si="798">+FD61</f>
        <v>5638732.7728758166</v>
      </c>
      <c r="FE62" s="1012">
        <f t="shared" si="798"/>
        <v>149006</v>
      </c>
      <c r="FF62" s="1012">
        <f t="shared" si="83"/>
        <v>5489726.7728758166</v>
      </c>
      <c r="FG62" s="1013">
        <f t="shared" ref="FG62" si="799">+FD$37*(FD62+FF62)/2+FE62</f>
        <v>964475.68857957539</v>
      </c>
      <c r="FH62" s="1011">
        <f t="shared" ref="FH62:FI62" si="800">+FH61</f>
        <v>4848873.3486092109</v>
      </c>
      <c r="FI62" s="1012">
        <f t="shared" si="800"/>
        <v>122016.83720930232</v>
      </c>
      <c r="FJ62" s="1012">
        <f t="shared" si="212"/>
        <v>4726856.5113999089</v>
      </c>
      <c r="FK62" s="1013">
        <f t="shared" ref="FK62" si="801">+FH$37*(FH62+FJ62)/2+FI62</f>
        <v>823705.81893766834</v>
      </c>
      <c r="FL62" s="1011">
        <f t="shared" ref="FL62:FM62" si="802">+FL61</f>
        <v>2839303.6060191523</v>
      </c>
      <c r="FM62" s="1012">
        <f t="shared" si="802"/>
        <v>74339.720930232565</v>
      </c>
      <c r="FN62" s="1012">
        <f t="shared" si="85"/>
        <v>2764963.8850889197</v>
      </c>
      <c r="FO62" s="1013">
        <f t="shared" ref="FO62" si="803">+FL$37*(FL62+FN62)/2+FM62</f>
        <v>485008.44348808285</v>
      </c>
      <c r="FP62" s="1011">
        <f t="shared" ref="FP62:FQ62" si="804">+FP61</f>
        <v>19569540.508378927</v>
      </c>
      <c r="FQ62" s="1012">
        <f t="shared" si="804"/>
        <v>509564.90697674418</v>
      </c>
      <c r="FR62" s="1012">
        <f t="shared" si="87"/>
        <v>19059975.601402182</v>
      </c>
      <c r="FS62" s="1013">
        <f t="shared" ref="FS62" si="805">+FP$37*(FP62+FR62)/2+FQ62</f>
        <v>3155257.4457453261</v>
      </c>
      <c r="FT62" s="1011">
        <f t="shared" ref="FT62:FU62" si="806">+FT61</f>
        <v>4322715.7412790693</v>
      </c>
      <c r="FU62" s="1012">
        <f t="shared" si="806"/>
        <v>112557.79069767441</v>
      </c>
      <c r="FV62" s="1012">
        <f t="shared" si="89"/>
        <v>4210157.9505813951</v>
      </c>
      <c r="FW62" s="1013">
        <f t="shared" ref="FW62" si="807">+FT$37*(FT62+FV62)/2+FU62</f>
        <v>696964.80725602584</v>
      </c>
      <c r="FX62" s="1011">
        <f t="shared" ref="FX62:FY62" si="808">+FX61</f>
        <v>18941311.563421499</v>
      </c>
      <c r="FY62" s="1012">
        <f t="shared" si="808"/>
        <v>497759.95348837209</v>
      </c>
      <c r="FZ62" s="1012">
        <f t="shared" si="91"/>
        <v>18443551.609933127</v>
      </c>
      <c r="GA62" s="1013">
        <f t="shared" ref="GA62" si="809">+FX$37*(FX62+FZ62)/2+FY62</f>
        <v>3058207.5987433605</v>
      </c>
      <c r="GB62" s="1011">
        <f t="shared" ref="GB62:GC62" si="810">+GB61</f>
        <v>3139920.627051984</v>
      </c>
      <c r="GC62" s="1012">
        <f t="shared" si="810"/>
        <v>82666.813953488367</v>
      </c>
      <c r="GD62" s="1012">
        <f t="shared" si="93"/>
        <v>3057253.8130984958</v>
      </c>
      <c r="GE62" s="1013">
        <f t="shared" ref="GE62" si="811">+GB$37*(GB62+GD62)/2+GC62</f>
        <v>507104.38990339835</v>
      </c>
      <c r="GF62" s="1011">
        <f t="shared" ref="GF62:GG62" si="812">+GF61</f>
        <v>2985929.688307493</v>
      </c>
      <c r="GG62" s="1012">
        <f t="shared" si="812"/>
        <v>78035.186046511633</v>
      </c>
      <c r="GH62" s="1012">
        <f t="shared" si="95"/>
        <v>2907894.5022609811</v>
      </c>
      <c r="GI62" s="1013">
        <f t="shared" ref="GI62" si="813">+GF$37*(GF62+GH62)/2+GG62</f>
        <v>509922.00357647747</v>
      </c>
      <c r="GJ62" s="1011">
        <f t="shared" ref="GJ62:GK62" si="814">+GJ61</f>
        <v>689532.87437300489</v>
      </c>
      <c r="GK62" s="1012">
        <f t="shared" si="814"/>
        <v>18120.279069767443</v>
      </c>
      <c r="GL62" s="1012">
        <f t="shared" si="97"/>
        <v>671412.59530323744</v>
      </c>
      <c r="GM62" s="1013">
        <f t="shared" ref="GM62" si="815">+GJ$37*(GJ62+GL62)/2+GK62</f>
        <v>111329.91867697038</v>
      </c>
      <c r="GN62" s="1011">
        <f t="shared" ref="GN62:GO62" si="816">+GN61</f>
        <v>5628744.9263755893</v>
      </c>
      <c r="GO62" s="1012">
        <f t="shared" si="816"/>
        <v>144450.86046511628</v>
      </c>
      <c r="GP62" s="1012">
        <f t="shared" si="99"/>
        <v>5484294.0659104735</v>
      </c>
      <c r="GQ62" s="1013">
        <f t="shared" ref="GQ62" si="817">+GN$37*(GN62+GP62)/2+GO62</f>
        <v>905570.52505990444</v>
      </c>
      <c r="GR62" s="1011">
        <f t="shared" ref="GR62:GS62" si="818">+GR61</f>
        <v>22366511.585993312</v>
      </c>
      <c r="GS62" s="1012">
        <f t="shared" si="818"/>
        <v>556921.90697674418</v>
      </c>
      <c r="GT62" s="1012">
        <f t="shared" si="222"/>
        <v>21809589.679016568</v>
      </c>
      <c r="GU62" s="1013">
        <f t="shared" ref="GU62" si="819">+GR$37*(GR62+GT62)/2+GS62</f>
        <v>3582493.8860968375</v>
      </c>
      <c r="GV62" s="1011">
        <f t="shared" ref="GV62:GW62" si="820">+GV61</f>
        <v>20530301.202120382</v>
      </c>
      <c r="GW62" s="1012">
        <f t="shared" si="820"/>
        <v>506767.67441860464</v>
      </c>
      <c r="GX62" s="1012">
        <f t="shared" si="345"/>
        <v>20023533.527701776</v>
      </c>
      <c r="GY62" s="1013">
        <f t="shared" ref="GY62" si="821">+GV$37*(GV62+GX62)/2+GW62</f>
        <v>3284254.6524648499</v>
      </c>
      <c r="GZ62" s="1011">
        <f t="shared" ref="GZ62:HA62" si="822">+GZ61</f>
        <v>115831845.03488372</v>
      </c>
      <c r="HA62" s="1012">
        <f t="shared" si="822"/>
        <v>2799561.2093023257</v>
      </c>
      <c r="HB62" s="1012">
        <f t="shared" si="464"/>
        <v>113032283.8255814</v>
      </c>
      <c r="HC62" s="1013">
        <f t="shared" ref="HC62" si="823">+GZ$37*(GZ62+HB62)/2+HA62</f>
        <v>18474210.521427374</v>
      </c>
      <c r="HD62" s="1011">
        <f t="shared" ref="HD62:HE62" si="824">+HD61</f>
        <v>124222908.70639534</v>
      </c>
      <c r="HE62" s="1012">
        <f t="shared" si="824"/>
        <v>2931514.0697674421</v>
      </c>
      <c r="HF62" s="1012">
        <f t="shared" si="664"/>
        <v>121291394.6366279</v>
      </c>
      <c r="HG62" s="1013">
        <f t="shared" ref="HG62" si="825">+HD$37*(HD62+HF62)/2+HE62</f>
        <v>19746515.28980948</v>
      </c>
      <c r="HH62" s="1011">
        <f t="shared" ref="HH62:HI62" si="826">+HH61</f>
        <v>2097965.1162790698</v>
      </c>
      <c r="HI62" s="1012">
        <f t="shared" si="826"/>
        <v>48837.20930232558</v>
      </c>
      <c r="HJ62" s="1012">
        <f t="shared" si="666"/>
        <v>2049127.9069767443</v>
      </c>
      <c r="HK62" s="1013">
        <f t="shared" ref="HK62" si="827">+HH$37*(HH62+HJ62)/2+HI62</f>
        <v>332866.99207325245</v>
      </c>
      <c r="HL62" s="1014">
        <f>+HL61</f>
        <v>12100000</v>
      </c>
      <c r="HM62" s="1015">
        <f>+HM61</f>
        <v>152422.48062015502</v>
      </c>
      <c r="HN62" s="1015">
        <f>+HL62-HM62</f>
        <v>11947577.519379845</v>
      </c>
      <c r="HO62" s="1013">
        <f>+HL$37*(HL62+HN62)/2*(12.5-HL$40)/12+HM62</f>
        <v>1044543.041024621</v>
      </c>
      <c r="HP62" s="1014">
        <f>+HP61</f>
        <v>16484968</v>
      </c>
      <c r="HQ62" s="1015">
        <f>+HQ61</f>
        <v>15973.806201550387</v>
      </c>
      <c r="HR62" s="1015">
        <f>+HP62-HQ62</f>
        <v>16468994.193798449</v>
      </c>
      <c r="HS62" s="1013">
        <f>+HP$37*(HP62+HR62)/2*(12.5-HP$40)/12+HQ62</f>
        <v>110014.64668565577</v>
      </c>
      <c r="HT62" s="1011">
        <f t="shared" ref="HT62:HU62" si="828">+HT61</f>
        <v>101581.98037315701</v>
      </c>
      <c r="HU62" s="1012">
        <f t="shared" si="828"/>
        <v>2529.3720930232557</v>
      </c>
      <c r="HV62" s="1012">
        <f t="shared" si="224"/>
        <v>99052.608280133762</v>
      </c>
      <c r="HW62" s="1013">
        <f t="shared" ref="HW62" si="829">+HT$37*(HT62+HV62)/2+HU62</f>
        <v>16270.611634061939</v>
      </c>
      <c r="HX62" s="1011">
        <f t="shared" ref="HX62:HY62" si="830">+HX61</f>
        <v>70449.908325733399</v>
      </c>
      <c r="HY62" s="1012">
        <f t="shared" si="830"/>
        <v>1760.3488372093022</v>
      </c>
      <c r="HZ62" s="1012">
        <f t="shared" si="226"/>
        <v>68689.559488524101</v>
      </c>
      <c r="IA62" s="1013">
        <f t="shared" ref="IA62" si="831">+HX$37*(HX62+HZ62)/2+HY62</f>
        <v>11289.856035752831</v>
      </c>
      <c r="IB62" s="1011">
        <f t="shared" ref="IB62:IC62" si="832">+IB61</f>
        <v>13585806.252906976</v>
      </c>
      <c r="IC62" s="1012">
        <f t="shared" si="832"/>
        <v>329020.53488372092</v>
      </c>
      <c r="ID62" s="1012">
        <f t="shared" si="468"/>
        <v>13256785.718023255</v>
      </c>
      <c r="IE62" s="1013">
        <f t="shared" ref="IE62" si="833">+IB$37*(IB62+ID62)/2+IC62</f>
        <v>2167439.7658385136</v>
      </c>
      <c r="IF62" s="1011">
        <f t="shared" ref="IF62:IG62" si="834">+IF61</f>
        <v>483114.77487080102</v>
      </c>
      <c r="IG62" s="1012">
        <f t="shared" si="834"/>
        <v>11883.930232558139</v>
      </c>
      <c r="IH62" s="1012">
        <f t="shared" si="348"/>
        <v>471230.84463824285</v>
      </c>
      <c r="II62" s="1013">
        <f t="shared" ref="II62" si="835">+IF$37*(IF62+IH62)/2+IG62</f>
        <v>77245.998909940405</v>
      </c>
      <c r="IJ62" s="1011">
        <f t="shared" ref="IJ62:IK62" si="836">+IJ61</f>
        <v>707654.4593023255</v>
      </c>
      <c r="IK62" s="1012">
        <f t="shared" si="836"/>
        <v>17559.023255813954</v>
      </c>
      <c r="IL62" s="1012">
        <f t="shared" si="350"/>
        <v>690095.43604651152</v>
      </c>
      <c r="IM62" s="1013">
        <f t="shared" ref="IM62" si="837">+IJ$37*(IJ62+IL62)/2+IK62</f>
        <v>113289.35699024652</v>
      </c>
      <c r="IN62" s="1011">
        <f t="shared" ref="IN62:IO62" si="838">+IN61</f>
        <v>15549.028157774737</v>
      </c>
      <c r="IO62" s="1012">
        <f t="shared" si="838"/>
        <v>378.55813953488371</v>
      </c>
      <c r="IP62" s="1012">
        <f t="shared" si="472"/>
        <v>15170.470018239854</v>
      </c>
      <c r="IQ62" s="1013">
        <f t="shared" ref="IQ62" si="839">+IN$37*(IN62+IP62)/2+IO62</f>
        <v>2482.5023589763991</v>
      </c>
      <c r="IR62" s="1011">
        <f t="shared" ref="IR62:IS62" si="840">+IR61</f>
        <v>15549.028157774737</v>
      </c>
      <c r="IS62" s="1012">
        <f t="shared" si="840"/>
        <v>378.55813953488371</v>
      </c>
      <c r="IT62" s="1012">
        <f t="shared" si="474"/>
        <v>15170.470018239854</v>
      </c>
      <c r="IU62" s="1013">
        <f t="shared" ref="IU62" si="841">+IR$37*(IR62+IT62)/2+IS62</f>
        <v>2482.5023589763991</v>
      </c>
      <c r="IV62" s="1011">
        <f t="shared" ref="IV62:IW62" si="842">+IV61</f>
        <v>820414.21901124797</v>
      </c>
      <c r="IW62" s="1012">
        <f t="shared" si="842"/>
        <v>19973.883720930233</v>
      </c>
      <c r="IX62" s="1012">
        <f t="shared" si="476"/>
        <v>800440.33529031777</v>
      </c>
      <c r="IY62" s="1013">
        <f t="shared" ref="IY62" si="843">+IV$37*(IV62+IX62)/2+IW62</f>
        <v>130984.40708751525</v>
      </c>
      <c r="IZ62" s="1011">
        <f t="shared" ref="IZ62:JA62" si="844">+IZ61</f>
        <v>820414.21901124797</v>
      </c>
      <c r="JA62" s="1012">
        <f t="shared" si="844"/>
        <v>19973.883720930233</v>
      </c>
      <c r="JB62" s="1012">
        <f t="shared" si="478"/>
        <v>800440.33529031777</v>
      </c>
      <c r="JC62" s="1013">
        <f t="shared" ref="JC62" si="845">+IZ$37*(IZ62+JB62)/2+JA62</f>
        <v>130984.40708751525</v>
      </c>
      <c r="JD62" s="1011">
        <f t="shared" ref="JD62:JE62" si="846">+JD61</f>
        <v>222630.02196382431</v>
      </c>
      <c r="JE62" s="1012">
        <f t="shared" si="846"/>
        <v>5485.8604651162786</v>
      </c>
      <c r="JF62" s="1012">
        <f t="shared" si="351"/>
        <v>217144.16149870804</v>
      </c>
      <c r="JG62" s="1013">
        <f t="shared" ref="JG62" si="847">+JD$37*(JD62+JF62)/2+JE62</f>
        <v>35605.50453788435</v>
      </c>
      <c r="JH62" s="1011">
        <f t="shared" ref="JH62:JI62" si="848">+JH61</f>
        <v>16312815.510658914</v>
      </c>
      <c r="JI62" s="1012">
        <f t="shared" si="848"/>
        <v>388786.06976744183</v>
      </c>
      <c r="JJ62" s="1012">
        <f t="shared" si="481"/>
        <v>15924029.440891473</v>
      </c>
      <c r="JK62" s="1013">
        <f t="shared" ref="JK62" si="849">+JH$37*(JH62+JJ62)/2+JI62</f>
        <v>2596651.6800788566</v>
      </c>
      <c r="JL62" s="1011">
        <f t="shared" ref="JL62:JM62" si="850">+JL61</f>
        <v>8546746.6182170548</v>
      </c>
      <c r="JM62" s="1012">
        <f t="shared" si="850"/>
        <v>203696.04651162791</v>
      </c>
      <c r="JN62" s="1012">
        <f t="shared" si="483"/>
        <v>8343050.571705427</v>
      </c>
      <c r="JO62" s="1013">
        <f t="shared" ref="JO62" si="851">+JL$37*(JL62+JN62)/2+JM62</f>
        <v>1360459.4468012331</v>
      </c>
      <c r="JP62" s="1011">
        <f t="shared" ref="JP62:JQ62" si="852">+JP61</f>
        <v>1581518.5281007751</v>
      </c>
      <c r="JQ62" s="1012">
        <f t="shared" si="852"/>
        <v>37617.883720930229</v>
      </c>
      <c r="JR62" s="1012">
        <f t="shared" si="692"/>
        <v>1543900.6443798449</v>
      </c>
      <c r="JS62" s="1013">
        <f t="shared" ref="JS62" si="853">+JP$37*(JP62+JR62)/2+JQ62</f>
        <v>251674.36223484419</v>
      </c>
      <c r="JT62" s="1011">
        <f t="shared" ref="JT62:JU62" si="854">+JT61</f>
        <v>245918.4757751938</v>
      </c>
      <c r="JU62" s="1012">
        <f t="shared" si="854"/>
        <v>5724.5813953488368</v>
      </c>
      <c r="JV62" s="1012">
        <f t="shared" si="694"/>
        <v>240193.89437984498</v>
      </c>
      <c r="JW62" s="1013">
        <f t="shared" ref="JW62" si="855">+JT$37*(JT62+JV62)/2+JU62</f>
        <v>39017.876270369343</v>
      </c>
      <c r="JX62" s="1014">
        <f>+JX61</f>
        <v>24905442</v>
      </c>
      <c r="JY62" s="1015">
        <f>+JY61</f>
        <v>458530.42441860458</v>
      </c>
      <c r="JZ62" s="1015">
        <f>+JX62-JY62</f>
        <v>24446911.575581394</v>
      </c>
      <c r="KA62" s="1013">
        <f>+JX$37*(JX62+JZ62)/2*(12.5-JX$40)/12+JY62</f>
        <v>3134433.2149123885</v>
      </c>
      <c r="KB62" s="1014">
        <f>+KB61</f>
        <v>5879633</v>
      </c>
      <c r="KC62" s="1015">
        <f>+KC61</f>
        <v>85459.781976744169</v>
      </c>
      <c r="KD62" s="1015">
        <f>+KB62-KC62</f>
        <v>5794173.2180232555</v>
      </c>
      <c r="KE62" s="1013">
        <f>+KB$37*(KB62+KD62)/2*(12.5-KB$40)/12+KC62</f>
        <v>585163.52409523132</v>
      </c>
      <c r="KF62" s="1011">
        <f t="shared" ref="KF62:KG62" si="856">+KF61</f>
        <v>3907899.5406976743</v>
      </c>
      <c r="KG62" s="1012">
        <f t="shared" si="856"/>
        <v>94450.744186046519</v>
      </c>
      <c r="KH62" s="1012">
        <f t="shared" si="352"/>
        <v>3813448.7965116277</v>
      </c>
      <c r="KI62" s="1013">
        <f>+KF$37*(KF62+KH62)/2+KG62</f>
        <v>623277.29295597377</v>
      </c>
      <c r="KJ62" s="1011">
        <f t="shared" ref="KJ62:KK62" si="857">+KJ61</f>
        <v>17021250.164728682</v>
      </c>
      <c r="KK62" s="1012">
        <f t="shared" si="857"/>
        <v>407288.13953488372</v>
      </c>
      <c r="KL62" s="1012">
        <f t="shared" si="486"/>
        <v>16613962.025193799</v>
      </c>
      <c r="KM62" s="1013">
        <f t="shared" ref="KM62" si="858">+KJ$37*(KJ62+KL62)/2+KK62</f>
        <v>2710926.3647168926</v>
      </c>
      <c r="KN62" s="1011">
        <f t="shared" ref="KN62:KO62" si="859">+KN61</f>
        <v>16022685.083333334</v>
      </c>
      <c r="KO62" s="1012">
        <f t="shared" si="859"/>
        <v>372982</v>
      </c>
      <c r="KP62" s="1012">
        <f t="shared" si="699"/>
        <v>15649703.083333334</v>
      </c>
      <c r="KQ62" s="1013">
        <f t="shared" ref="KQ62" si="860">+KN$37*(KN62+KP62)/2+KO62</f>
        <v>2542188.5937195392</v>
      </c>
      <c r="KR62" s="1011">
        <f t="shared" ref="KR62:KS62" si="861">+KR61</f>
        <v>3055777.6036821706</v>
      </c>
      <c r="KS62" s="1012">
        <f t="shared" si="861"/>
        <v>72828.860465116275</v>
      </c>
      <c r="KT62" s="1012">
        <f t="shared" si="488"/>
        <v>2982948.7432170543</v>
      </c>
      <c r="KU62" s="1013">
        <f t="shared" ref="KU62" si="862">+KR$37*(KR62+KT62)/2+KS62</f>
        <v>486414.50296326831</v>
      </c>
      <c r="KV62" s="1011">
        <f t="shared" ref="KV62:KW62" si="863">+KV61</f>
        <v>38648318.799418606</v>
      </c>
      <c r="KW62" s="1012">
        <f t="shared" si="863"/>
        <v>912054.72093023255</v>
      </c>
      <c r="KX62" s="1012">
        <f t="shared" si="703"/>
        <v>37736264.078488372</v>
      </c>
      <c r="KY62" s="1013">
        <f t="shared" ref="KY62" si="864">+KV$37*(KV62+KX62)/2+KW62</f>
        <v>6143549.7368840845</v>
      </c>
      <c r="KZ62" s="1011">
        <f t="shared" ref="KZ62:LA62" si="865">+KZ61</f>
        <v>18211070.348837208</v>
      </c>
      <c r="LA62" s="1012">
        <f t="shared" si="865"/>
        <v>428916.27906976745</v>
      </c>
      <c r="LB62" s="1012">
        <f t="shared" si="705"/>
        <v>17782154.069767442</v>
      </c>
      <c r="LC62" s="1013">
        <f t="shared" ref="LC62" si="866">+KZ$37*(KZ62+LB62)/2+LA62</f>
        <v>2894052.1358042941</v>
      </c>
      <c r="LD62" s="1011">
        <f t="shared" ref="LD62:LE62" si="867">+LD61</f>
        <v>26921018.19767442</v>
      </c>
      <c r="LE62" s="1012">
        <f t="shared" si="867"/>
        <v>631578.13953488367</v>
      </c>
      <c r="LF62" s="1012">
        <f t="shared" si="707"/>
        <v>26289440.058139537</v>
      </c>
      <c r="LG62" s="1013">
        <f t="shared" ref="LG62" si="868">+LD$37*(LD62+LF62)/2+LE62</f>
        <v>4275903.1678833114</v>
      </c>
      <c r="LH62" s="1011">
        <f t="shared" ref="LH62:LI62" si="869">+LH61</f>
        <v>7879200.7238372089</v>
      </c>
      <c r="LI62" s="1012">
        <f t="shared" si="869"/>
        <v>184129.32558139536</v>
      </c>
      <c r="LJ62" s="1012">
        <f t="shared" si="709"/>
        <v>7695071.3982558139</v>
      </c>
      <c r="LK62" s="1013">
        <f t="shared" ref="LK62" si="870">+LH$37*(LH62+LJ62)/2+LI62</f>
        <v>1250793.8790040533</v>
      </c>
      <c r="LL62" s="1011">
        <f t="shared" ref="LL62:LM62" si="871">+LL61</f>
        <v>36391223.131782949</v>
      </c>
      <c r="LM62" s="1012">
        <f t="shared" si="871"/>
        <v>857104.37209302327</v>
      </c>
      <c r="LN62" s="1012">
        <f t="shared" si="711"/>
        <v>35534118.759689927</v>
      </c>
      <c r="LO62" s="1013">
        <f t="shared" ref="LO62" si="872">+LL$37*(LL62+LN62)/2+LM62</f>
        <v>5783190.9389000703</v>
      </c>
      <c r="LP62" s="1011">
        <f t="shared" ref="LP62:LQ62" si="873">+LP61</f>
        <v>4098247.3091085274</v>
      </c>
      <c r="LQ62" s="1012">
        <f t="shared" si="873"/>
        <v>98063.744186046519</v>
      </c>
      <c r="LR62" s="1012">
        <f t="shared" si="490"/>
        <v>4000183.5649224808</v>
      </c>
      <c r="LS62" s="1013">
        <f t="shared" ref="LS62" si="874">+LP$37*(LP62+LR62)/2+LQ62</f>
        <v>652716.25596658757</v>
      </c>
      <c r="LT62" s="1011">
        <f t="shared" ref="LT62:LU62" si="875">+LT61</f>
        <v>49164244.186046511</v>
      </c>
      <c r="LU62" s="1012">
        <f t="shared" si="875"/>
        <v>1151162.7906976745</v>
      </c>
      <c r="LV62" s="1012">
        <f t="shared" si="715"/>
        <v>48013081.395348839</v>
      </c>
      <c r="LW62" s="1013">
        <f t="shared" ref="LW62" si="876">+LT$37*(LT62+LV62)/2+LU62</f>
        <v>7806729.5986671932</v>
      </c>
      <c r="LX62" s="1014">
        <f>+LX61</f>
        <v>13000000</v>
      </c>
      <c r="LY62" s="1015">
        <f>+LY61</f>
        <v>163759.68992248061</v>
      </c>
      <c r="LZ62" s="1015">
        <f>+LX62-LY62</f>
        <v>12836240.31007752</v>
      </c>
      <c r="MA62" s="1013">
        <f>+LX$37*(LX62+LZ62)/2*(12.5-LX$40)/12+LY62</f>
        <v>1122236.3250677746</v>
      </c>
      <c r="MB62" s="1014">
        <f>+MB61</f>
        <v>15796731</v>
      </c>
      <c r="MC62" s="1015">
        <f>+MC61</f>
        <v>12627440.375</v>
      </c>
      <c r="MD62" s="1015">
        <f>+MB62-MC62</f>
        <v>3169290.625</v>
      </c>
      <c r="ME62" s="1013">
        <f>+MB$37*(MB62+MD62)/2*(12.5-MB$40)/12+MC62</f>
        <v>13655785.053905318</v>
      </c>
      <c r="MF62" s="1014">
        <f>+MF61</f>
        <v>15950451</v>
      </c>
      <c r="MG62" s="1015">
        <f>+MG61</f>
        <v>170014.49709302327</v>
      </c>
      <c r="MH62" s="1015">
        <f>+MF62-MG62</f>
        <v>15780436.502906976</v>
      </c>
      <c r="MI62" s="1013">
        <f>+MF$37*(MF62+MH62)/2*(12.5-MF$40)/12+MG62</f>
        <v>1166070.5233106152</v>
      </c>
      <c r="MJ62" s="1014">
        <f>+MJ61</f>
        <v>12600000</v>
      </c>
      <c r="MK62" s="1015">
        <f>+MK61</f>
        <v>158720.93023255814</v>
      </c>
      <c r="ML62" s="1015">
        <f>+MJ62-MK62</f>
        <v>12441279.069767442</v>
      </c>
      <c r="MM62" s="1013">
        <f>+MJ$37*(MJ62+ML62)/2*(12.5-MJ$40)/12+MK62</f>
        <v>1087705.9766041508</v>
      </c>
      <c r="MN62" s="1014">
        <f>+MN61</f>
        <v>2788384</v>
      </c>
      <c r="MO62" s="1015">
        <f>+MO61</f>
        <v>62144.217054263565</v>
      </c>
      <c r="MP62" s="1015">
        <f>+MN62-MO62</f>
        <v>2726239.7829457363</v>
      </c>
      <c r="MQ62" s="1013">
        <f>+MN$37*(MN62+MP62)/2*(12.5-MN$40)/12+MO62</f>
        <v>424097.55688018916</v>
      </c>
      <c r="MR62" s="1014">
        <f>+MR61</f>
        <v>50746196</v>
      </c>
      <c r="MS62" s="1015">
        <f>+MS61</f>
        <v>540899.37596899224</v>
      </c>
      <c r="MT62" s="1015">
        <f>+MR62-MS62</f>
        <v>50205296.624031007</v>
      </c>
      <c r="MU62" s="1013">
        <f>+MR$37*(MR62+MT62)/2*(12.5-MR$40)/12+MS62</f>
        <v>3709841.3910517669</v>
      </c>
      <c r="MV62" s="1014">
        <f>+MV61</f>
        <v>42555845</v>
      </c>
      <c r="MW62" s="1015">
        <f>+MW61</f>
        <v>41236.28391472868</v>
      </c>
      <c r="MX62" s="1015">
        <f>+MV62-MW62</f>
        <v>42514608.71608527</v>
      </c>
      <c r="MY62" s="1013">
        <f>+MV$37*(MV62+MX62)/2*(12.5-MV$40)/12+MW62</f>
        <v>284002.14377635007</v>
      </c>
      <c r="MZ62" s="1011">
        <f t="shared" ref="MZ62:NA62" si="877">+MZ61</f>
        <v>1705014.296511628</v>
      </c>
      <c r="NA62" s="1012">
        <f t="shared" si="877"/>
        <v>40236.325581395351</v>
      </c>
      <c r="NB62" s="1012">
        <f t="shared" si="717"/>
        <v>1664777.9709302327</v>
      </c>
      <c r="NC62" s="1013">
        <f t="shared" ref="NC62" si="878">+MZ$37*(MZ62+NB62)/2+NA62</f>
        <v>271029.64522418473</v>
      </c>
      <c r="ND62" s="1014">
        <f>+ND61</f>
        <v>3985867</v>
      </c>
      <c r="NE62" s="1015">
        <f>+NE61</f>
        <v>57934.11337209303</v>
      </c>
      <c r="NF62" s="1015">
        <f>+ND62-NE62</f>
        <v>3927932.8866279069</v>
      </c>
      <c r="NG62" s="1013">
        <f>+ND$37*(ND62+NF62)/2*(12.5-ND$40)/12+NE62</f>
        <v>396688.70153883542</v>
      </c>
      <c r="NH62" s="1016">
        <f>G62+K62+S62+W62+AA62+AE62+AI62+AM62+AQ62+AU62+AY62+BC62+BG62+BK62+BO62+BS62+BW62+CA62+CE62+EU62+FC62+FG62+FK62+FO62+FS62+FW62+GA62+GE62+GI62+GM62+GQ62+EQ62+EY62+GY62+HW62+IM62+II62+IA62+GU62+HC62+IE62+IQ62+IU62+IY62+JC62+JG62+JK62+JO62+KI62+KM62+KU62+LS62+O62+HG62+HK62+HO62+HS62+JS62+JW62+KA62+KE62+KQ62+KY62+LC62+LG62+LO62+LW62+MA62+ME62+MI62+MM62+MQ62+MU62+MY62+NC62+NG62+LK62</f>
        <v>205346179.26865482</v>
      </c>
      <c r="NI62" s="1017">
        <f t="shared" ref="NI62" si="879">+CI62+CM62+CQ62+CU62+CY62+DC62+DG62+DK62+DO62+DS62+DW62+EA62+EI62+EM62+EE62</f>
        <v>54949775.038676657</v>
      </c>
      <c r="NJ62" s="1018"/>
      <c r="NK62" s="977"/>
      <c r="NL62" s="1047"/>
    </row>
    <row r="63" spans="1:376">
      <c r="A63" s="874"/>
      <c r="B63" s="874"/>
      <c r="C63" s="938"/>
      <c r="D63" s="874"/>
      <c r="H63" s="874"/>
      <c r="L63" s="874"/>
      <c r="M63" s="877"/>
      <c r="N63" s="877"/>
      <c r="P63" s="874"/>
      <c r="S63" s="840"/>
      <c r="T63" s="874"/>
      <c r="W63" s="840"/>
      <c r="X63" s="874"/>
      <c r="AA63" s="840"/>
      <c r="AB63" s="874"/>
      <c r="AE63" s="840"/>
      <c r="AF63" s="874"/>
      <c r="AI63" s="840"/>
      <c r="AJ63" s="874"/>
      <c r="AM63" s="840"/>
      <c r="AN63" s="874"/>
      <c r="AQ63" s="840"/>
      <c r="AR63" s="874"/>
      <c r="AU63" s="840"/>
      <c r="AV63" s="874"/>
      <c r="AY63" s="840"/>
      <c r="AZ63" s="874"/>
      <c r="BC63" s="840"/>
      <c r="BD63" s="874"/>
      <c r="BG63" s="840"/>
      <c r="BH63" s="874"/>
      <c r="BK63" s="840"/>
      <c r="BL63" s="874"/>
      <c r="BO63" s="840"/>
      <c r="BP63" s="874"/>
      <c r="BS63" s="840"/>
      <c r="BT63" s="874"/>
      <c r="BW63" s="840"/>
      <c r="BX63" s="874"/>
      <c r="CA63" s="840"/>
      <c r="CB63" s="874"/>
      <c r="CE63" s="840"/>
      <c r="CF63" s="874"/>
      <c r="CI63" s="840"/>
      <c r="CJ63" s="874"/>
      <c r="CM63" s="840"/>
      <c r="CN63" s="874"/>
      <c r="CQ63" s="840"/>
      <c r="CR63" s="874"/>
      <c r="CU63" s="840"/>
      <c r="CV63" s="874"/>
      <c r="CY63" s="840"/>
      <c r="CZ63" s="874"/>
      <c r="DC63" s="840"/>
      <c r="DD63" s="874"/>
      <c r="DG63" s="840"/>
      <c r="DH63" s="874"/>
      <c r="DK63" s="840"/>
      <c r="DL63" s="874"/>
      <c r="DO63" s="840"/>
      <c r="DP63" s="874"/>
      <c r="DS63" s="840"/>
      <c r="DT63" s="874"/>
      <c r="DW63" s="840"/>
      <c r="DX63" s="874"/>
      <c r="EA63" s="840"/>
      <c r="EB63" s="874"/>
      <c r="EE63" s="840"/>
      <c r="EF63" s="874"/>
      <c r="EI63" s="840"/>
      <c r="EJ63" s="874"/>
      <c r="EM63" s="840"/>
      <c r="EN63" s="874"/>
      <c r="EQ63" s="840"/>
      <c r="ER63" s="874"/>
      <c r="EU63" s="840"/>
      <c r="EV63" s="874"/>
      <c r="EY63" s="840"/>
      <c r="EZ63" s="874"/>
      <c r="FC63" s="840"/>
      <c r="FD63" s="874"/>
      <c r="FG63" s="840"/>
      <c r="FH63" s="874"/>
      <c r="FK63" s="840"/>
      <c r="FL63" s="874"/>
      <c r="FO63" s="840"/>
      <c r="FP63" s="874"/>
      <c r="FS63" s="840"/>
      <c r="FT63" s="874"/>
      <c r="FW63" s="840"/>
      <c r="FX63" s="874"/>
      <c r="GA63" s="840"/>
      <c r="GB63" s="874"/>
      <c r="GE63" s="840"/>
      <c r="GF63" s="874"/>
      <c r="GI63" s="840"/>
      <c r="GJ63" s="874"/>
      <c r="GM63" s="840"/>
      <c r="GN63" s="874"/>
      <c r="GQ63" s="840"/>
      <c r="GR63" s="874"/>
      <c r="GU63" s="840"/>
      <c r="GV63" s="874"/>
      <c r="GY63" s="840"/>
      <c r="GZ63" s="874"/>
      <c r="HC63" s="840"/>
      <c r="HD63" s="840"/>
      <c r="HE63" s="840"/>
      <c r="HF63" s="840"/>
      <c r="HG63" s="840"/>
      <c r="HH63" s="840"/>
      <c r="HI63" s="840"/>
      <c r="HJ63" s="840"/>
      <c r="HK63" s="840"/>
      <c r="HL63" s="840"/>
      <c r="HM63" s="840"/>
      <c r="HN63" s="840"/>
      <c r="HO63" s="840"/>
      <c r="HP63" s="840"/>
      <c r="HQ63" s="840"/>
      <c r="HR63" s="840"/>
      <c r="HS63" s="840"/>
      <c r="HT63" s="874"/>
      <c r="HW63" s="840"/>
      <c r="HX63" s="874"/>
      <c r="IA63" s="840"/>
      <c r="IB63" s="874"/>
      <c r="IE63" s="840"/>
      <c r="IF63" s="874"/>
      <c r="II63" s="840"/>
      <c r="IJ63" s="874"/>
      <c r="IM63" s="840"/>
      <c r="IN63" s="874"/>
      <c r="IQ63" s="840"/>
      <c r="IR63" s="874"/>
      <c r="IU63" s="840"/>
      <c r="IV63" s="874"/>
      <c r="IY63" s="840"/>
      <c r="IZ63" s="874"/>
      <c r="JC63" s="840"/>
      <c r="JD63" s="874"/>
      <c r="JG63" s="840"/>
      <c r="JH63" s="874"/>
      <c r="JK63" s="840"/>
      <c r="JL63" s="874"/>
      <c r="JO63" s="840"/>
      <c r="JP63" s="840"/>
      <c r="JQ63" s="840"/>
      <c r="JR63" s="840"/>
      <c r="JS63" s="840"/>
      <c r="JT63" s="840"/>
      <c r="JU63" s="840"/>
      <c r="JV63" s="840"/>
      <c r="JW63" s="840"/>
      <c r="JX63" s="840"/>
      <c r="JY63" s="840"/>
      <c r="JZ63" s="840"/>
      <c r="KA63" s="840"/>
      <c r="KB63" s="840"/>
      <c r="KC63" s="840"/>
      <c r="KD63" s="840"/>
      <c r="KE63" s="840"/>
      <c r="KF63" s="874"/>
      <c r="KI63" s="840"/>
      <c r="KJ63" s="874"/>
      <c r="KM63" s="840"/>
      <c r="KN63" s="840"/>
      <c r="KO63" s="840"/>
      <c r="KP63" s="840"/>
      <c r="KQ63" s="840"/>
      <c r="KR63" s="874"/>
      <c r="KU63" s="840"/>
      <c r="KV63" s="840"/>
      <c r="KW63" s="840"/>
      <c r="KX63" s="840"/>
      <c r="KY63" s="840"/>
      <c r="KZ63" s="840"/>
      <c r="LA63" s="840"/>
      <c r="LB63" s="840"/>
      <c r="LC63" s="840"/>
      <c r="LD63" s="840"/>
      <c r="LE63" s="840"/>
      <c r="LF63" s="840"/>
      <c r="LG63" s="840"/>
      <c r="LH63" s="840"/>
      <c r="LI63" s="840"/>
      <c r="LJ63" s="840"/>
      <c r="LK63" s="840"/>
      <c r="LL63" s="840"/>
      <c r="LM63" s="840"/>
      <c r="LN63" s="840"/>
      <c r="LO63" s="840"/>
      <c r="LP63" s="874"/>
      <c r="NK63" s="977"/>
    </row>
    <row r="64" spans="1:376">
      <c r="A64" s="874"/>
      <c r="B64" s="874"/>
      <c r="C64" s="938"/>
      <c r="D64" s="874"/>
      <c r="G64" s="1048"/>
      <c r="H64" s="874"/>
      <c r="K64" s="1048"/>
      <c r="L64" s="874"/>
      <c r="M64" s="877"/>
      <c r="N64" s="877"/>
      <c r="O64" s="1048"/>
      <c r="P64" s="874"/>
      <c r="S64" s="1048"/>
      <c r="T64" s="874"/>
      <c r="W64" s="1048"/>
      <c r="X64" s="874"/>
      <c r="AA64" s="1048"/>
      <c r="AB64" s="874"/>
      <c r="AE64" s="1048"/>
      <c r="AF64" s="874"/>
      <c r="AI64" s="1048"/>
      <c r="AJ64" s="874"/>
      <c r="AM64" s="1048"/>
      <c r="AN64" s="874"/>
      <c r="AQ64" s="1048"/>
      <c r="AR64" s="874"/>
      <c r="AU64" s="1048"/>
      <c r="AV64" s="874"/>
      <c r="AY64" s="1048"/>
      <c r="AZ64" s="874"/>
      <c r="BC64" s="1048"/>
      <c r="BD64" s="874"/>
      <c r="BG64" s="1048"/>
      <c r="BH64" s="874"/>
      <c r="BK64" s="1048"/>
      <c r="BL64" s="874"/>
      <c r="BO64" s="1048"/>
      <c r="BP64" s="874"/>
      <c r="BS64" s="1048"/>
      <c r="BT64" s="874"/>
      <c r="BW64" s="1048"/>
      <c r="BX64" s="874"/>
      <c r="CA64" s="1048"/>
      <c r="CB64" s="874"/>
      <c r="CE64" s="1048"/>
      <c r="CF64" s="874"/>
      <c r="CI64" s="1048"/>
      <c r="CJ64" s="874"/>
      <c r="CM64" s="1048"/>
      <c r="CN64" s="874"/>
      <c r="CQ64" s="1048"/>
      <c r="CR64" s="874"/>
      <c r="CU64" s="1048"/>
      <c r="CV64" s="874"/>
      <c r="CY64" s="1048"/>
      <c r="CZ64" s="874"/>
      <c r="DC64" s="1048"/>
      <c r="DD64" s="874"/>
      <c r="DG64" s="1048"/>
      <c r="DH64" s="874"/>
      <c r="DK64" s="1048"/>
      <c r="DL64" s="874"/>
      <c r="DO64" s="1048"/>
      <c r="DP64" s="874"/>
      <c r="DS64" s="1048"/>
      <c r="DT64" s="874"/>
      <c r="DW64" s="1048"/>
      <c r="DX64" s="874"/>
      <c r="EA64" s="1048"/>
      <c r="EB64" s="874"/>
      <c r="EE64" s="1048"/>
      <c r="EF64" s="874"/>
      <c r="EI64" s="1048"/>
      <c r="EJ64" s="874"/>
      <c r="EM64" s="1048"/>
      <c r="EN64" s="874"/>
      <c r="EQ64" s="1048"/>
      <c r="ER64" s="874"/>
      <c r="EU64" s="1048"/>
      <c r="EV64" s="874"/>
      <c r="EY64" s="1048"/>
      <c r="EZ64" s="874"/>
      <c r="FC64" s="1048"/>
      <c r="FD64" s="874"/>
      <c r="FG64" s="1048"/>
      <c r="FH64" s="874"/>
      <c r="FK64" s="1048"/>
      <c r="FL64" s="874"/>
      <c r="FO64" s="1048"/>
      <c r="FP64" s="874"/>
      <c r="FS64" s="1048"/>
      <c r="FT64" s="874"/>
      <c r="FW64" s="1048"/>
      <c r="FX64" s="874"/>
      <c r="GA64" s="1048"/>
      <c r="GB64" s="874"/>
      <c r="GE64" s="1048"/>
      <c r="GF64" s="874"/>
      <c r="GI64" s="1048"/>
      <c r="GJ64" s="874"/>
      <c r="GM64" s="1048"/>
      <c r="GN64" s="874"/>
      <c r="GQ64" s="1048"/>
      <c r="GR64" s="874"/>
      <c r="GU64" s="1048"/>
      <c r="GV64" s="874"/>
      <c r="GY64" s="1048"/>
      <c r="GZ64" s="874"/>
      <c r="HC64" s="1048"/>
      <c r="HD64" s="874"/>
      <c r="HG64" s="1048"/>
      <c r="HH64" s="874"/>
      <c r="HK64" s="1048"/>
      <c r="HL64" s="874"/>
      <c r="HO64" s="1048"/>
      <c r="HP64" s="874"/>
      <c r="HS64" s="1048"/>
      <c r="HT64" s="874"/>
      <c r="HW64" s="1048"/>
      <c r="HX64" s="874"/>
      <c r="IA64" s="1048"/>
      <c r="IB64" s="874"/>
      <c r="IE64" s="1048"/>
      <c r="IF64" s="874"/>
      <c r="II64" s="1048"/>
      <c r="IJ64" s="874"/>
      <c r="IM64" s="1048"/>
      <c r="IN64" s="874"/>
      <c r="IQ64" s="1048"/>
      <c r="IR64" s="874"/>
      <c r="IU64" s="1048"/>
      <c r="IV64" s="874"/>
      <c r="IY64" s="1048"/>
      <c r="IZ64" s="874"/>
      <c r="JC64" s="1048"/>
      <c r="JD64" s="874"/>
      <c r="JG64" s="1048"/>
      <c r="JH64" s="874"/>
      <c r="JK64" s="1048"/>
      <c r="JL64" s="874"/>
      <c r="JO64" s="1048"/>
      <c r="JP64" s="874"/>
      <c r="JS64" s="1048"/>
      <c r="JT64" s="874"/>
      <c r="JW64" s="1048"/>
      <c r="JX64" s="874"/>
      <c r="KA64" s="1048"/>
      <c r="KB64" s="874"/>
      <c r="KE64" s="1048"/>
      <c r="KF64" s="874"/>
      <c r="KI64" s="1048"/>
      <c r="KJ64" s="874"/>
      <c r="KM64" s="1048"/>
      <c r="KN64" s="874"/>
      <c r="KQ64" s="1048"/>
      <c r="KR64" s="874"/>
      <c r="KU64" s="1048"/>
      <c r="KV64" s="874"/>
      <c r="KY64" s="1048"/>
      <c r="KZ64" s="874"/>
      <c r="LC64" s="1048"/>
      <c r="LD64" s="874"/>
      <c r="LG64" s="1048"/>
      <c r="LH64" s="1048"/>
      <c r="LI64" s="1048"/>
      <c r="LJ64" s="1048"/>
      <c r="LK64" s="1048"/>
      <c r="LL64" s="874"/>
      <c r="LO64" s="1048"/>
      <c r="LP64" s="874"/>
      <c r="LS64" s="1048"/>
      <c r="LT64" s="874"/>
      <c r="LW64" s="1048"/>
      <c r="LX64" s="874"/>
      <c r="MA64" s="1048"/>
      <c r="MB64" s="874"/>
      <c r="ME64" s="1048"/>
      <c r="MF64" s="874"/>
      <c r="MI64" s="1048"/>
      <c r="MJ64" s="874"/>
      <c r="MM64" s="1048"/>
      <c r="MN64" s="874"/>
      <c r="MQ64" s="1048"/>
      <c r="MR64" s="874"/>
      <c r="MU64" s="1048"/>
      <c r="MV64" s="874"/>
      <c r="MY64" s="1048"/>
      <c r="MZ64" s="874"/>
      <c r="NC64" s="1048"/>
      <c r="ND64" s="874"/>
      <c r="NG64" s="1048"/>
      <c r="NK64" s="977"/>
      <c r="NL64" s="977"/>
    </row>
    <row r="65" spans="1:376" ht="11.25" customHeight="1">
      <c r="A65" s="874"/>
      <c r="B65" s="874"/>
      <c r="C65" s="938"/>
      <c r="D65" s="874"/>
      <c r="G65" s="1048"/>
      <c r="H65" s="874"/>
      <c r="K65" s="1048"/>
      <c r="L65" s="874"/>
      <c r="M65" s="877"/>
      <c r="N65" s="877"/>
      <c r="O65" s="1048"/>
      <c r="P65" s="874"/>
      <c r="S65" s="1048"/>
      <c r="T65" s="874"/>
      <c r="W65" s="1048"/>
      <c r="X65" s="874"/>
      <c r="AA65" s="1048"/>
      <c r="AB65" s="874"/>
      <c r="AE65" s="1048"/>
      <c r="AF65" s="874"/>
      <c r="AI65" s="1048"/>
      <c r="AJ65" s="874"/>
      <c r="AM65" s="1048"/>
      <c r="AN65" s="874"/>
      <c r="AQ65" s="1048"/>
      <c r="AR65" s="874"/>
      <c r="AU65" s="1048"/>
      <c r="AV65" s="874"/>
      <c r="AY65" s="1048"/>
      <c r="AZ65" s="874"/>
      <c r="BC65" s="1048"/>
      <c r="BD65" s="874"/>
      <c r="BG65" s="1048"/>
      <c r="BH65" s="874"/>
      <c r="BK65" s="1048"/>
      <c r="BL65" s="874"/>
      <c r="BO65" s="1048"/>
      <c r="BP65" s="874"/>
      <c r="BS65" s="1048"/>
      <c r="BT65" s="874"/>
      <c r="BW65" s="1048"/>
      <c r="BX65" s="874"/>
      <c r="CA65" s="1048"/>
      <c r="CB65" s="874"/>
      <c r="CE65" s="1048"/>
      <c r="CF65" s="874"/>
      <c r="CI65" s="1048"/>
      <c r="CJ65" s="874"/>
      <c r="CM65" s="1048"/>
      <c r="CN65" s="874"/>
      <c r="CQ65" s="1048"/>
      <c r="CR65" s="874"/>
      <c r="CU65" s="1048"/>
      <c r="CV65" s="874"/>
      <c r="CY65" s="1048"/>
      <c r="CZ65" s="874"/>
      <c r="DC65" s="1048"/>
      <c r="DD65" s="874"/>
      <c r="DG65" s="1048"/>
      <c r="DH65" s="874"/>
      <c r="DK65" s="1048"/>
      <c r="DL65" s="874"/>
      <c r="DO65" s="1048"/>
      <c r="DP65" s="874"/>
      <c r="DS65" s="1048"/>
      <c r="DT65" s="874"/>
      <c r="DW65" s="1048"/>
      <c r="DX65" s="874"/>
      <c r="EA65" s="1048"/>
      <c r="EB65" s="874"/>
      <c r="EE65" s="1048"/>
      <c r="EF65" s="874"/>
      <c r="EI65" s="1048"/>
      <c r="EJ65" s="874"/>
      <c r="EM65" s="1048"/>
      <c r="EN65" s="874"/>
      <c r="EQ65" s="1048"/>
      <c r="ER65" s="874"/>
      <c r="EU65" s="1048"/>
      <c r="EV65" s="874"/>
      <c r="EY65" s="1048"/>
      <c r="EZ65" s="874"/>
      <c r="FC65" s="1048"/>
      <c r="FD65" s="874"/>
      <c r="FG65" s="1048"/>
      <c r="FH65" s="874"/>
      <c r="FK65" s="1048"/>
      <c r="FL65" s="874"/>
      <c r="FO65" s="1048"/>
      <c r="FP65" s="874"/>
      <c r="FS65" s="1048"/>
      <c r="FT65" s="874"/>
      <c r="FW65" s="1048"/>
      <c r="FX65" s="874"/>
      <c r="GA65" s="1048"/>
      <c r="GB65" s="874"/>
      <c r="GE65" s="1048"/>
      <c r="GF65" s="874"/>
      <c r="GI65" s="1048"/>
      <c r="GJ65" s="874"/>
      <c r="GM65" s="1048"/>
      <c r="GN65" s="874"/>
      <c r="GQ65" s="1048"/>
      <c r="GR65" s="874"/>
      <c r="GU65" s="1048"/>
      <c r="GV65" s="874"/>
      <c r="GY65" s="1048"/>
      <c r="GZ65" s="874"/>
      <c r="HC65" s="1048"/>
      <c r="HD65" s="874"/>
      <c r="HG65" s="1048"/>
      <c r="HH65" s="874"/>
      <c r="HK65" s="1048"/>
      <c r="HL65" s="874"/>
      <c r="HO65" s="1048"/>
      <c r="HP65" s="874"/>
      <c r="HS65" s="1048"/>
      <c r="HT65" s="874"/>
      <c r="HW65" s="1048"/>
      <c r="HX65" s="874"/>
      <c r="IA65" s="1048"/>
      <c r="IB65" s="874"/>
      <c r="IE65" s="1048"/>
      <c r="IF65" s="874"/>
      <c r="II65" s="1048"/>
      <c r="IJ65" s="874"/>
      <c r="IM65" s="1048"/>
      <c r="IN65" s="874"/>
      <c r="IQ65" s="1048"/>
      <c r="IR65" s="874"/>
      <c r="IU65" s="1048"/>
      <c r="IV65" s="874"/>
      <c r="IY65" s="1048"/>
      <c r="IZ65" s="874"/>
      <c r="JC65" s="1048"/>
      <c r="JD65" s="874"/>
      <c r="JG65" s="1048"/>
      <c r="JH65" s="874"/>
      <c r="JK65" s="1048"/>
      <c r="JL65" s="874"/>
      <c r="JO65" s="1048"/>
      <c r="JP65" s="874"/>
      <c r="JS65" s="1048"/>
      <c r="JT65" s="874"/>
      <c r="JW65" s="1048"/>
      <c r="JX65" s="874"/>
      <c r="KA65" s="1048"/>
      <c r="KB65" s="874"/>
      <c r="KE65" s="1048"/>
      <c r="KF65" s="874"/>
      <c r="KI65" s="1048"/>
      <c r="KJ65" s="874"/>
      <c r="KM65" s="1048"/>
      <c r="KN65" s="874"/>
      <c r="KQ65" s="1048"/>
      <c r="KR65" s="874"/>
      <c r="KU65" s="1048"/>
      <c r="KV65" s="874"/>
      <c r="KY65" s="1048"/>
      <c r="KZ65" s="874"/>
      <c r="LC65" s="1048"/>
      <c r="LD65" s="874"/>
      <c r="LG65" s="1048"/>
      <c r="LH65" s="1048"/>
      <c r="LI65" s="1048"/>
      <c r="LJ65" s="1048"/>
      <c r="LK65" s="1048"/>
      <c r="LL65" s="874"/>
      <c r="LO65" s="1048"/>
      <c r="LP65" s="874"/>
      <c r="LS65" s="1048"/>
      <c r="LT65" s="874"/>
      <c r="LW65" s="1048"/>
      <c r="LX65" s="874"/>
      <c r="MA65" s="1048"/>
      <c r="MB65" s="874"/>
      <c r="ME65" s="1048"/>
      <c r="MF65" s="874"/>
      <c r="MI65" s="1048"/>
      <c r="MJ65" s="874"/>
      <c r="MM65" s="1048"/>
      <c r="MN65" s="874"/>
      <c r="MQ65" s="1048"/>
      <c r="MR65" s="874"/>
      <c r="MU65" s="1048"/>
      <c r="MV65" s="874"/>
      <c r="MY65" s="1048"/>
      <c r="MZ65" s="874"/>
      <c r="NC65" s="1048"/>
      <c r="ND65" s="874"/>
      <c r="NG65" s="1048"/>
      <c r="NK65" s="977"/>
      <c r="NL65" s="977"/>
    </row>
    <row r="66" spans="1:376">
      <c r="A66" s="874"/>
      <c r="B66" s="874"/>
      <c r="C66" s="938"/>
      <c r="D66" s="874"/>
      <c r="G66" s="1048"/>
      <c r="K66" s="1048"/>
      <c r="O66" s="1048"/>
      <c r="S66" s="1048"/>
      <c r="T66" s="840"/>
      <c r="U66" s="840"/>
      <c r="V66" s="840"/>
      <c r="W66" s="1048"/>
      <c r="AA66" s="1048"/>
      <c r="AB66" s="840"/>
      <c r="AC66" s="840"/>
      <c r="AD66" s="840"/>
      <c r="AE66" s="1048"/>
      <c r="AI66" s="1048"/>
      <c r="AJ66" s="840"/>
      <c r="AK66" s="840"/>
      <c r="AL66" s="840"/>
      <c r="AM66" s="1048"/>
      <c r="AQ66" s="1048"/>
      <c r="AR66" s="840"/>
      <c r="AS66" s="840"/>
      <c r="AT66" s="840"/>
      <c r="AU66" s="1048"/>
      <c r="AY66" s="1048"/>
      <c r="AZ66" s="840"/>
      <c r="BA66" s="840"/>
      <c r="BB66" s="840"/>
      <c r="BC66" s="1048"/>
      <c r="BG66" s="1048"/>
      <c r="BH66" s="840"/>
      <c r="BI66" s="840"/>
      <c r="BJ66" s="840"/>
      <c r="BK66" s="1048"/>
      <c r="BO66" s="1048"/>
      <c r="BP66" s="840"/>
      <c r="BQ66" s="840"/>
      <c r="BR66" s="840"/>
      <c r="BS66" s="1048"/>
      <c r="BW66" s="1048"/>
      <c r="BX66" s="840"/>
      <c r="BY66" s="840"/>
      <c r="BZ66" s="840"/>
      <c r="CA66" s="1048"/>
      <c r="CE66" s="1048"/>
      <c r="CF66" s="840"/>
      <c r="CG66" s="840"/>
      <c r="CH66" s="840"/>
      <c r="CI66" s="1048"/>
      <c r="CM66" s="1048"/>
      <c r="CN66" s="840"/>
      <c r="CO66" s="840"/>
      <c r="CP66" s="840"/>
      <c r="CQ66" s="1048"/>
      <c r="CU66" s="1048"/>
      <c r="CV66" s="840"/>
      <c r="CW66" s="840"/>
      <c r="CX66" s="840"/>
      <c r="CY66" s="1048"/>
      <c r="DC66" s="1048"/>
      <c r="DD66" s="840"/>
      <c r="DE66" s="840"/>
      <c r="DF66" s="840"/>
      <c r="DG66" s="1048"/>
      <c r="DK66" s="1048"/>
      <c r="DL66" s="840"/>
      <c r="DM66" s="840"/>
      <c r="DN66" s="840"/>
      <c r="DO66" s="1048"/>
      <c r="DS66" s="1048"/>
      <c r="DT66" s="840"/>
      <c r="DU66" s="840"/>
      <c r="DV66" s="840"/>
      <c r="DW66" s="1048"/>
      <c r="EA66" s="1048"/>
      <c r="EB66" s="840"/>
      <c r="EC66" s="840"/>
      <c r="ED66" s="840"/>
      <c r="EE66" s="1048"/>
      <c r="EI66" s="1048"/>
      <c r="EJ66" s="840"/>
      <c r="EK66" s="840"/>
      <c r="EL66" s="840"/>
      <c r="EM66" s="1048"/>
      <c r="EQ66" s="1048"/>
      <c r="ER66" s="840"/>
      <c r="ES66" s="840"/>
      <c r="ET66" s="840"/>
      <c r="EU66" s="1048"/>
      <c r="EY66" s="1048"/>
      <c r="EZ66" s="840"/>
      <c r="FA66" s="840"/>
      <c r="FB66" s="840"/>
      <c r="FC66" s="1048"/>
      <c r="FG66" s="1048"/>
      <c r="FH66" s="840"/>
      <c r="FI66" s="840"/>
      <c r="FJ66" s="840"/>
      <c r="FK66" s="1048"/>
      <c r="FO66" s="1048"/>
      <c r="FP66" s="840"/>
      <c r="FQ66" s="840"/>
      <c r="FR66" s="840"/>
      <c r="FS66" s="1048"/>
      <c r="FW66" s="1048"/>
      <c r="FX66" s="840"/>
      <c r="FY66" s="840"/>
      <c r="FZ66" s="840"/>
      <c r="GA66" s="1048"/>
      <c r="GE66" s="1048"/>
      <c r="GF66" s="840"/>
      <c r="GG66" s="840"/>
      <c r="GH66" s="840"/>
      <c r="GI66" s="1048"/>
      <c r="GM66" s="1048"/>
      <c r="GN66" s="840"/>
      <c r="GO66" s="840"/>
      <c r="GP66" s="840"/>
      <c r="GQ66" s="1048"/>
      <c r="GU66" s="1048"/>
      <c r="GV66" s="840"/>
      <c r="GW66" s="840"/>
      <c r="GX66" s="840"/>
      <c r="GY66" s="1048"/>
      <c r="HC66" s="1048"/>
      <c r="HD66" s="1048"/>
      <c r="HE66" s="1048"/>
      <c r="HF66" s="1048"/>
      <c r="HG66" s="1048"/>
      <c r="HH66" s="1048"/>
      <c r="HI66" s="1048"/>
      <c r="HJ66" s="1048"/>
      <c r="HK66" s="1048"/>
      <c r="HL66" s="1048"/>
      <c r="HM66" s="1048"/>
      <c r="HN66" s="1048"/>
      <c r="HO66" s="1139"/>
      <c r="HP66" s="1048"/>
      <c r="HQ66" s="1048"/>
      <c r="HR66" s="1048"/>
      <c r="HS66" s="1139"/>
      <c r="HT66" s="840"/>
      <c r="HU66" s="840"/>
      <c r="HV66" s="840"/>
      <c r="HW66" s="1048"/>
      <c r="IA66" s="1048"/>
      <c r="IB66" s="840"/>
      <c r="IC66" s="840"/>
      <c r="ID66" s="840"/>
      <c r="IE66" s="1048"/>
      <c r="II66" s="1048"/>
      <c r="IJ66" s="840"/>
      <c r="IK66" s="840"/>
      <c r="IL66" s="840"/>
      <c r="IM66" s="1048"/>
      <c r="IQ66" s="1048"/>
      <c r="IR66" s="840"/>
      <c r="IS66" s="840"/>
      <c r="IT66" s="840"/>
      <c r="IU66" s="1048"/>
      <c r="IY66" s="1048"/>
      <c r="IZ66" s="840"/>
      <c r="JA66" s="840"/>
      <c r="JB66" s="840"/>
      <c r="JC66" s="1048"/>
      <c r="JG66" s="1048"/>
      <c r="JH66" s="840"/>
      <c r="JI66" s="840"/>
      <c r="JJ66" s="840"/>
      <c r="JK66" s="1048"/>
      <c r="JO66" s="1048"/>
      <c r="JP66" s="1048"/>
      <c r="JQ66" s="1048"/>
      <c r="JR66" s="1048"/>
      <c r="JS66" s="1048"/>
      <c r="JT66" s="1048"/>
      <c r="JU66" s="1048"/>
      <c r="JV66" s="1048"/>
      <c r="JW66" s="1048"/>
      <c r="JX66" s="1048"/>
      <c r="JY66" s="1048"/>
      <c r="JZ66" s="1048"/>
      <c r="KA66" s="1139"/>
      <c r="KB66" s="1048"/>
      <c r="KC66" s="1048"/>
      <c r="KD66" s="1048"/>
      <c r="KE66" s="1139"/>
      <c r="KF66" s="840"/>
      <c r="KG66" s="840"/>
      <c r="KH66" s="840"/>
      <c r="KI66" s="1048"/>
      <c r="KM66" s="1048"/>
      <c r="KN66" s="1048"/>
      <c r="KO66" s="1048"/>
      <c r="KP66" s="1048"/>
      <c r="KQ66" s="1048"/>
      <c r="KR66" s="840"/>
      <c r="KS66" s="840"/>
      <c r="KT66" s="840"/>
      <c r="KU66" s="1048"/>
      <c r="KV66" s="1048"/>
      <c r="KW66" s="1048"/>
      <c r="KX66" s="1048"/>
      <c r="KY66" s="1048"/>
      <c r="KZ66" s="1048"/>
      <c r="LA66" s="1048"/>
      <c r="LB66" s="1048"/>
      <c r="LC66" s="1048"/>
      <c r="LD66" s="1048"/>
      <c r="LE66" s="1048"/>
      <c r="LF66" s="1048"/>
      <c r="LG66" s="1048"/>
      <c r="LH66" s="1048"/>
      <c r="LI66" s="1048"/>
      <c r="LJ66" s="1048"/>
      <c r="LK66" s="1048"/>
      <c r="LL66" s="1048"/>
      <c r="LM66" s="1048"/>
      <c r="LN66" s="1048"/>
      <c r="LO66" s="1048"/>
      <c r="LS66" s="1048"/>
      <c r="LT66" s="1048"/>
      <c r="LU66" s="1048"/>
      <c r="LV66" s="1048"/>
      <c r="LW66" s="1048"/>
      <c r="LX66" s="1048"/>
      <c r="LY66" s="1048"/>
      <c r="LZ66" s="1048"/>
      <c r="MA66" s="1139"/>
      <c r="MB66" s="1048"/>
      <c r="MC66" s="1048"/>
      <c r="MD66" s="1048"/>
      <c r="ME66" s="1139"/>
      <c r="MF66" s="1048"/>
      <c r="MG66" s="1048"/>
      <c r="MH66" s="1048"/>
      <c r="MI66" s="1139"/>
      <c r="MJ66" s="1048"/>
      <c r="MK66" s="1048"/>
      <c r="ML66" s="1048"/>
      <c r="MM66" s="1139"/>
      <c r="MN66" s="1048"/>
      <c r="MO66" s="1048"/>
      <c r="MP66" s="1048"/>
      <c r="MQ66" s="1139"/>
      <c r="MR66" s="1048"/>
      <c r="MS66" s="1048"/>
      <c r="MT66" s="1048"/>
      <c r="MU66" s="1139"/>
      <c r="MV66" s="1048"/>
      <c r="MW66" s="1048"/>
      <c r="MX66" s="1048"/>
      <c r="MY66" s="1139"/>
      <c r="MZ66" s="1048"/>
      <c r="NA66" s="1048"/>
      <c r="NB66" s="1048"/>
      <c r="NC66" s="1048"/>
      <c r="ND66" s="1048"/>
      <c r="NE66" s="1048"/>
      <c r="NF66" s="1048"/>
      <c r="NG66" s="1139"/>
      <c r="NH66" s="840"/>
      <c r="NI66" s="840"/>
      <c r="NJ66" s="840"/>
    </row>
    <row r="67" spans="1:376" ht="12.25" customHeight="1">
      <c r="A67" s="874" t="s">
        <v>1035</v>
      </c>
      <c r="B67" s="874"/>
      <c r="C67" s="938"/>
      <c r="D67" s="874"/>
      <c r="G67" s="1048"/>
      <c r="K67" s="1048"/>
      <c r="O67" s="1048"/>
      <c r="S67" s="1048"/>
      <c r="T67" s="840"/>
      <c r="U67" s="840"/>
      <c r="V67" s="840"/>
      <c r="W67" s="1048"/>
      <c r="AA67" s="1048"/>
      <c r="AB67" s="840"/>
      <c r="AC67" s="840"/>
      <c r="AD67" s="840"/>
      <c r="AE67" s="1048"/>
      <c r="AI67" s="1048"/>
      <c r="AJ67" s="840"/>
      <c r="AK67" s="840"/>
      <c r="AL67" s="840"/>
      <c r="AM67" s="1048"/>
      <c r="AQ67" s="1048"/>
      <c r="AR67" s="840"/>
      <c r="AS67" s="840"/>
      <c r="AT67" s="840"/>
      <c r="AU67" s="1048"/>
      <c r="AY67" s="1048"/>
      <c r="AZ67" s="840"/>
      <c r="BA67" s="840"/>
      <c r="BB67" s="840"/>
      <c r="BC67" s="1048"/>
      <c r="BG67" s="1048"/>
      <c r="BH67" s="840"/>
      <c r="BI67" s="840"/>
      <c r="BJ67" s="840"/>
      <c r="BK67" s="1048"/>
      <c r="BO67" s="1048"/>
      <c r="BP67" s="840"/>
      <c r="BQ67" s="840"/>
      <c r="BR67" s="840"/>
      <c r="BS67" s="1048"/>
      <c r="BW67" s="1048"/>
      <c r="BX67" s="840"/>
      <c r="BY67" s="840"/>
      <c r="BZ67" s="840"/>
      <c r="CA67" s="1048"/>
      <c r="CE67" s="1048"/>
      <c r="CF67" s="840"/>
      <c r="CG67" s="840"/>
      <c r="CH67" s="840"/>
      <c r="CI67" s="1048"/>
      <c r="CM67" s="1048"/>
      <c r="CN67" s="840"/>
      <c r="CO67" s="840"/>
      <c r="CP67" s="840"/>
      <c r="CQ67" s="1048"/>
      <c r="CU67" s="1048"/>
      <c r="CV67" s="840"/>
      <c r="CW67" s="840"/>
      <c r="CX67" s="840"/>
      <c r="CY67" s="1048"/>
      <c r="DC67" s="1048"/>
      <c r="DD67" s="840"/>
      <c r="DE67" s="840"/>
      <c r="DF67" s="840"/>
      <c r="DG67" s="1048"/>
      <c r="DK67" s="1048"/>
      <c r="DL67" s="840"/>
      <c r="DM67" s="840"/>
      <c r="DN67" s="840"/>
      <c r="DO67" s="1048"/>
      <c r="DS67" s="1048"/>
      <c r="DT67" s="840"/>
      <c r="DU67" s="840"/>
      <c r="DV67" s="840"/>
      <c r="DW67" s="1048"/>
      <c r="EA67" s="1048"/>
      <c r="EB67" s="840"/>
      <c r="EC67" s="840"/>
      <c r="ED67" s="840"/>
      <c r="EE67" s="1048"/>
      <c r="EI67" s="1048"/>
      <c r="EJ67" s="840"/>
      <c r="EK67" s="840"/>
      <c r="EL67" s="840"/>
      <c r="EM67" s="1048"/>
      <c r="EQ67" s="1048"/>
      <c r="ER67" s="840"/>
      <c r="ES67" s="840"/>
      <c r="ET67" s="840"/>
      <c r="EU67" s="1048"/>
      <c r="EY67" s="1048"/>
      <c r="EZ67" s="840"/>
      <c r="FA67" s="840"/>
      <c r="FB67" s="840"/>
      <c r="FC67" s="1048"/>
      <c r="FG67" s="1048"/>
      <c r="FH67" s="840"/>
      <c r="FI67" s="840"/>
      <c r="FJ67" s="840"/>
      <c r="FK67" s="1048"/>
      <c r="FO67" s="1048"/>
      <c r="FP67" s="840"/>
      <c r="FQ67" s="840"/>
      <c r="FR67" s="840"/>
      <c r="FS67" s="1048"/>
      <c r="FW67" s="1048"/>
      <c r="FX67" s="840"/>
      <c r="FY67" s="840"/>
      <c r="FZ67" s="840"/>
      <c r="GA67" s="1048"/>
      <c r="GE67" s="1048"/>
      <c r="GF67" s="840"/>
      <c r="GG67" s="840"/>
      <c r="GH67" s="840"/>
      <c r="GI67" s="1048"/>
      <c r="GM67" s="1048"/>
      <c r="GN67" s="840"/>
      <c r="GO67" s="840"/>
      <c r="GP67" s="840"/>
      <c r="GQ67" s="1048"/>
      <c r="GU67" s="1048"/>
      <c r="GV67" s="840"/>
      <c r="GW67" s="840"/>
      <c r="GX67" s="840"/>
      <c r="GY67" s="1048"/>
      <c r="HC67" s="1048"/>
      <c r="HD67" s="1048"/>
      <c r="HE67" s="1048"/>
      <c r="HF67" s="1048"/>
      <c r="HG67" s="1048"/>
      <c r="HH67" s="1048"/>
      <c r="HI67" s="1048"/>
      <c r="HJ67" s="1048"/>
      <c r="HK67" s="1048"/>
      <c r="HL67" s="1048"/>
      <c r="HM67" s="1048"/>
      <c r="HN67" s="1048"/>
      <c r="HO67" s="1048"/>
      <c r="HP67" s="1048"/>
      <c r="HQ67" s="1048"/>
      <c r="HR67" s="1048"/>
      <c r="HS67" s="1048"/>
      <c r="HT67" s="840"/>
      <c r="HU67" s="840"/>
      <c r="HV67" s="840"/>
      <c r="HW67" s="1048"/>
      <c r="IA67" s="1048"/>
      <c r="IB67" s="840"/>
      <c r="IC67" s="840"/>
      <c r="ID67" s="840"/>
      <c r="IE67" s="1048"/>
      <c r="II67" s="1048"/>
      <c r="IJ67" s="840"/>
      <c r="IK67" s="840"/>
      <c r="IL67" s="840"/>
      <c r="IM67" s="1048"/>
      <c r="IQ67" s="1048"/>
      <c r="IR67" s="840"/>
      <c r="IS67" s="840"/>
      <c r="IT67" s="840"/>
      <c r="IU67" s="1048"/>
      <c r="IY67" s="1048"/>
      <c r="IZ67" s="840"/>
      <c r="JA67" s="840"/>
      <c r="JB67" s="840"/>
      <c r="JC67" s="1048"/>
      <c r="JG67" s="1048"/>
      <c r="JH67" s="840"/>
      <c r="JI67" s="840"/>
      <c r="JJ67" s="840"/>
      <c r="JK67" s="1048"/>
      <c r="JO67" s="1048"/>
      <c r="JP67" s="1048"/>
      <c r="JQ67" s="1048"/>
      <c r="JR67" s="1048"/>
      <c r="JS67" s="1048"/>
      <c r="JT67" s="1048"/>
      <c r="JU67" s="1048"/>
      <c r="JV67" s="1048"/>
      <c r="JW67" s="1048"/>
      <c r="JX67" s="1048"/>
      <c r="JY67" s="1048"/>
      <c r="JZ67" s="1048"/>
      <c r="KA67" s="1048"/>
      <c r="KB67" s="1048"/>
      <c r="KC67" s="1048"/>
      <c r="KD67" s="1048"/>
      <c r="KE67" s="1048"/>
      <c r="KF67" s="840"/>
      <c r="KG67" s="840"/>
      <c r="KH67" s="840"/>
      <c r="KI67" s="1048"/>
      <c r="KM67" s="1048"/>
      <c r="KN67" s="1048"/>
      <c r="KO67" s="1048"/>
      <c r="KP67" s="1048"/>
      <c r="KQ67" s="1048"/>
      <c r="KR67" s="840"/>
      <c r="KS67" s="840"/>
      <c r="KT67" s="840"/>
      <c r="KU67" s="1048"/>
      <c r="KV67" s="1048"/>
      <c r="KW67" s="1048"/>
      <c r="KX67" s="1048"/>
      <c r="KY67" s="1048"/>
      <c r="KZ67" s="1048"/>
      <c r="LA67" s="1048"/>
      <c r="LB67" s="1048"/>
      <c r="LC67" s="1048"/>
      <c r="LD67" s="1048"/>
      <c r="LE67" s="1048"/>
      <c r="LF67" s="1048"/>
      <c r="LG67" s="1048"/>
      <c r="LH67" s="1048"/>
      <c r="LI67" s="1048"/>
      <c r="LJ67" s="1048"/>
      <c r="LK67" s="1048"/>
      <c r="LL67" s="1048"/>
      <c r="LM67" s="1048"/>
      <c r="LN67" s="1048"/>
      <c r="LO67" s="1048"/>
      <c r="LS67" s="1048"/>
      <c r="LT67" s="1048"/>
      <c r="LU67" s="1048"/>
      <c r="LV67" s="1048"/>
      <c r="LW67" s="1048"/>
      <c r="LX67" s="1048"/>
      <c r="LY67" s="1048"/>
      <c r="LZ67" s="1048"/>
      <c r="MA67" s="1048"/>
      <c r="MB67" s="1048"/>
      <c r="MC67" s="1048"/>
      <c r="MD67" s="1048"/>
      <c r="ME67" s="1048"/>
      <c r="MF67" s="1048"/>
      <c r="MG67" s="1048"/>
      <c r="MH67" s="1048"/>
      <c r="MI67" s="1048"/>
      <c r="MJ67" s="1048"/>
      <c r="MK67" s="1048"/>
      <c r="ML67" s="1048"/>
      <c r="MM67" s="1048"/>
      <c r="MN67" s="1048"/>
      <c r="MO67" s="1048"/>
      <c r="MP67" s="1048"/>
      <c r="MQ67" s="1048"/>
      <c r="MR67" s="1048"/>
      <c r="MS67" s="1048"/>
      <c r="MT67" s="1048"/>
      <c r="MU67" s="1048"/>
      <c r="MV67" s="1048"/>
      <c r="MW67" s="1048"/>
      <c r="MX67" s="1048"/>
      <c r="MY67" s="1048"/>
      <c r="MZ67" s="1048"/>
      <c r="NA67" s="1048"/>
      <c r="NB67" s="1048"/>
      <c r="NC67" s="1048"/>
      <c r="ND67" s="1048"/>
      <c r="NE67" s="1048"/>
      <c r="NF67" s="1048"/>
      <c r="NG67" s="1048"/>
      <c r="NH67" s="840"/>
      <c r="NI67" s="840"/>
      <c r="NJ67" s="840"/>
      <c r="NL67" s="829"/>
    </row>
    <row r="68" spans="1:376" ht="12.75" customHeight="1">
      <c r="A68" s="874"/>
      <c r="B68" s="874"/>
      <c r="C68" s="938"/>
      <c r="D68" s="874"/>
      <c r="G68" s="836"/>
      <c r="K68" s="836"/>
      <c r="O68" s="836"/>
      <c r="S68" s="836"/>
      <c r="T68" s="840"/>
      <c r="U68" s="840"/>
      <c r="V68" s="840"/>
      <c r="W68" s="836"/>
      <c r="AA68" s="836"/>
      <c r="AB68" s="840"/>
      <c r="AC68" s="840"/>
      <c r="AD68" s="840"/>
      <c r="AE68" s="836"/>
      <c r="AI68" s="836"/>
      <c r="AJ68" s="840"/>
      <c r="AK68" s="840"/>
      <c r="AL68" s="840"/>
      <c r="AM68" s="836"/>
      <c r="AQ68" s="836"/>
      <c r="AR68" s="840"/>
      <c r="AS68" s="840"/>
      <c r="AT68" s="840"/>
      <c r="AU68" s="836"/>
      <c r="AY68" s="836"/>
      <c r="AZ68" s="840"/>
      <c r="BA68" s="840"/>
      <c r="BB68" s="840"/>
      <c r="BC68" s="836"/>
      <c r="BG68" s="836"/>
      <c r="BH68" s="840"/>
      <c r="BI68" s="840"/>
      <c r="BJ68" s="840"/>
      <c r="BK68" s="836"/>
      <c r="BO68" s="836"/>
      <c r="BP68" s="840"/>
      <c r="BQ68" s="840"/>
      <c r="BR68" s="840"/>
      <c r="BS68" s="836"/>
      <c r="BW68" s="836"/>
      <c r="BX68" s="840"/>
      <c r="BY68" s="840"/>
      <c r="BZ68" s="840"/>
      <c r="CA68" s="836"/>
      <c r="CE68" s="836"/>
      <c r="CF68" s="840"/>
      <c r="CG68" s="840"/>
      <c r="CH68" s="840"/>
      <c r="CI68" s="836"/>
      <c r="CM68" s="836"/>
      <c r="CN68" s="840"/>
      <c r="CO68" s="840"/>
      <c r="CP68" s="840"/>
      <c r="CQ68" s="836"/>
      <c r="CU68" s="836"/>
      <c r="CV68" s="840"/>
      <c r="CW68" s="840"/>
      <c r="CX68" s="840"/>
      <c r="CY68" s="836"/>
      <c r="DC68" s="836"/>
      <c r="DD68" s="840"/>
      <c r="DE68" s="840"/>
      <c r="DF68" s="840"/>
      <c r="DG68" s="836"/>
      <c r="DK68" s="836"/>
      <c r="DL68" s="840"/>
      <c r="DM68" s="840"/>
      <c r="DN68" s="840"/>
      <c r="DO68" s="836"/>
      <c r="DS68" s="836"/>
      <c r="DT68" s="840"/>
      <c r="DU68" s="840"/>
      <c r="DV68" s="840"/>
      <c r="DW68" s="836"/>
      <c r="EA68" s="836"/>
      <c r="EB68" s="840"/>
      <c r="EC68" s="840"/>
      <c r="ED68" s="840"/>
      <c r="EE68" s="836"/>
      <c r="EI68" s="836"/>
      <c r="EJ68" s="840"/>
      <c r="EK68" s="840"/>
      <c r="EL68" s="840"/>
      <c r="EM68" s="836"/>
      <c r="EQ68" s="836"/>
      <c r="ER68" s="840"/>
      <c r="ES68" s="840"/>
      <c r="ET68" s="840"/>
      <c r="EU68" s="836"/>
      <c r="EY68" s="836"/>
      <c r="EZ68" s="840"/>
      <c r="FA68" s="840"/>
      <c r="FB68" s="840"/>
      <c r="FC68" s="836"/>
      <c r="FG68" s="836"/>
      <c r="FH68" s="840"/>
      <c r="FI68" s="840"/>
      <c r="FJ68" s="840"/>
      <c r="FK68" s="836"/>
      <c r="FO68" s="836"/>
      <c r="FP68" s="840"/>
      <c r="FQ68" s="840"/>
      <c r="FR68" s="840"/>
      <c r="FS68" s="836"/>
      <c r="FW68" s="836"/>
      <c r="FX68" s="840"/>
      <c r="FY68" s="840"/>
      <c r="FZ68" s="840"/>
      <c r="GA68" s="836"/>
      <c r="GE68" s="836"/>
      <c r="GF68" s="840"/>
      <c r="GG68" s="840"/>
      <c r="GH68" s="840"/>
      <c r="GI68" s="836"/>
      <c r="GM68" s="836"/>
      <c r="GN68" s="840"/>
      <c r="GO68" s="840"/>
      <c r="GP68" s="840"/>
      <c r="GQ68" s="836"/>
      <c r="GU68" s="836"/>
      <c r="GV68" s="840"/>
      <c r="GW68" s="840"/>
      <c r="GX68" s="840"/>
      <c r="GY68" s="836"/>
      <c r="HC68" s="836"/>
      <c r="HD68" s="836"/>
      <c r="HE68" s="836"/>
      <c r="HF68" s="836"/>
      <c r="HG68" s="836"/>
      <c r="HH68" s="836"/>
      <c r="HI68" s="836"/>
      <c r="HJ68" s="836"/>
      <c r="HK68" s="836"/>
      <c r="HL68" s="836"/>
      <c r="HM68" s="836"/>
      <c r="HN68" s="836"/>
      <c r="HO68" s="836"/>
      <c r="HP68" s="836"/>
      <c r="HQ68" s="836"/>
      <c r="HR68" s="836"/>
      <c r="HS68" s="836"/>
      <c r="HT68" s="840"/>
      <c r="HU68" s="840"/>
      <c r="HV68" s="840"/>
      <c r="HW68" s="836"/>
      <c r="IA68" s="836"/>
      <c r="IB68" s="840"/>
      <c r="IC68" s="840"/>
      <c r="ID68" s="840"/>
      <c r="IE68" s="836"/>
      <c r="II68" s="836"/>
      <c r="IJ68" s="840"/>
      <c r="IK68" s="840"/>
      <c r="IL68" s="840"/>
      <c r="IM68" s="836"/>
      <c r="IQ68" s="836"/>
      <c r="IR68" s="840"/>
      <c r="IS68" s="840"/>
      <c r="IT68" s="840"/>
      <c r="IU68" s="836"/>
      <c r="IY68" s="836"/>
      <c r="IZ68" s="840"/>
      <c r="JA68" s="840"/>
      <c r="JB68" s="840"/>
      <c r="JC68" s="836"/>
      <c r="JG68" s="836"/>
      <c r="JH68" s="840"/>
      <c r="JI68" s="840"/>
      <c r="JJ68" s="840"/>
      <c r="JK68" s="836"/>
      <c r="JO68" s="836"/>
      <c r="JP68" s="836"/>
      <c r="JQ68" s="836"/>
      <c r="JR68" s="836"/>
      <c r="JS68" s="836"/>
      <c r="JT68" s="836"/>
      <c r="JU68" s="836"/>
      <c r="JV68" s="836"/>
      <c r="JW68" s="836"/>
      <c r="JX68" s="836"/>
      <c r="JY68" s="836"/>
      <c r="JZ68" s="836"/>
      <c r="KA68" s="836"/>
      <c r="KB68" s="836"/>
      <c r="KC68" s="836"/>
      <c r="KD68" s="836"/>
      <c r="KE68" s="836"/>
      <c r="KF68" s="840"/>
      <c r="KG68" s="840"/>
      <c r="KH68" s="840"/>
      <c r="KI68" s="836"/>
      <c r="KM68" s="836"/>
      <c r="KN68" s="836"/>
      <c r="KO68" s="836"/>
      <c r="KP68" s="836"/>
      <c r="KQ68" s="836"/>
      <c r="KR68" s="840"/>
      <c r="KS68" s="840"/>
      <c r="KT68" s="840"/>
      <c r="KU68" s="836"/>
      <c r="KV68" s="836"/>
      <c r="KW68" s="836"/>
      <c r="KX68" s="836"/>
      <c r="KY68" s="836"/>
      <c r="KZ68" s="836"/>
      <c r="LA68" s="836"/>
      <c r="LB68" s="836"/>
      <c r="LC68" s="836"/>
      <c r="LD68" s="836"/>
      <c r="LE68" s="836"/>
      <c r="LF68" s="836"/>
      <c r="LG68" s="836"/>
      <c r="LH68" s="836"/>
      <c r="LI68" s="836"/>
      <c r="LJ68" s="836"/>
      <c r="LK68" s="836"/>
      <c r="LL68" s="836"/>
      <c r="LM68" s="836"/>
      <c r="LN68" s="836"/>
      <c r="LO68" s="836"/>
      <c r="LS68" s="836"/>
      <c r="LT68" s="836"/>
      <c r="LU68" s="836"/>
      <c r="LV68" s="836"/>
      <c r="LW68" s="836"/>
      <c r="LX68" s="836"/>
      <c r="LY68" s="836"/>
      <c r="LZ68" s="836"/>
      <c r="MA68" s="836"/>
      <c r="MB68" s="836"/>
      <c r="MC68" s="836"/>
      <c r="MD68" s="836"/>
      <c r="ME68" s="836"/>
      <c r="MF68" s="836"/>
      <c r="MG68" s="836"/>
      <c r="MH68" s="836"/>
      <c r="MI68" s="836"/>
      <c r="MJ68" s="836"/>
      <c r="MK68" s="836"/>
      <c r="ML68" s="836"/>
      <c r="MM68" s="836"/>
      <c r="MN68" s="836"/>
      <c r="MO68" s="836"/>
      <c r="MP68" s="836"/>
      <c r="MQ68" s="836"/>
      <c r="MR68" s="836"/>
      <c r="MS68" s="836"/>
      <c r="MT68" s="836"/>
      <c r="MU68" s="836"/>
      <c r="MV68" s="836"/>
      <c r="MW68" s="836"/>
      <c r="MX68" s="836"/>
      <c r="MY68" s="836"/>
      <c r="MZ68" s="836"/>
      <c r="NA68" s="836"/>
      <c r="NB68" s="836"/>
      <c r="NC68" s="836"/>
      <c r="ND68" s="836"/>
      <c r="NE68" s="836"/>
      <c r="NF68" s="836"/>
      <c r="NG68" s="836"/>
      <c r="NH68" s="840"/>
      <c r="NI68" s="840"/>
      <c r="NJ68" s="840"/>
      <c r="NK68" s="829"/>
      <c r="NL68" s="829"/>
    </row>
    <row r="69" spans="1:376" ht="12.25" customHeight="1">
      <c r="A69" s="874"/>
      <c r="B69" s="940" t="s">
        <v>213</v>
      </c>
      <c r="C69" s="938"/>
      <c r="D69" s="874"/>
      <c r="E69" s="874"/>
      <c r="F69" s="874"/>
      <c r="G69" s="811"/>
      <c r="H69" s="809"/>
      <c r="I69" s="809"/>
      <c r="J69" s="809"/>
      <c r="K69" s="811"/>
      <c r="L69" s="811"/>
      <c r="M69" s="811"/>
      <c r="N69" s="811"/>
      <c r="O69" s="811"/>
      <c r="P69" s="809"/>
      <c r="Q69" s="809"/>
      <c r="R69" s="809"/>
      <c r="S69" s="809"/>
      <c r="T69"/>
      <c r="V69" s="809"/>
      <c r="W69" s="809"/>
      <c r="X69" s="809"/>
      <c r="Y69" s="809"/>
      <c r="Z69" s="809"/>
      <c r="AA69" s="809"/>
      <c r="AB69" s="833"/>
      <c r="AC69" s="833"/>
      <c r="AD69" s="833"/>
      <c r="AE69" s="833"/>
      <c r="AF69" s="833"/>
      <c r="AG69" s="833"/>
      <c r="AH69" s="833"/>
      <c r="AI69" s="809"/>
      <c r="AJ69" s="809"/>
      <c r="AK69" s="809"/>
      <c r="AL69" s="809"/>
      <c r="AM69" s="809"/>
      <c r="AN69" s="809"/>
      <c r="AO69" s="809"/>
      <c r="AP69" s="809"/>
      <c r="AQ69" s="809"/>
      <c r="AR69" s="809"/>
      <c r="AS69" s="809"/>
      <c r="AT69" s="809"/>
      <c r="AU69" s="809"/>
      <c r="AV69" s="809"/>
      <c r="AW69" s="809"/>
      <c r="AX69" s="809"/>
      <c r="AY69" s="809"/>
      <c r="AZ69" s="809"/>
      <c r="BA69" s="809"/>
      <c r="BB69" s="809"/>
      <c r="BC69" s="809"/>
      <c r="BD69" s="809"/>
      <c r="BE69" s="809"/>
      <c r="BF69" s="809"/>
      <c r="BG69" s="809"/>
      <c r="BH69" s="809"/>
      <c r="BI69" s="809"/>
      <c r="BJ69" s="809"/>
      <c r="BK69" s="809"/>
      <c r="BL69" s="809"/>
      <c r="BM69" s="809"/>
      <c r="BN69" s="809"/>
      <c r="BO69" s="809"/>
      <c r="BP69" s="833"/>
      <c r="BQ69" s="833"/>
      <c r="BR69" s="833"/>
      <c r="BS69" s="809"/>
      <c r="BT69" s="809"/>
      <c r="BU69" s="809"/>
      <c r="BV69" s="809"/>
      <c r="BW69" s="809"/>
      <c r="BX69" s="833"/>
      <c r="BY69" s="833"/>
      <c r="BZ69" s="833"/>
      <c r="CA69" s="815"/>
      <c r="CB69" s="833"/>
      <c r="CC69" s="833"/>
      <c r="CD69" s="833"/>
      <c r="CE69" s="815"/>
      <c r="CF69" s="815"/>
      <c r="CG69" s="815"/>
      <c r="CH69" s="815"/>
      <c r="CI69" s="815"/>
      <c r="CJ69" s="833"/>
      <c r="CK69" s="833"/>
      <c r="CL69" s="833"/>
      <c r="CM69" s="835"/>
      <c r="CN69" s="815"/>
      <c r="CO69" s="833"/>
      <c r="CP69" s="833"/>
      <c r="CQ69" s="829"/>
      <c r="CR69" s="815"/>
      <c r="CS69" s="833"/>
      <c r="CT69" s="833"/>
      <c r="CU69" s="829"/>
      <c r="CV69" s="815"/>
      <c r="CW69" s="833"/>
      <c r="CX69" s="833"/>
      <c r="CY69" s="829"/>
      <c r="CZ69" s="833"/>
      <c r="DA69" s="833"/>
      <c r="DB69" s="833"/>
      <c r="DC69" s="829"/>
      <c r="DD69" s="833"/>
      <c r="DE69" s="833"/>
      <c r="DF69" s="833"/>
      <c r="DG69" s="829"/>
      <c r="DH69" s="833"/>
      <c r="DI69" s="833"/>
      <c r="DJ69" s="833"/>
      <c r="DK69" s="836"/>
      <c r="DL69" s="833"/>
      <c r="DM69" s="833"/>
      <c r="DN69" s="833"/>
      <c r="DO69" s="829"/>
      <c r="DP69" s="815"/>
      <c r="DQ69" s="833"/>
      <c r="DR69" s="833"/>
      <c r="DS69" s="829"/>
      <c r="DT69" s="815"/>
      <c r="DU69" s="833"/>
      <c r="DV69" s="833"/>
      <c r="DW69" s="829"/>
      <c r="DX69" s="829"/>
      <c r="DY69" s="829"/>
      <c r="DZ69" s="829"/>
      <c r="EA69" s="829"/>
      <c r="EB69" s="829"/>
      <c r="EC69" s="829"/>
      <c r="ED69" s="829"/>
      <c r="EE69" s="836"/>
      <c r="EF69" s="833"/>
      <c r="EG69" s="833"/>
      <c r="EH69" s="833"/>
      <c r="EI69" s="829"/>
      <c r="EJ69" s="833"/>
      <c r="EK69" s="833"/>
      <c r="EL69" s="833"/>
      <c r="EM69" s="829"/>
      <c r="EN69" s="833"/>
      <c r="EO69" s="833"/>
      <c r="EP69" s="833"/>
      <c r="EQ69" s="829"/>
      <c r="ER69" s="833"/>
      <c r="ES69" s="833"/>
      <c r="ET69" s="833"/>
      <c r="EU69" s="835"/>
      <c r="EV69" s="815"/>
      <c r="EW69" s="833"/>
      <c r="EX69" s="833"/>
      <c r="EY69" s="829"/>
      <c r="EZ69" s="815"/>
      <c r="FA69" s="833"/>
      <c r="FB69" s="833"/>
      <c r="FC69" s="836"/>
      <c r="FD69" s="833"/>
      <c r="FE69" s="833"/>
      <c r="FF69" s="833"/>
      <c r="FG69" s="829"/>
      <c r="FH69" s="833"/>
      <c r="FI69" s="833"/>
      <c r="FJ69" s="833"/>
      <c r="FK69" s="835"/>
      <c r="FL69" s="815"/>
      <c r="FM69" s="833"/>
      <c r="FN69" s="833"/>
      <c r="FO69" s="829"/>
      <c r="FP69" s="144"/>
      <c r="FQ69" s="144"/>
      <c r="FR69" s="144"/>
      <c r="FS69" s="834"/>
      <c r="FT69" s="144"/>
      <c r="FU69" s="144"/>
      <c r="FV69" s="144"/>
      <c r="FW69" s="829"/>
      <c r="FX69" s="829"/>
      <c r="FY69" s="829"/>
      <c r="FZ69" s="829"/>
      <c r="GA69" s="829"/>
      <c r="GB69" s="144"/>
      <c r="GC69" s="144"/>
      <c r="GD69" s="144"/>
      <c r="GE69" s="829"/>
      <c r="GF69" s="829"/>
      <c r="GG69" s="829"/>
      <c r="GH69" s="829"/>
      <c r="GI69" s="829"/>
      <c r="GJ69" s="829"/>
      <c r="GK69" s="829"/>
      <c r="GL69" s="829"/>
      <c r="GM69" s="829"/>
      <c r="GN69" s="829"/>
      <c r="GO69" s="829"/>
      <c r="GP69" s="829"/>
      <c r="GQ69" s="829"/>
      <c r="GR69" s="829"/>
      <c r="GS69" s="829"/>
      <c r="GT69" s="829"/>
      <c r="GU69" s="829"/>
      <c r="GV69" s="829"/>
      <c r="GW69" s="829"/>
      <c r="GX69" s="829"/>
      <c r="GY69" s="836"/>
      <c r="GZ69" s="829"/>
      <c r="HA69" s="829"/>
      <c r="HB69" s="829"/>
      <c r="HC69" s="836"/>
      <c r="HD69" s="836"/>
      <c r="HE69" s="836"/>
      <c r="HF69" s="836"/>
      <c r="HG69" s="836"/>
      <c r="HH69" s="836"/>
      <c r="HI69" s="836"/>
      <c r="HJ69" s="836"/>
      <c r="HK69" s="836"/>
      <c r="HL69" s="836"/>
      <c r="HM69" s="836"/>
      <c r="HN69" s="836"/>
      <c r="HO69" s="836"/>
      <c r="HP69" s="836"/>
      <c r="HQ69" s="836"/>
      <c r="HR69" s="836"/>
      <c r="HS69" s="836"/>
      <c r="HT69" s="829"/>
      <c r="HU69" s="829"/>
      <c r="HV69" s="829"/>
      <c r="HW69" s="836"/>
      <c r="HX69" s="829"/>
      <c r="HY69" s="829"/>
      <c r="HZ69" s="829"/>
      <c r="IA69" s="836"/>
      <c r="IB69" s="829"/>
      <c r="IC69" s="829"/>
      <c r="ID69" s="829"/>
      <c r="IE69" s="836"/>
      <c r="IF69" s="829"/>
      <c r="IG69" s="829"/>
      <c r="IH69" s="829"/>
      <c r="II69" s="1020"/>
      <c r="IJ69" s="829"/>
      <c r="IK69" s="829"/>
      <c r="IL69" s="829"/>
      <c r="IM69" s="1020"/>
      <c r="IN69" s="1020"/>
      <c r="IO69" s="1020"/>
      <c r="IP69" s="1020"/>
      <c r="IQ69" s="1020"/>
      <c r="IR69" s="1020"/>
      <c r="IS69" s="1020"/>
      <c r="IT69" s="1020"/>
      <c r="IU69" s="1020"/>
      <c r="IV69" s="1020"/>
      <c r="IW69" s="1020"/>
      <c r="IX69" s="1020"/>
      <c r="IY69" s="1020"/>
      <c r="IZ69" s="1020"/>
      <c r="JA69" s="1020"/>
      <c r="JB69" s="1020"/>
      <c r="JC69" s="1020"/>
      <c r="JD69" s="1020"/>
      <c r="JE69" s="1020"/>
      <c r="JF69" s="1020"/>
      <c r="JG69" s="1020"/>
      <c r="JH69" s="829"/>
      <c r="JI69" s="829"/>
      <c r="JJ69" s="829"/>
      <c r="JK69" s="836"/>
      <c r="JL69" s="829"/>
      <c r="JM69" s="829"/>
      <c r="JN69" s="829"/>
      <c r="JO69" s="836"/>
      <c r="JP69" s="836"/>
      <c r="JQ69" s="836"/>
      <c r="JR69" s="836"/>
      <c r="JS69" s="836"/>
      <c r="JT69" s="836"/>
      <c r="JU69" s="836"/>
      <c r="JV69" s="836"/>
      <c r="JW69" s="836"/>
      <c r="JX69" s="836"/>
      <c r="JY69" s="836"/>
      <c r="JZ69" s="836"/>
      <c r="KA69" s="836"/>
      <c r="KB69" s="836"/>
      <c r="KC69" s="836"/>
      <c r="KD69" s="836"/>
      <c r="KE69" s="836"/>
      <c r="KF69" s="829"/>
      <c r="KG69" s="829"/>
      <c r="KH69" s="829"/>
      <c r="KI69" s="836"/>
      <c r="KJ69" s="829"/>
      <c r="KK69" s="829"/>
      <c r="KL69" s="829"/>
      <c r="KM69" s="836"/>
      <c r="KN69" s="836"/>
      <c r="KO69" s="836"/>
      <c r="KP69" s="836"/>
      <c r="KQ69" s="836"/>
      <c r="KR69" s="829"/>
      <c r="KS69" s="829"/>
      <c r="KT69" s="829"/>
      <c r="KU69" s="836"/>
      <c r="KV69" s="836"/>
      <c r="KW69" s="836"/>
      <c r="KX69" s="836"/>
      <c r="KY69" s="836"/>
      <c r="KZ69" s="836"/>
      <c r="LA69" s="836"/>
      <c r="LB69" s="836"/>
      <c r="LC69" s="836"/>
      <c r="LD69" s="836"/>
      <c r="LE69" s="836"/>
      <c r="LF69" s="836"/>
      <c r="LG69" s="836"/>
      <c r="LH69" s="836"/>
      <c r="LI69" s="836"/>
      <c r="LJ69" s="836"/>
      <c r="LK69" s="836"/>
      <c r="LL69" s="836"/>
      <c r="LM69" s="836"/>
      <c r="LN69" s="836"/>
      <c r="LO69" s="836"/>
      <c r="LP69" s="836"/>
      <c r="LQ69" s="836"/>
      <c r="LR69" s="836"/>
      <c r="LS69" s="836"/>
      <c r="LT69" s="836"/>
      <c r="LU69" s="836"/>
      <c r="LV69" s="836"/>
      <c r="LW69" s="836"/>
      <c r="LX69" s="836"/>
      <c r="LY69" s="836"/>
      <c r="LZ69" s="836"/>
      <c r="MA69" s="836"/>
      <c r="MB69" s="836"/>
      <c r="MC69" s="836"/>
      <c r="MD69" s="836"/>
      <c r="ME69" s="836"/>
      <c r="MF69" s="836"/>
      <c r="MG69" s="836"/>
      <c r="MH69" s="836"/>
      <c r="MI69" s="836"/>
      <c r="MJ69" s="836"/>
      <c r="MK69" s="836"/>
      <c r="ML69" s="836"/>
      <c r="MM69" s="836"/>
      <c r="MN69" s="836"/>
      <c r="MO69" s="836"/>
      <c r="MP69" s="836"/>
      <c r="MQ69" s="836"/>
      <c r="MR69" s="836"/>
      <c r="MS69" s="836"/>
      <c r="MT69" s="836"/>
      <c r="MU69" s="836"/>
      <c r="MV69" s="836"/>
      <c r="MW69" s="836"/>
      <c r="MX69" s="836"/>
      <c r="MY69" s="836"/>
      <c r="MZ69" s="836"/>
      <c r="NA69" s="836"/>
      <c r="NB69" s="836"/>
      <c r="NC69" s="836"/>
      <c r="ND69" s="836"/>
      <c r="NE69" s="836"/>
      <c r="NF69" s="836"/>
      <c r="NG69" s="836"/>
      <c r="NH69" s="829"/>
      <c r="NI69" s="1019"/>
      <c r="NJ69" s="1019"/>
    </row>
    <row r="70" spans="1:376" ht="12.75" customHeight="1">
      <c r="A70" s="874"/>
      <c r="B70" s="940" t="s">
        <v>214</v>
      </c>
      <c r="C70" s="938"/>
      <c r="D70" s="874"/>
      <c r="E70" s="874"/>
      <c r="F70" s="874"/>
      <c r="G70" s="811"/>
      <c r="H70" s="874"/>
      <c r="I70" s="809"/>
      <c r="J70" s="874"/>
      <c r="K70" s="811"/>
      <c r="L70" s="811"/>
      <c r="M70" s="811"/>
      <c r="N70" s="811"/>
      <c r="O70" s="811"/>
      <c r="P70" s="874"/>
      <c r="Q70" s="809"/>
      <c r="R70" s="874"/>
      <c r="S70" s="874"/>
      <c r="U70" s="809"/>
      <c r="V70" s="874"/>
      <c r="W70" s="874"/>
      <c r="X70" s="874"/>
      <c r="Y70" s="809"/>
      <c r="Z70" s="874"/>
      <c r="AA70" s="874"/>
      <c r="AB70" s="991"/>
      <c r="AC70" s="809"/>
      <c r="AD70" s="991"/>
      <c r="AE70" s="991"/>
      <c r="AF70" s="991"/>
      <c r="AG70" s="809"/>
      <c r="AH70" s="991"/>
      <c r="AI70" s="874"/>
      <c r="AJ70" s="874"/>
      <c r="AK70" s="809"/>
      <c r="AL70" s="874"/>
      <c r="AM70" s="874"/>
      <c r="AN70" s="874"/>
      <c r="AO70" s="809"/>
      <c r="AP70" s="874"/>
      <c r="AQ70" s="874"/>
      <c r="AR70" s="874"/>
      <c r="AS70" s="809"/>
      <c r="AT70" s="874"/>
      <c r="AU70" s="874"/>
      <c r="AV70" s="874"/>
      <c r="AW70" s="809"/>
      <c r="AX70" s="874"/>
      <c r="AY70" s="874"/>
      <c r="BA70" s="809"/>
      <c r="BB70" s="874"/>
      <c r="BC70" s="874"/>
      <c r="BD70" s="874"/>
      <c r="BE70" s="809"/>
      <c r="BF70" s="874"/>
      <c r="BG70" s="874"/>
      <c r="BH70" s="991"/>
      <c r="BI70" s="809"/>
      <c r="BJ70" s="991"/>
      <c r="BK70" s="991"/>
      <c r="BL70" s="991"/>
      <c r="BM70" s="809"/>
      <c r="BN70" s="991"/>
      <c r="BO70" s="874"/>
      <c r="BP70" s="874"/>
      <c r="BQ70" s="809"/>
      <c r="BR70" s="874"/>
      <c r="BS70" s="874"/>
      <c r="BT70" s="874"/>
      <c r="BU70" s="809"/>
      <c r="BV70" s="874"/>
      <c r="BW70" s="874"/>
      <c r="BX70" s="874"/>
      <c r="BY70" s="809"/>
      <c r="BZ70" s="991"/>
      <c r="CA70" s="815"/>
      <c r="CB70" s="991"/>
      <c r="CC70" s="991"/>
      <c r="CD70" s="991"/>
      <c r="CE70" s="815"/>
      <c r="CF70" s="815"/>
      <c r="CG70" s="809"/>
      <c r="CH70" s="874"/>
      <c r="CI70" s="874"/>
      <c r="CK70" s="809"/>
      <c r="CL70" s="874"/>
      <c r="CM70" s="874"/>
      <c r="CN70" s="874"/>
      <c r="CO70" s="809"/>
      <c r="CP70" s="874"/>
      <c r="CQ70" s="874"/>
      <c r="CR70" s="991"/>
      <c r="CS70" s="809"/>
      <c r="CT70" s="991"/>
      <c r="CU70" s="991"/>
      <c r="CV70" s="991"/>
      <c r="CW70" s="809"/>
      <c r="CX70" s="991"/>
      <c r="CY70" s="874"/>
      <c r="CZ70" s="874"/>
      <c r="DA70" s="809"/>
      <c r="DB70" s="874"/>
      <c r="DC70" s="874"/>
      <c r="DD70" s="874"/>
      <c r="DE70" s="809"/>
      <c r="DF70" s="874"/>
      <c r="DG70" s="874"/>
      <c r="DH70" s="874"/>
      <c r="DI70" s="809"/>
      <c r="DJ70" s="874"/>
      <c r="DK70" s="874"/>
      <c r="DL70" s="874"/>
      <c r="DM70" s="809"/>
      <c r="DN70" s="874"/>
      <c r="DO70" s="874"/>
      <c r="DQ70" s="809"/>
      <c r="DR70" s="874"/>
      <c r="DS70" s="874"/>
      <c r="DT70" s="874"/>
      <c r="DU70" s="809"/>
      <c r="DV70" s="874"/>
      <c r="DW70" s="874"/>
      <c r="DX70" s="991"/>
      <c r="DY70" s="809"/>
      <c r="DZ70" s="991"/>
      <c r="EA70" s="991"/>
      <c r="EB70" s="991"/>
      <c r="EC70" s="809"/>
      <c r="ED70" s="991"/>
      <c r="EE70" s="874"/>
      <c r="EF70" s="874"/>
      <c r="EG70" s="809"/>
      <c r="EH70" s="874"/>
      <c r="EI70" s="874"/>
      <c r="EJ70" s="874"/>
      <c r="EK70" s="809"/>
      <c r="EL70" s="874"/>
      <c r="EM70" s="874"/>
      <c r="EN70" s="874"/>
      <c r="EO70" s="809"/>
      <c r="EP70" s="991"/>
      <c r="EQ70" s="829"/>
      <c r="ER70" s="991"/>
      <c r="ES70" s="809"/>
      <c r="ET70" s="874"/>
      <c r="EU70" s="874"/>
      <c r="EW70" s="809"/>
      <c r="EX70" s="874"/>
      <c r="EY70" s="874"/>
      <c r="EZ70" s="874"/>
      <c r="FA70" s="809"/>
      <c r="FB70" s="874"/>
      <c r="FC70" s="874"/>
      <c r="FD70" s="991"/>
      <c r="FE70" s="809"/>
      <c r="FF70" s="991"/>
      <c r="FG70" s="991"/>
      <c r="FH70" s="991"/>
      <c r="FI70" s="809"/>
      <c r="FJ70" s="991"/>
      <c r="FK70" s="874"/>
      <c r="FL70" s="874"/>
      <c r="FM70" s="809"/>
      <c r="FN70" s="874"/>
      <c r="FO70" s="874"/>
      <c r="FP70" s="874"/>
      <c r="FQ70" s="809"/>
      <c r="FR70" s="874"/>
      <c r="FS70" s="874"/>
      <c r="FT70" s="874"/>
      <c r="FU70" s="809"/>
      <c r="FV70" s="874"/>
      <c r="FW70" s="874"/>
      <c r="FX70" s="874"/>
      <c r="FY70" s="809"/>
      <c r="FZ70" s="874"/>
      <c r="GA70" s="874"/>
      <c r="GC70" s="809"/>
      <c r="GD70" s="874"/>
      <c r="GE70" s="874"/>
      <c r="GF70" s="874"/>
      <c r="GG70" s="809"/>
      <c r="GH70" s="874"/>
      <c r="GI70" s="874"/>
      <c r="GJ70" s="991"/>
      <c r="GK70" s="809"/>
      <c r="GL70" s="991"/>
      <c r="GM70" s="991"/>
      <c r="GN70" s="991"/>
      <c r="GO70" s="809"/>
      <c r="GP70" s="991"/>
      <c r="GQ70" s="874"/>
      <c r="GR70" s="874"/>
      <c r="GS70" s="809"/>
      <c r="GT70" s="874"/>
      <c r="GU70" s="874"/>
      <c r="GV70" s="874"/>
      <c r="GW70" s="809"/>
      <c r="GX70" s="874"/>
      <c r="GY70" s="874"/>
      <c r="GZ70" s="874"/>
      <c r="HA70" s="809"/>
      <c r="HB70" s="834"/>
      <c r="HC70" s="834"/>
      <c r="HD70" s="834"/>
      <c r="HE70" s="834"/>
      <c r="HF70" s="834"/>
      <c r="HG70" s="834"/>
      <c r="HH70" s="834"/>
      <c r="HI70" s="834"/>
      <c r="HJ70" s="834"/>
      <c r="HK70" s="834"/>
      <c r="HL70" s="834"/>
      <c r="HM70" s="834"/>
      <c r="HN70" s="834"/>
      <c r="HO70" s="834"/>
      <c r="HP70" s="834"/>
      <c r="HQ70" s="834"/>
      <c r="HR70" s="834"/>
      <c r="HS70" s="834"/>
      <c r="HU70" s="809"/>
      <c r="HV70" s="874"/>
      <c r="HW70" s="874"/>
      <c r="HX70" s="874"/>
      <c r="HY70" s="809"/>
      <c r="HZ70" s="874"/>
      <c r="IA70" s="874"/>
      <c r="IB70" s="991"/>
      <c r="IC70" s="809"/>
      <c r="ID70" s="991"/>
      <c r="IE70" s="991"/>
      <c r="IF70" s="991"/>
      <c r="IG70" s="809"/>
      <c r="IH70" s="991"/>
      <c r="II70" s="874"/>
      <c r="IJ70" s="874"/>
      <c r="IK70" s="809"/>
      <c r="IL70" s="874"/>
      <c r="IM70" s="874"/>
      <c r="IN70" s="874"/>
      <c r="IO70" s="809"/>
      <c r="IP70" s="874"/>
      <c r="IQ70" s="874"/>
      <c r="IR70" s="874"/>
      <c r="IS70" s="809"/>
      <c r="IT70" s="874"/>
      <c r="IU70" s="874"/>
      <c r="IV70" s="874"/>
      <c r="IW70" s="809"/>
      <c r="IX70" s="874"/>
      <c r="IY70" s="874"/>
      <c r="JA70" s="809"/>
      <c r="JB70" s="874"/>
      <c r="JC70" s="874"/>
      <c r="JD70" s="874"/>
      <c r="JE70" s="809"/>
      <c r="JF70" s="874"/>
      <c r="JG70" s="874"/>
      <c r="JH70" s="991"/>
      <c r="JI70" s="809"/>
      <c r="JJ70" s="991"/>
      <c r="JK70" s="991"/>
      <c r="JL70" s="991"/>
      <c r="JM70" s="809"/>
      <c r="JN70" s="991"/>
      <c r="JO70" s="874"/>
      <c r="JP70" s="874"/>
      <c r="JQ70" s="874"/>
      <c r="JR70" s="874"/>
      <c r="JS70" s="874"/>
      <c r="JT70" s="874"/>
      <c r="JU70" s="874"/>
      <c r="JV70" s="874"/>
      <c r="JW70" s="874"/>
      <c r="JX70" s="874"/>
      <c r="JY70" s="874"/>
      <c r="JZ70" s="874"/>
      <c r="KA70" s="874"/>
      <c r="KB70" s="874"/>
      <c r="KC70" s="874"/>
      <c r="KD70" s="874"/>
      <c r="KE70" s="874"/>
      <c r="KF70" s="874"/>
      <c r="KG70" s="809"/>
      <c r="KH70" s="834"/>
      <c r="KI70" s="834"/>
      <c r="KJ70" s="834"/>
      <c r="KK70" s="809"/>
      <c r="KL70" s="834"/>
      <c r="KM70" s="834"/>
      <c r="KN70" s="834"/>
      <c r="KO70" s="834"/>
      <c r="KP70" s="834"/>
      <c r="KQ70" s="834"/>
      <c r="KR70" s="834"/>
      <c r="KS70" s="809"/>
      <c r="KT70" s="834"/>
      <c r="KU70" s="834"/>
      <c r="KV70" s="834"/>
      <c r="KW70" s="834"/>
      <c r="KX70" s="834"/>
      <c r="KY70" s="834"/>
      <c r="KZ70" s="834"/>
      <c r="LA70" s="834"/>
      <c r="LB70" s="834"/>
      <c r="LC70" s="834"/>
      <c r="LD70" s="834"/>
      <c r="LE70" s="834"/>
      <c r="LF70" s="834"/>
      <c r="LG70" s="834"/>
      <c r="LH70" s="834"/>
      <c r="LI70" s="834"/>
      <c r="LJ70" s="834"/>
      <c r="LK70" s="834"/>
      <c r="LL70" s="834"/>
      <c r="LM70" s="834"/>
      <c r="LN70" s="834"/>
      <c r="LO70" s="834"/>
      <c r="LP70" s="834"/>
      <c r="LQ70" s="834"/>
      <c r="LR70" s="834"/>
      <c r="LS70" s="834"/>
      <c r="LT70" s="834"/>
      <c r="LU70" s="834"/>
      <c r="LV70" s="834"/>
      <c r="LW70" s="834"/>
      <c r="LX70" s="834"/>
      <c r="LY70" s="834"/>
      <c r="LZ70" s="834"/>
      <c r="MA70" s="834"/>
      <c r="MB70" s="834"/>
      <c r="MC70" s="834"/>
      <c r="MD70" s="834"/>
      <c r="ME70" s="834"/>
      <c r="MF70" s="834"/>
      <c r="MG70" s="834"/>
      <c r="MH70" s="834"/>
      <c r="MI70" s="834"/>
      <c r="MJ70" s="834"/>
      <c r="MK70" s="834"/>
      <c r="ML70" s="834"/>
      <c r="MM70" s="834"/>
      <c r="MN70" s="834"/>
      <c r="MO70" s="834"/>
      <c r="MP70" s="834"/>
      <c r="MQ70" s="834"/>
      <c r="MR70" s="834"/>
      <c r="MS70" s="834"/>
      <c r="MT70" s="834"/>
      <c r="MU70" s="834"/>
      <c r="MV70" s="834"/>
      <c r="MW70" s="834"/>
      <c r="MX70" s="834"/>
      <c r="MY70" s="834"/>
      <c r="MZ70" s="834"/>
      <c r="NA70" s="834"/>
      <c r="NB70" s="834"/>
      <c r="NC70" s="834"/>
      <c r="ND70" s="834"/>
      <c r="NE70" s="834"/>
      <c r="NF70" s="834"/>
      <c r="NG70" s="834"/>
      <c r="NH70" s="829"/>
      <c r="NI70" s="977"/>
      <c r="NJ70" s="1019"/>
      <c r="NK70" s="829"/>
      <c r="NL70" s="829"/>
    </row>
    <row r="71" spans="1:376" ht="12.75" customHeight="1">
      <c r="A71" s="874"/>
      <c r="B71" s="940" t="s">
        <v>215</v>
      </c>
      <c r="C71" s="938"/>
      <c r="D71" s="874"/>
      <c r="E71" s="874"/>
      <c r="F71" s="874"/>
      <c r="G71" s="811"/>
      <c r="H71" s="874"/>
      <c r="I71" s="809"/>
      <c r="J71" s="874"/>
      <c r="K71" s="811"/>
      <c r="L71" s="811"/>
      <c r="M71" s="811"/>
      <c r="N71" s="811"/>
      <c r="O71" s="811"/>
      <c r="P71" s="874"/>
      <c r="Q71" s="809"/>
      <c r="R71" s="874"/>
      <c r="S71" s="874"/>
      <c r="T71" s="874"/>
      <c r="U71" s="809"/>
      <c r="V71" s="874"/>
      <c r="W71" s="874"/>
      <c r="X71" s="874"/>
      <c r="Y71" s="809"/>
      <c r="Z71" s="874"/>
      <c r="AA71" s="874"/>
      <c r="AB71" s="991"/>
      <c r="AC71" s="809"/>
      <c r="AD71" s="991"/>
      <c r="AE71" s="1021"/>
      <c r="AF71" s="991"/>
      <c r="AG71" s="809"/>
      <c r="AH71" s="991"/>
      <c r="AI71" s="1022"/>
      <c r="AJ71" s="874"/>
      <c r="AK71" s="809"/>
      <c r="AL71" s="874"/>
      <c r="AM71" s="1022"/>
      <c r="AN71" s="874"/>
      <c r="AO71" s="809"/>
      <c r="AP71" s="874"/>
      <c r="AQ71" s="1022"/>
      <c r="AR71" s="874"/>
      <c r="AS71" s="809"/>
      <c r="AT71" s="874"/>
      <c r="AU71" s="1022"/>
      <c r="AV71" s="874"/>
      <c r="AW71" s="809"/>
      <c r="AX71" s="874"/>
      <c r="AY71" s="874"/>
      <c r="AZ71" s="874"/>
      <c r="BA71" s="809"/>
      <c r="BB71" s="874"/>
      <c r="BC71" s="874"/>
      <c r="BD71" s="874"/>
      <c r="BE71" s="809"/>
      <c r="BF71" s="874"/>
      <c r="BG71" s="874"/>
      <c r="BH71" s="991"/>
      <c r="BI71" s="809"/>
      <c r="BJ71" s="991"/>
      <c r="BK71" s="1021"/>
      <c r="BL71" s="991"/>
      <c r="BM71" s="809"/>
      <c r="BN71" s="991"/>
      <c r="BO71" s="1022"/>
      <c r="BP71" s="874"/>
      <c r="BQ71" s="809"/>
      <c r="BR71" s="874"/>
      <c r="BS71" s="1022"/>
      <c r="BT71" s="874"/>
      <c r="BU71" s="809"/>
      <c r="BV71" s="874"/>
      <c r="BW71" s="1022"/>
      <c r="BX71" s="874"/>
      <c r="BY71" s="809"/>
      <c r="BZ71" s="991"/>
      <c r="CA71" s="829"/>
      <c r="CB71" s="991"/>
      <c r="CC71" s="991"/>
      <c r="CD71" s="991"/>
      <c r="CE71" s="829"/>
      <c r="CF71" s="829"/>
      <c r="CG71" s="809"/>
      <c r="CH71" s="874"/>
      <c r="CI71" s="874"/>
      <c r="CJ71" s="874"/>
      <c r="CK71" s="809"/>
      <c r="CL71" s="874"/>
      <c r="CM71" s="874"/>
      <c r="CN71" s="874"/>
      <c r="CO71" s="809"/>
      <c r="CP71" s="874"/>
      <c r="CQ71" s="874"/>
      <c r="CR71" s="991"/>
      <c r="CS71" s="809"/>
      <c r="CT71" s="991"/>
      <c r="CU71" s="1021"/>
      <c r="CV71" s="991"/>
      <c r="CW71" s="809"/>
      <c r="CX71" s="991"/>
      <c r="CY71" s="1022"/>
      <c r="CZ71" s="874"/>
      <c r="DA71" s="809"/>
      <c r="DB71" s="874"/>
      <c r="DC71" s="1022"/>
      <c r="DD71" s="874"/>
      <c r="DE71" s="809"/>
      <c r="DF71" s="874"/>
      <c r="DG71" s="1022"/>
      <c r="DH71" s="874"/>
      <c r="DI71" s="809"/>
      <c r="DJ71" s="874"/>
      <c r="DK71" s="1022"/>
      <c r="DL71" s="874"/>
      <c r="DM71" s="809"/>
      <c r="DN71" s="874"/>
      <c r="DO71" s="874"/>
      <c r="DP71" s="874"/>
      <c r="DQ71" s="809"/>
      <c r="DR71" s="874"/>
      <c r="DS71" s="874"/>
      <c r="DT71" s="874"/>
      <c r="DU71" s="809"/>
      <c r="DV71" s="874"/>
      <c r="DW71" s="874"/>
      <c r="DX71" s="991"/>
      <c r="DY71" s="809"/>
      <c r="DZ71" s="991"/>
      <c r="EA71" s="1021"/>
      <c r="EB71" s="991"/>
      <c r="EC71" s="809"/>
      <c r="ED71" s="991"/>
      <c r="EE71" s="1022"/>
      <c r="EF71" s="874"/>
      <c r="EG71" s="809"/>
      <c r="EH71" s="874"/>
      <c r="EI71" s="1022"/>
      <c r="EJ71" s="874"/>
      <c r="EK71" s="809"/>
      <c r="EL71" s="874"/>
      <c r="EM71" s="1022"/>
      <c r="EN71" s="874"/>
      <c r="EO71" s="809"/>
      <c r="EP71" s="991"/>
      <c r="EQ71" s="1022"/>
      <c r="ER71" s="991"/>
      <c r="ES71" s="809"/>
      <c r="ET71" s="874"/>
      <c r="EU71" s="874"/>
      <c r="EV71" s="874"/>
      <c r="EW71" s="809"/>
      <c r="EX71" s="874"/>
      <c r="EY71" s="874"/>
      <c r="EZ71" s="874"/>
      <c r="FA71" s="809"/>
      <c r="FB71" s="874"/>
      <c r="FC71" s="874"/>
      <c r="FD71" s="991"/>
      <c r="FE71" s="809"/>
      <c r="FF71" s="991"/>
      <c r="FG71" s="1021"/>
      <c r="FH71" s="991"/>
      <c r="FI71" s="809"/>
      <c r="FJ71" s="991"/>
      <c r="FK71" s="1022"/>
      <c r="FL71" s="874"/>
      <c r="FM71" s="809"/>
      <c r="FN71" s="874"/>
      <c r="FO71" s="1022"/>
      <c r="FP71" s="874"/>
      <c r="FQ71" s="809"/>
      <c r="FR71" s="874"/>
      <c r="FS71" s="1022"/>
      <c r="FT71" s="874"/>
      <c r="FU71" s="809"/>
      <c r="FV71" s="874"/>
      <c r="FW71" s="1022"/>
      <c r="FX71" s="874"/>
      <c r="FY71" s="809"/>
      <c r="FZ71" s="874"/>
      <c r="GA71" s="874"/>
      <c r="GB71" s="874"/>
      <c r="GC71" s="809"/>
      <c r="GD71" s="874"/>
      <c r="GE71" s="874"/>
      <c r="GF71" s="874"/>
      <c r="GG71" s="809"/>
      <c r="GH71" s="874"/>
      <c r="GI71" s="874"/>
      <c r="GJ71" s="991"/>
      <c r="GK71" s="809"/>
      <c r="GL71" s="991"/>
      <c r="GM71" s="1021"/>
      <c r="GN71" s="991"/>
      <c r="GO71" s="809"/>
      <c r="GP71" s="991"/>
      <c r="GQ71" s="1022"/>
      <c r="GR71" s="874"/>
      <c r="GS71" s="809"/>
      <c r="GT71" s="874"/>
      <c r="GU71" s="1022"/>
      <c r="GV71" s="874"/>
      <c r="GW71" s="809"/>
      <c r="GX71" s="874"/>
      <c r="GY71" s="1022"/>
      <c r="GZ71" s="874"/>
      <c r="HA71" s="809"/>
      <c r="HB71" s="1022"/>
      <c r="HC71" s="1022"/>
      <c r="HD71" s="1022"/>
      <c r="HE71" s="1022"/>
      <c r="HF71" s="1022"/>
      <c r="HG71" s="1022"/>
      <c r="HH71" s="1022"/>
      <c r="HI71" s="1022"/>
      <c r="HJ71" s="1022"/>
      <c r="HK71" s="1022"/>
      <c r="HL71" s="1022"/>
      <c r="HM71" s="1022"/>
      <c r="HN71" s="1022"/>
      <c r="HO71" s="1022"/>
      <c r="HP71" s="1022"/>
      <c r="HQ71" s="1022"/>
      <c r="HR71" s="1022"/>
      <c r="HS71" s="1022"/>
      <c r="HT71" s="874"/>
      <c r="HU71" s="809"/>
      <c r="HV71" s="874"/>
      <c r="HW71" s="874"/>
      <c r="HX71" s="874"/>
      <c r="HY71" s="809"/>
      <c r="HZ71" s="874"/>
      <c r="IA71" s="874"/>
      <c r="IB71" s="991"/>
      <c r="IC71" s="809"/>
      <c r="ID71" s="991"/>
      <c r="IE71" s="1021"/>
      <c r="IF71" s="991"/>
      <c r="IG71" s="809"/>
      <c r="IH71" s="991"/>
      <c r="II71" s="1022"/>
      <c r="IJ71" s="874"/>
      <c r="IK71" s="809"/>
      <c r="IL71" s="874"/>
      <c r="IM71" s="1022"/>
      <c r="IN71" s="874"/>
      <c r="IO71" s="809"/>
      <c r="IP71" s="874"/>
      <c r="IQ71" s="1022"/>
      <c r="IR71" s="874"/>
      <c r="IS71" s="809"/>
      <c r="IT71" s="874"/>
      <c r="IU71" s="1022"/>
      <c r="IV71" s="874"/>
      <c r="IW71" s="809"/>
      <c r="IX71" s="874"/>
      <c r="IY71" s="874"/>
      <c r="IZ71" s="874"/>
      <c r="JA71" s="809"/>
      <c r="JB71" s="874"/>
      <c r="JC71" s="874"/>
      <c r="JD71" s="874"/>
      <c r="JE71" s="809"/>
      <c r="JF71" s="874"/>
      <c r="JG71" s="874"/>
      <c r="JH71" s="991"/>
      <c r="JI71" s="809"/>
      <c r="JJ71" s="991"/>
      <c r="JK71" s="1021"/>
      <c r="JL71" s="991"/>
      <c r="JM71" s="809"/>
      <c r="JN71" s="991"/>
      <c r="JO71" s="1022"/>
      <c r="JP71" s="1022"/>
      <c r="JQ71" s="1022"/>
      <c r="JR71" s="1022"/>
      <c r="JS71" s="1022"/>
      <c r="JT71" s="1022"/>
      <c r="JU71" s="1022"/>
      <c r="JV71" s="1022"/>
      <c r="JW71" s="1022"/>
      <c r="JX71" s="1022"/>
      <c r="JY71" s="1022"/>
      <c r="JZ71" s="1022"/>
      <c r="KA71" s="1022"/>
      <c r="KB71" s="1022"/>
      <c r="KC71" s="1022"/>
      <c r="KD71" s="1022"/>
      <c r="KE71" s="1022"/>
      <c r="KF71" s="874"/>
      <c r="KG71" s="809"/>
      <c r="KH71" s="1022"/>
      <c r="KI71" s="1022"/>
      <c r="KJ71" s="1022"/>
      <c r="KK71" s="809"/>
      <c r="KL71" s="1022"/>
      <c r="KM71" s="1022"/>
      <c r="KN71" s="1022"/>
      <c r="KO71" s="1022"/>
      <c r="KP71" s="1022"/>
      <c r="KQ71" s="1022"/>
      <c r="KR71" s="1022"/>
      <c r="KS71" s="809"/>
      <c r="KT71" s="1022"/>
      <c r="KU71" s="1022"/>
      <c r="KV71" s="1022"/>
      <c r="KW71" s="1022"/>
      <c r="KX71" s="1022"/>
      <c r="KY71" s="1022"/>
      <c r="KZ71" s="1022"/>
      <c r="LA71" s="1022"/>
      <c r="LB71" s="1022"/>
      <c r="LC71" s="1022"/>
      <c r="LD71" s="1022"/>
      <c r="LE71" s="1022"/>
      <c r="LF71" s="1022"/>
      <c r="LG71" s="1022"/>
      <c r="LH71" s="1022"/>
      <c r="LI71" s="1022"/>
      <c r="LJ71" s="1022"/>
      <c r="LK71" s="1022"/>
      <c r="LL71" s="1022"/>
      <c r="LM71" s="1022"/>
      <c r="LN71" s="1022"/>
      <c r="LO71" s="1022"/>
      <c r="LP71" s="1022"/>
      <c r="LQ71" s="1022"/>
      <c r="LR71" s="1022"/>
      <c r="LS71" s="1022"/>
      <c r="LT71" s="1022"/>
      <c r="LU71" s="1022"/>
      <c r="LV71" s="1022"/>
      <c r="LW71" s="1022"/>
      <c r="LX71" s="1022"/>
      <c r="LY71" s="1022"/>
      <c r="LZ71" s="1022"/>
      <c r="MA71" s="1022"/>
      <c r="MB71" s="1022"/>
      <c r="MC71" s="1022"/>
      <c r="MD71" s="1022"/>
      <c r="ME71" s="1022"/>
      <c r="MF71" s="1022"/>
      <c r="MG71" s="1022"/>
      <c r="MH71" s="1022"/>
      <c r="MI71" s="1022"/>
      <c r="MJ71" s="1022"/>
      <c r="MK71" s="1022"/>
      <c r="ML71" s="1022"/>
      <c r="MM71" s="1022"/>
      <c r="MN71" s="1022"/>
      <c r="MO71" s="1022"/>
      <c r="MP71" s="1022"/>
      <c r="MQ71" s="1022"/>
      <c r="MR71" s="1022"/>
      <c r="MS71" s="1022"/>
      <c r="MT71" s="1022"/>
      <c r="MU71" s="1022"/>
      <c r="MV71" s="1022"/>
      <c r="MW71" s="1022"/>
      <c r="MX71" s="1022"/>
      <c r="MY71" s="1022"/>
      <c r="MZ71" s="1022"/>
      <c r="NA71" s="1022"/>
      <c r="NB71" s="1022"/>
      <c r="NC71" s="1022"/>
      <c r="ND71" s="1022"/>
      <c r="NE71" s="1022"/>
      <c r="NF71" s="1022"/>
      <c r="NG71" s="1022"/>
      <c r="NH71" s="829"/>
      <c r="NI71" s="1019"/>
    </row>
    <row r="72" spans="1:376" ht="12.75" customHeight="1">
      <c r="A72" s="874"/>
      <c r="B72" s="940" t="s">
        <v>147</v>
      </c>
      <c r="C72" s="938"/>
      <c r="D72" s="874"/>
      <c r="E72" s="874"/>
      <c r="F72" s="874"/>
      <c r="G72" s="811"/>
      <c r="H72" s="874"/>
      <c r="I72" s="809"/>
      <c r="J72" s="874"/>
      <c r="K72" s="811"/>
      <c r="L72" s="811"/>
      <c r="M72" s="811"/>
      <c r="N72" s="811"/>
      <c r="O72" s="811"/>
      <c r="P72" s="874"/>
      <c r="Q72" s="809"/>
      <c r="R72" s="874"/>
      <c r="S72" s="874"/>
      <c r="T72" s="874"/>
      <c r="U72" s="809"/>
      <c r="V72" s="874"/>
      <c r="W72" s="874"/>
      <c r="X72" s="874"/>
      <c r="Y72" s="809"/>
      <c r="Z72" s="874"/>
      <c r="AA72" s="874"/>
      <c r="AB72" s="991"/>
      <c r="AC72" s="809"/>
      <c r="AD72" s="991"/>
      <c r="AE72" s="1021"/>
      <c r="AF72" s="991"/>
      <c r="AG72" s="809"/>
      <c r="AH72" s="991"/>
      <c r="AI72" s="1022"/>
      <c r="AJ72" s="874"/>
      <c r="AK72" s="809"/>
      <c r="AL72" s="874"/>
      <c r="AM72" s="1022"/>
      <c r="AN72" s="874"/>
      <c r="AO72" s="809"/>
      <c r="AP72" s="874"/>
      <c r="AQ72" s="1022"/>
      <c r="AR72" s="874"/>
      <c r="AS72" s="809"/>
      <c r="AT72" s="874"/>
      <c r="AU72" s="1022"/>
      <c r="AV72" s="874"/>
      <c r="AW72" s="809"/>
      <c r="AX72" s="874"/>
      <c r="AY72" s="874"/>
      <c r="AZ72" s="874"/>
      <c r="BA72" s="809"/>
      <c r="BB72" s="874"/>
      <c r="BC72" s="874"/>
      <c r="BD72" s="874"/>
      <c r="BE72" s="809"/>
      <c r="BF72" s="874"/>
      <c r="BG72" s="874"/>
      <c r="BH72" s="991"/>
      <c r="BI72" s="809"/>
      <c r="BJ72" s="991"/>
      <c r="BK72" s="1021"/>
      <c r="BL72" s="991"/>
      <c r="BM72" s="809"/>
      <c r="BN72" s="991"/>
      <c r="BO72" s="1022"/>
      <c r="BP72" s="874"/>
      <c r="BQ72" s="809"/>
      <c r="BR72" s="874"/>
      <c r="BS72" s="1022"/>
      <c r="BT72" s="874"/>
      <c r="BU72" s="809"/>
      <c r="BV72" s="874"/>
      <c r="BW72" s="1022"/>
      <c r="BX72" s="874"/>
      <c r="BY72" s="809"/>
      <c r="BZ72" s="991"/>
      <c r="CA72" s="829"/>
      <c r="CB72" s="991"/>
      <c r="CC72" s="991"/>
      <c r="CD72" s="991"/>
      <c r="CE72" s="829"/>
      <c r="CF72" s="829"/>
      <c r="CG72" s="809"/>
      <c r="CH72" s="874"/>
      <c r="CI72" s="874"/>
      <c r="CJ72" s="874"/>
      <c r="CK72" s="809"/>
      <c r="CL72" s="874"/>
      <c r="CM72" s="874"/>
      <c r="CN72" s="874"/>
      <c r="CO72" s="809"/>
      <c r="CP72" s="874"/>
      <c r="CQ72" s="874"/>
      <c r="CR72" s="991"/>
      <c r="CS72" s="809"/>
      <c r="CT72" s="991"/>
      <c r="CU72" s="1021"/>
      <c r="CV72" s="991"/>
      <c r="CW72" s="809"/>
      <c r="CX72" s="991"/>
      <c r="CY72" s="1022"/>
      <c r="CZ72" s="874"/>
      <c r="DA72" s="809"/>
      <c r="DB72" s="874"/>
      <c r="DC72" s="1022"/>
      <c r="DD72" s="874"/>
      <c r="DE72" s="809"/>
      <c r="DF72" s="874"/>
      <c r="DG72" s="1022"/>
      <c r="DH72" s="874"/>
      <c r="DI72" s="809"/>
      <c r="DJ72" s="874"/>
      <c r="DK72" s="1022"/>
      <c r="DL72" s="874"/>
      <c r="DM72" s="809"/>
      <c r="DN72" s="874"/>
      <c r="DO72" s="874"/>
      <c r="DP72" s="874"/>
      <c r="DQ72" s="809"/>
      <c r="DR72" s="874"/>
      <c r="DS72" s="874"/>
      <c r="DT72" s="874"/>
      <c r="DU72" s="809"/>
      <c r="DV72" s="874"/>
      <c r="DW72" s="874"/>
      <c r="DX72" s="991"/>
      <c r="DY72" s="809"/>
      <c r="DZ72" s="991"/>
      <c r="EA72" s="1021"/>
      <c r="EB72" s="991"/>
      <c r="EC72" s="809"/>
      <c r="ED72" s="991"/>
      <c r="EE72" s="1022"/>
      <c r="EF72" s="874"/>
      <c r="EG72" s="809"/>
      <c r="EH72" s="874"/>
      <c r="EI72" s="1022"/>
      <c r="EJ72" s="874"/>
      <c r="EK72" s="809"/>
      <c r="EL72" s="874"/>
      <c r="EM72" s="1022"/>
      <c r="EN72" s="874"/>
      <c r="EO72" s="809"/>
      <c r="EP72" s="991"/>
      <c r="EQ72" s="1022"/>
      <c r="ER72" s="991"/>
      <c r="ES72" s="809"/>
      <c r="ET72" s="874"/>
      <c r="EU72" s="874"/>
      <c r="EV72" s="874"/>
      <c r="EW72" s="809"/>
      <c r="EX72" s="874"/>
      <c r="EY72" s="874"/>
      <c r="EZ72" s="874"/>
      <c r="FA72" s="809"/>
      <c r="FB72" s="874"/>
      <c r="FC72" s="874"/>
      <c r="FD72" s="991"/>
      <c r="FE72" s="809"/>
      <c r="FF72" s="991"/>
      <c r="FG72" s="1021"/>
      <c r="FH72" s="991"/>
      <c r="FI72" s="809"/>
      <c r="FJ72" s="991"/>
      <c r="FK72" s="1022"/>
      <c r="FL72" s="874"/>
      <c r="FM72" s="809"/>
      <c r="FN72" s="874"/>
      <c r="FO72" s="1022"/>
      <c r="FP72" s="874"/>
      <c r="FQ72" s="809"/>
      <c r="FR72" s="874"/>
      <c r="FS72" s="1022"/>
      <c r="FT72" s="874"/>
      <c r="FU72" s="809"/>
      <c r="FV72" s="874"/>
      <c r="FW72" s="1022"/>
      <c r="FX72" s="874"/>
      <c r="FY72" s="809"/>
      <c r="FZ72" s="874"/>
      <c r="GA72" s="874"/>
      <c r="GB72" s="874"/>
      <c r="GC72" s="809"/>
      <c r="GD72" s="874"/>
      <c r="GE72" s="874"/>
      <c r="GF72" s="874"/>
      <c r="GG72" s="809"/>
      <c r="GH72" s="874"/>
      <c r="GI72" s="874"/>
      <c r="GJ72" s="991"/>
      <c r="GK72" s="809"/>
      <c r="GL72" s="991"/>
      <c r="GM72" s="1021"/>
      <c r="GN72" s="991"/>
      <c r="GO72" s="809"/>
      <c r="GP72" s="991"/>
      <c r="GQ72" s="1022"/>
      <c r="GR72" s="874"/>
      <c r="GS72" s="809"/>
      <c r="GT72" s="874"/>
      <c r="GU72" s="1022"/>
      <c r="GV72" s="874"/>
      <c r="GW72" s="809"/>
      <c r="GX72" s="874"/>
      <c r="GY72" s="1022"/>
      <c r="GZ72" s="874"/>
      <c r="HA72" s="809"/>
      <c r="HB72" s="1022"/>
      <c r="HC72" s="1022"/>
      <c r="HD72" s="1022"/>
      <c r="HE72" s="1022"/>
      <c r="HF72" s="1022"/>
      <c r="HG72" s="1022"/>
      <c r="HH72" s="1022"/>
      <c r="HI72" s="1022"/>
      <c r="HJ72" s="1022"/>
      <c r="HK72" s="1022"/>
      <c r="HL72" s="1022"/>
      <c r="HM72" s="1022"/>
      <c r="HN72" s="1022"/>
      <c r="HO72" s="1022"/>
      <c r="HP72" s="1022"/>
      <c r="HQ72" s="1022"/>
      <c r="HR72" s="1022"/>
      <c r="HS72" s="1022"/>
      <c r="HT72" s="874"/>
      <c r="HU72" s="809"/>
      <c r="HV72" s="874"/>
      <c r="HW72" s="874"/>
      <c r="HX72" s="874"/>
      <c r="HY72" s="809"/>
      <c r="HZ72" s="874"/>
      <c r="IA72" s="874"/>
      <c r="IB72" s="991"/>
      <c r="IC72" s="809"/>
      <c r="ID72" s="991"/>
      <c r="IE72" s="1021"/>
      <c r="IF72" s="991"/>
      <c r="IG72" s="809"/>
      <c r="IH72" s="991"/>
      <c r="II72" s="1022"/>
      <c r="IJ72" s="874"/>
      <c r="IK72" s="809"/>
      <c r="IL72" s="874"/>
      <c r="IM72" s="1022"/>
      <c r="IN72" s="874"/>
      <c r="IO72" s="809"/>
      <c r="IP72" s="874"/>
      <c r="IQ72" s="1022"/>
      <c r="IR72" s="874"/>
      <c r="IS72" s="809"/>
      <c r="IT72" s="874"/>
      <c r="IU72" s="1022"/>
      <c r="IV72" s="874"/>
      <c r="IW72" s="809"/>
      <c r="IX72" s="874"/>
      <c r="IY72" s="874"/>
      <c r="IZ72" s="874"/>
      <c r="JA72" s="809"/>
      <c r="JB72" s="874"/>
      <c r="JC72" s="874"/>
      <c r="JD72" s="874"/>
      <c r="JE72" s="809"/>
      <c r="JF72" s="874"/>
      <c r="JG72" s="874"/>
      <c r="JH72" s="991"/>
      <c r="JI72" s="809"/>
      <c r="JJ72" s="991"/>
      <c r="JK72" s="1021"/>
      <c r="JL72" s="991"/>
      <c r="JM72" s="809"/>
      <c r="JN72" s="991"/>
      <c r="JO72" s="1022"/>
      <c r="JP72" s="1022"/>
      <c r="JQ72" s="1022"/>
      <c r="JR72" s="1022"/>
      <c r="JS72" s="1022"/>
      <c r="JT72" s="1022"/>
      <c r="JU72" s="1022"/>
      <c r="JV72" s="1022"/>
      <c r="JW72" s="1022"/>
      <c r="JX72" s="1022"/>
      <c r="JY72" s="1022"/>
      <c r="JZ72" s="1022"/>
      <c r="KA72" s="1022"/>
      <c r="KB72" s="1022"/>
      <c r="KC72" s="1022"/>
      <c r="KD72" s="1022"/>
      <c r="KE72" s="1022"/>
      <c r="KF72" s="874"/>
      <c r="KG72" s="809"/>
      <c r="KH72" s="1022"/>
      <c r="KI72" s="1022"/>
      <c r="KJ72" s="1022"/>
      <c r="KK72" s="809"/>
      <c r="KL72" s="1022"/>
      <c r="KM72" s="1022"/>
      <c r="KN72" s="1022"/>
      <c r="KO72" s="1022"/>
      <c r="KP72" s="1022"/>
      <c r="KQ72" s="1022"/>
      <c r="KR72" s="1022"/>
      <c r="KS72" s="809"/>
      <c r="KT72" s="1022"/>
      <c r="KU72" s="1022"/>
      <c r="KV72" s="1022"/>
      <c r="KW72" s="1022"/>
      <c r="KX72" s="1022"/>
      <c r="KY72" s="1022"/>
      <c r="KZ72" s="1022"/>
      <c r="LA72" s="1022"/>
      <c r="LB72" s="1022"/>
      <c r="LC72" s="1022"/>
      <c r="LD72" s="1022"/>
      <c r="LE72" s="1022"/>
      <c r="LF72" s="1022"/>
      <c r="LG72" s="1022"/>
      <c r="LH72" s="1022"/>
      <c r="LI72" s="1022"/>
      <c r="LJ72" s="1022"/>
      <c r="LK72" s="1022"/>
      <c r="LL72" s="1022"/>
      <c r="LM72" s="1022"/>
      <c r="LN72" s="1022"/>
      <c r="LO72" s="1022"/>
      <c r="LP72" s="1022"/>
      <c r="LQ72" s="1022"/>
      <c r="LR72" s="1022"/>
      <c r="LS72" s="1022"/>
      <c r="LT72" s="1022"/>
      <c r="LU72" s="1022"/>
      <c r="LV72" s="1022"/>
      <c r="LW72" s="1022"/>
      <c r="LX72" s="1022"/>
      <c r="LY72" s="1022"/>
      <c r="LZ72" s="1022"/>
      <c r="MA72" s="1022"/>
      <c r="MB72" s="1022"/>
      <c r="MC72" s="1022"/>
      <c r="MD72" s="1022"/>
      <c r="ME72" s="1022"/>
      <c r="MF72" s="1022"/>
      <c r="MG72" s="1022"/>
      <c r="MH72" s="1022"/>
      <c r="MI72" s="1022"/>
      <c r="MJ72" s="1022"/>
      <c r="MK72" s="1022"/>
      <c r="ML72" s="1022"/>
      <c r="MM72" s="1022"/>
      <c r="MN72" s="1022"/>
      <c r="MO72" s="1022"/>
      <c r="MP72" s="1022"/>
      <c r="MQ72" s="1022"/>
      <c r="MR72" s="1022"/>
      <c r="MS72" s="1022"/>
      <c r="MT72" s="1022"/>
      <c r="MU72" s="1022"/>
      <c r="MV72" s="1022"/>
      <c r="MW72" s="1022"/>
      <c r="MX72" s="1022"/>
      <c r="MY72" s="1022"/>
      <c r="MZ72" s="1022"/>
      <c r="NA72" s="1022"/>
      <c r="NB72" s="1022"/>
      <c r="NC72" s="1022"/>
      <c r="ND72" s="1022"/>
      <c r="NE72" s="1022"/>
      <c r="NF72" s="1022"/>
      <c r="NG72" s="1022"/>
      <c r="NH72" s="829"/>
      <c r="NI72" s="1019"/>
      <c r="NJ72" s="829"/>
      <c r="NK72" s="829"/>
      <c r="NL72" s="829"/>
    </row>
    <row r="73" spans="1:376" ht="12.75" customHeight="1">
      <c r="A73" s="874"/>
      <c r="B73" s="940" t="s">
        <v>236</v>
      </c>
      <c r="C73" s="938"/>
      <c r="D73" s="874"/>
      <c r="E73" s="874"/>
      <c r="F73" s="874"/>
      <c r="G73" s="811"/>
      <c r="H73" s="874"/>
      <c r="I73" s="809"/>
      <c r="J73" s="874"/>
      <c r="K73" s="811"/>
      <c r="L73" s="811"/>
      <c r="M73" s="811"/>
      <c r="N73" s="811"/>
      <c r="O73" s="811"/>
      <c r="P73" s="874"/>
      <c r="Q73" s="809"/>
      <c r="R73" s="874"/>
      <c r="S73" s="874"/>
      <c r="T73" s="874"/>
      <c r="U73" s="809"/>
      <c r="V73" s="874"/>
      <c r="W73" s="874"/>
      <c r="X73" s="874"/>
      <c r="Y73" s="809"/>
      <c r="Z73" s="874"/>
      <c r="AA73" s="874"/>
      <c r="AB73" s="991"/>
      <c r="AC73" s="809"/>
      <c r="AD73" s="991"/>
      <c r="AE73" s="1021"/>
      <c r="AF73" s="991"/>
      <c r="AG73" s="809"/>
      <c r="AH73" s="991"/>
      <c r="AI73" s="874"/>
      <c r="AJ73" s="874"/>
      <c r="AK73" s="809"/>
      <c r="AL73" s="874"/>
      <c r="AM73" s="874"/>
      <c r="AN73" s="874"/>
      <c r="AO73" s="809"/>
      <c r="AP73" s="874"/>
      <c r="AQ73" s="874"/>
      <c r="AR73" s="874"/>
      <c r="AS73" s="809"/>
      <c r="AT73" s="874"/>
      <c r="AU73" s="874"/>
      <c r="AV73" s="874"/>
      <c r="AW73" s="809"/>
      <c r="AX73" s="874"/>
      <c r="AY73" s="874"/>
      <c r="AZ73" s="874"/>
      <c r="BA73" s="809"/>
      <c r="BB73" s="874"/>
      <c r="BC73" s="874"/>
      <c r="BD73" s="874"/>
      <c r="BE73" s="809"/>
      <c r="BF73" s="874"/>
      <c r="BG73" s="874"/>
      <c r="BH73" s="991"/>
      <c r="BI73" s="809"/>
      <c r="BJ73" s="991"/>
      <c r="BK73" s="1021"/>
      <c r="BL73" s="991"/>
      <c r="BM73" s="809"/>
      <c r="BN73" s="991"/>
      <c r="BO73" s="874"/>
      <c r="BP73" s="874"/>
      <c r="BQ73" s="809"/>
      <c r="BR73" s="874"/>
      <c r="BS73" s="874"/>
      <c r="BT73" s="874"/>
      <c r="BU73" s="809"/>
      <c r="BV73" s="874"/>
      <c r="BW73" s="874"/>
      <c r="BX73" s="874"/>
      <c r="BY73" s="809"/>
      <c r="BZ73" s="991"/>
      <c r="CA73" s="829"/>
      <c r="CB73" s="991"/>
      <c r="CC73" s="991"/>
      <c r="CD73" s="991"/>
      <c r="CE73" s="829"/>
      <c r="CF73" s="829"/>
      <c r="CG73" s="809"/>
      <c r="CH73" s="874"/>
      <c r="CI73" s="874"/>
      <c r="CJ73" s="874"/>
      <c r="CK73" s="809"/>
      <c r="CL73" s="874"/>
      <c r="CM73" s="874"/>
      <c r="CN73" s="874"/>
      <c r="CO73" s="809"/>
      <c r="CP73" s="874"/>
      <c r="CQ73" s="874"/>
      <c r="CR73" s="991"/>
      <c r="CS73" s="809"/>
      <c r="CT73" s="991"/>
      <c r="CU73" s="1021"/>
      <c r="CV73" s="991"/>
      <c r="CW73" s="809"/>
      <c r="CX73" s="991"/>
      <c r="CY73" s="874"/>
      <c r="CZ73" s="874"/>
      <c r="DA73" s="809"/>
      <c r="DB73" s="874"/>
      <c r="DC73" s="874"/>
      <c r="DD73" s="874"/>
      <c r="DE73" s="809"/>
      <c r="DF73" s="874"/>
      <c r="DG73" s="874"/>
      <c r="DH73" s="874"/>
      <c r="DI73" s="809"/>
      <c r="DJ73" s="874"/>
      <c r="DK73" s="874"/>
      <c r="DL73" s="874"/>
      <c r="DM73" s="809"/>
      <c r="DN73" s="874"/>
      <c r="DO73" s="874"/>
      <c r="DP73" s="874"/>
      <c r="DQ73" s="809"/>
      <c r="DR73" s="874"/>
      <c r="DS73" s="874"/>
      <c r="DT73" s="874"/>
      <c r="DU73" s="809"/>
      <c r="DV73" s="874"/>
      <c r="DW73" s="874"/>
      <c r="DX73" s="991"/>
      <c r="DY73" s="809"/>
      <c r="DZ73" s="991"/>
      <c r="EA73" s="1021"/>
      <c r="EB73" s="991"/>
      <c r="EC73" s="809"/>
      <c r="ED73" s="991"/>
      <c r="EE73" s="874"/>
      <c r="EF73" s="874"/>
      <c r="EG73" s="809"/>
      <c r="EH73" s="874"/>
      <c r="EI73" s="874"/>
      <c r="EJ73" s="874"/>
      <c r="EK73" s="809"/>
      <c r="EL73" s="874"/>
      <c r="EM73" s="874"/>
      <c r="EN73" s="874"/>
      <c r="EO73" s="809"/>
      <c r="EP73" s="991"/>
      <c r="EQ73" s="829"/>
      <c r="ER73" s="991"/>
      <c r="ES73" s="809"/>
      <c r="ET73" s="874"/>
      <c r="EU73" s="874"/>
      <c r="EV73" s="874"/>
      <c r="EW73" s="809"/>
      <c r="EX73" s="874"/>
      <c r="EY73" s="874"/>
      <c r="EZ73" s="874"/>
      <c r="FA73" s="809"/>
      <c r="FB73" s="874"/>
      <c r="FC73" s="874"/>
      <c r="FD73" s="991"/>
      <c r="FE73" s="809"/>
      <c r="FF73" s="991"/>
      <c r="FG73" s="1021"/>
      <c r="FH73" s="991"/>
      <c r="FI73" s="809"/>
      <c r="FJ73" s="991"/>
      <c r="FK73" s="874"/>
      <c r="FL73" s="874"/>
      <c r="FM73" s="809"/>
      <c r="FN73" s="874"/>
      <c r="FO73" s="874"/>
      <c r="FP73" s="874"/>
      <c r="FQ73" s="809"/>
      <c r="FR73" s="874"/>
      <c r="FS73" s="874"/>
      <c r="FT73" s="874"/>
      <c r="FU73" s="809"/>
      <c r="FV73" s="874"/>
      <c r="FW73" s="874"/>
      <c r="FX73" s="874"/>
      <c r="FY73" s="809"/>
      <c r="FZ73" s="874"/>
      <c r="GA73" s="874"/>
      <c r="GB73" s="874"/>
      <c r="GC73" s="809"/>
      <c r="GD73" s="874"/>
      <c r="GE73" s="874"/>
      <c r="GF73" s="874"/>
      <c r="GG73" s="809"/>
      <c r="GH73" s="874"/>
      <c r="GI73" s="874"/>
      <c r="GJ73" s="991"/>
      <c r="GK73" s="809"/>
      <c r="GL73" s="991"/>
      <c r="GM73" s="1021"/>
      <c r="GN73" s="991"/>
      <c r="GO73" s="809"/>
      <c r="GP73" s="991"/>
      <c r="GQ73" s="874"/>
      <c r="GR73" s="874"/>
      <c r="GS73" s="809"/>
      <c r="GT73" s="874"/>
      <c r="GU73" s="874"/>
      <c r="GV73" s="874"/>
      <c r="GW73" s="809"/>
      <c r="GX73" s="874"/>
      <c r="GY73" s="874"/>
      <c r="GZ73" s="874"/>
      <c r="HA73" s="809"/>
      <c r="HB73" s="829"/>
      <c r="HC73" s="829"/>
      <c r="HD73" s="829"/>
      <c r="HE73" s="829"/>
      <c r="HF73" s="829"/>
      <c r="HG73" s="829"/>
      <c r="HH73" s="829"/>
      <c r="HI73" s="829"/>
      <c r="HJ73" s="829"/>
      <c r="HK73" s="829"/>
      <c r="HL73" s="829"/>
      <c r="HM73" s="829"/>
      <c r="HN73" s="829"/>
      <c r="HO73" s="829"/>
      <c r="HP73" s="829"/>
      <c r="HQ73" s="829"/>
      <c r="HR73" s="829"/>
      <c r="HS73" s="829"/>
      <c r="HT73" s="874"/>
      <c r="HU73" s="809"/>
      <c r="HV73" s="874"/>
      <c r="HW73" s="874"/>
      <c r="HX73" s="874"/>
      <c r="HY73" s="809"/>
      <c r="HZ73" s="874"/>
      <c r="IA73" s="874"/>
      <c r="IB73" s="991"/>
      <c r="IC73" s="809"/>
      <c r="ID73" s="991"/>
      <c r="IE73" s="1021"/>
      <c r="IF73" s="991"/>
      <c r="IG73" s="809"/>
      <c r="IH73" s="991"/>
      <c r="II73" s="874"/>
      <c r="IJ73" s="874"/>
      <c r="IK73" s="809"/>
      <c r="IL73" s="874"/>
      <c r="IM73" s="874"/>
      <c r="IN73" s="874"/>
      <c r="IO73" s="809"/>
      <c r="IP73" s="874"/>
      <c r="IQ73" s="874"/>
      <c r="IR73" s="874"/>
      <c r="IS73" s="809"/>
      <c r="IT73" s="874"/>
      <c r="IU73" s="874"/>
      <c r="IV73" s="874"/>
      <c r="IW73" s="809"/>
      <c r="IX73" s="874"/>
      <c r="IY73" s="874"/>
      <c r="IZ73" s="874"/>
      <c r="JA73" s="809"/>
      <c r="JB73" s="874"/>
      <c r="JC73" s="874"/>
      <c r="JD73" s="874"/>
      <c r="JE73" s="809"/>
      <c r="JF73" s="874"/>
      <c r="JG73" s="874"/>
      <c r="JH73" s="991"/>
      <c r="JI73" s="809"/>
      <c r="JJ73" s="991"/>
      <c r="JK73" s="1021"/>
      <c r="JL73" s="991"/>
      <c r="JM73" s="809"/>
      <c r="JN73" s="991"/>
      <c r="JO73" s="874"/>
      <c r="JP73" s="874"/>
      <c r="JQ73" s="874"/>
      <c r="JR73" s="874"/>
      <c r="JS73" s="874"/>
      <c r="JT73" s="874"/>
      <c r="JU73" s="874"/>
      <c r="JV73" s="874"/>
      <c r="JW73" s="874"/>
      <c r="JX73" s="874"/>
      <c r="JY73" s="874"/>
      <c r="JZ73" s="874"/>
      <c r="KA73" s="874"/>
      <c r="KB73" s="874"/>
      <c r="KC73" s="874"/>
      <c r="KD73" s="874"/>
      <c r="KE73" s="874"/>
      <c r="KF73" s="874"/>
      <c r="KG73" s="809"/>
      <c r="KH73" s="829"/>
      <c r="KI73" s="829"/>
      <c r="KJ73" s="829"/>
      <c r="KK73" s="809"/>
      <c r="KL73" s="829"/>
      <c r="KM73" s="829"/>
      <c r="KN73" s="829"/>
      <c r="KO73" s="829"/>
      <c r="KP73" s="829"/>
      <c r="KQ73" s="829"/>
      <c r="KR73" s="829"/>
      <c r="KS73" s="809"/>
      <c r="KT73" s="829"/>
      <c r="KU73" s="829"/>
      <c r="KV73" s="829"/>
      <c r="KW73" s="829"/>
      <c r="KX73" s="829"/>
      <c r="KY73" s="829"/>
      <c r="KZ73" s="829"/>
      <c r="LA73" s="829"/>
      <c r="LB73" s="829"/>
      <c r="LC73" s="829"/>
      <c r="LD73" s="829"/>
      <c r="LE73" s="829"/>
      <c r="LF73" s="829"/>
      <c r="LG73" s="829"/>
      <c r="LH73" s="829"/>
      <c r="LI73" s="829"/>
      <c r="LJ73" s="829"/>
      <c r="LK73" s="829"/>
      <c r="LL73" s="829"/>
      <c r="LM73" s="829"/>
      <c r="LN73" s="829"/>
      <c r="LO73" s="829"/>
      <c r="LP73" s="829"/>
      <c r="LQ73" s="829"/>
      <c r="LR73" s="829"/>
      <c r="LS73" s="829"/>
      <c r="LT73" s="829"/>
      <c r="LU73" s="829"/>
      <c r="LV73" s="829"/>
      <c r="LW73" s="829"/>
      <c r="LX73" s="829"/>
      <c r="LY73" s="829"/>
      <c r="LZ73" s="829"/>
      <c r="MA73" s="829"/>
      <c r="MB73" s="829"/>
      <c r="MC73" s="829"/>
      <c r="MD73" s="829"/>
      <c r="ME73" s="829"/>
      <c r="MF73" s="829"/>
      <c r="MG73" s="829"/>
      <c r="MH73" s="829"/>
      <c r="MI73" s="829"/>
      <c r="MJ73" s="829"/>
      <c r="MK73" s="829"/>
      <c r="ML73" s="829"/>
      <c r="MM73" s="829"/>
      <c r="MN73" s="829"/>
      <c r="MO73" s="829"/>
      <c r="MP73" s="829"/>
      <c r="MQ73" s="829"/>
      <c r="MR73" s="829"/>
      <c r="MS73" s="829"/>
      <c r="MT73" s="829"/>
      <c r="MU73" s="829"/>
      <c r="MV73" s="829"/>
      <c r="MW73" s="829"/>
      <c r="MX73" s="829"/>
      <c r="MY73" s="829"/>
      <c r="MZ73" s="829"/>
      <c r="NA73" s="829"/>
      <c r="NB73" s="829"/>
      <c r="NC73" s="829"/>
      <c r="ND73" s="829"/>
      <c r="NE73" s="829"/>
      <c r="NF73" s="829"/>
      <c r="NG73" s="829"/>
      <c r="NH73" s="829"/>
      <c r="NI73" s="1019"/>
    </row>
    <row r="74" spans="1:376" ht="12.75" customHeight="1">
      <c r="A74" s="874"/>
      <c r="B74" s="940" t="s">
        <v>257</v>
      </c>
      <c r="C74" s="938"/>
      <c r="D74" s="874"/>
      <c r="E74" s="874"/>
      <c r="F74" s="874"/>
      <c r="G74" s="811"/>
      <c r="H74" s="874"/>
      <c r="I74" s="809"/>
      <c r="J74" s="874"/>
      <c r="K74" s="874"/>
      <c r="L74" s="874"/>
      <c r="M74" s="874"/>
      <c r="N74" s="874"/>
      <c r="O74" s="874"/>
      <c r="P74" s="874"/>
      <c r="Q74" s="809"/>
      <c r="R74" s="874"/>
      <c r="S74" s="874"/>
      <c r="T74" s="874"/>
      <c r="U74" s="809"/>
      <c r="V74" s="874"/>
      <c r="W74" s="874"/>
      <c r="X74" s="874"/>
      <c r="Y74" s="809"/>
      <c r="Z74" s="874"/>
      <c r="AA74" s="874"/>
      <c r="AB74" s="991"/>
      <c r="AC74" s="809"/>
      <c r="AD74" s="991"/>
      <c r="AE74" s="991"/>
      <c r="AF74" s="991"/>
      <c r="AG74" s="809"/>
      <c r="AH74" s="991"/>
      <c r="AI74" s="874"/>
      <c r="AJ74" s="874"/>
      <c r="AK74" s="809"/>
      <c r="AL74" s="874"/>
      <c r="AM74" s="874"/>
      <c r="AN74" s="874"/>
      <c r="AO74" s="809"/>
      <c r="AP74" s="874"/>
      <c r="AQ74" s="874"/>
      <c r="AR74" s="874"/>
      <c r="AS74" s="809"/>
      <c r="AT74" s="874"/>
      <c r="AU74" s="874"/>
      <c r="AV74" s="874"/>
      <c r="AW74" s="809"/>
      <c r="AX74" s="874"/>
      <c r="AY74" s="874"/>
      <c r="AZ74" s="874"/>
      <c r="BA74" s="809"/>
      <c r="BB74" s="874"/>
      <c r="BC74" s="874"/>
      <c r="BD74" s="874"/>
      <c r="BE74" s="809"/>
      <c r="BF74" s="874"/>
      <c r="BG74" s="874"/>
      <c r="BH74" s="991"/>
      <c r="BI74" s="809"/>
      <c r="BJ74" s="991"/>
      <c r="BK74" s="991"/>
      <c r="BL74" s="991"/>
      <c r="BM74" s="809"/>
      <c r="BN74" s="991"/>
      <c r="BO74" s="874"/>
      <c r="BP74" s="874"/>
      <c r="BQ74" s="809"/>
      <c r="BR74" s="874"/>
      <c r="BS74" s="874"/>
      <c r="BT74" s="874"/>
      <c r="BU74" s="809"/>
      <c r="BV74" s="874"/>
      <c r="BW74" s="874"/>
      <c r="BX74" s="874"/>
      <c r="BY74" s="809"/>
      <c r="BZ74" s="991"/>
      <c r="CA74" s="829"/>
      <c r="CB74" s="991"/>
      <c r="CC74" s="991"/>
      <c r="CD74" s="991"/>
      <c r="CE74" s="829"/>
      <c r="CF74" s="829"/>
      <c r="CG74" s="809"/>
      <c r="CH74" s="874"/>
      <c r="CI74" s="874"/>
      <c r="CJ74" s="874"/>
      <c r="CK74" s="809"/>
      <c r="CL74" s="874"/>
      <c r="CM74" s="874"/>
      <c r="CN74" s="874"/>
      <c r="CO74" s="809"/>
      <c r="CP74" s="874"/>
      <c r="CQ74" s="874"/>
      <c r="CR74" s="991"/>
      <c r="CS74" s="809"/>
      <c r="CT74" s="991"/>
      <c r="CU74" s="991"/>
      <c r="CV74" s="991"/>
      <c r="CW74" s="809"/>
      <c r="CX74" s="991"/>
      <c r="CY74" s="874"/>
      <c r="CZ74" s="874"/>
      <c r="DA74" s="809"/>
      <c r="DB74" s="874"/>
      <c r="DC74" s="874"/>
      <c r="DD74" s="874"/>
      <c r="DE74" s="809"/>
      <c r="DF74" s="874"/>
      <c r="DG74" s="874"/>
      <c r="DH74" s="874"/>
      <c r="DI74" s="809"/>
      <c r="DJ74" s="874"/>
      <c r="DK74" s="874"/>
      <c r="DL74" s="874"/>
      <c r="DM74" s="809"/>
      <c r="DN74" s="874"/>
      <c r="DO74" s="874"/>
      <c r="DP74" s="874"/>
      <c r="DQ74" s="809"/>
      <c r="DR74" s="874"/>
      <c r="DS74" s="874"/>
      <c r="DT74" s="874"/>
      <c r="DU74" s="809"/>
      <c r="DV74" s="874"/>
      <c r="DW74" s="874"/>
      <c r="DX74" s="991"/>
      <c r="DY74" s="809"/>
      <c r="DZ74" s="991"/>
      <c r="EA74" s="991"/>
      <c r="EB74" s="991"/>
      <c r="EC74" s="809"/>
      <c r="ED74" s="991"/>
      <c r="EE74" s="874"/>
      <c r="EF74" s="874"/>
      <c r="EG74" s="809"/>
      <c r="EH74" s="874"/>
      <c r="EI74" s="874"/>
      <c r="EJ74" s="874"/>
      <c r="EK74" s="809"/>
      <c r="EL74" s="874"/>
      <c r="EM74" s="874"/>
      <c r="EN74" s="874"/>
      <c r="EO74" s="809"/>
      <c r="EP74" s="991"/>
      <c r="EQ74" s="829"/>
      <c r="ER74" s="991"/>
      <c r="ES74" s="809"/>
      <c r="ET74" s="874"/>
      <c r="EU74" s="874"/>
      <c r="EV74" s="874"/>
      <c r="EW74" s="809"/>
      <c r="EX74" s="874"/>
      <c r="EY74" s="874"/>
      <c r="EZ74" s="874"/>
      <c r="FA74" s="809"/>
      <c r="FB74" s="874"/>
      <c r="FC74" s="874"/>
      <c r="FD74" s="991"/>
      <c r="FE74" s="809"/>
      <c r="FF74" s="991"/>
      <c r="FG74" s="991"/>
      <c r="FH74" s="991"/>
      <c r="FI74" s="809"/>
      <c r="FJ74" s="991"/>
      <c r="FK74" s="874"/>
      <c r="FL74" s="874"/>
      <c r="FM74" s="809"/>
      <c r="FN74" s="874"/>
      <c r="FO74" s="874"/>
      <c r="FP74" s="874"/>
      <c r="FQ74" s="809"/>
      <c r="FR74" s="874"/>
      <c r="FS74" s="874"/>
      <c r="FT74" s="874"/>
      <c r="FU74" s="809"/>
      <c r="FV74" s="874"/>
      <c r="FW74" s="874"/>
      <c r="FX74" s="874"/>
      <c r="FY74" s="809"/>
      <c r="FZ74" s="874"/>
      <c r="GA74" s="874"/>
      <c r="GB74" s="874"/>
      <c r="GC74" s="809"/>
      <c r="GD74" s="874"/>
      <c r="GE74" s="874"/>
      <c r="GF74" s="874"/>
      <c r="GG74" s="809"/>
      <c r="GH74" s="874"/>
      <c r="GI74" s="874"/>
      <c r="GJ74" s="991"/>
      <c r="GK74" s="809"/>
      <c r="GL74" s="991"/>
      <c r="GM74" s="991"/>
      <c r="GN74" s="991"/>
      <c r="GO74" s="809"/>
      <c r="GP74" s="991"/>
      <c r="GQ74" s="874"/>
      <c r="GR74" s="874"/>
      <c r="GS74" s="809"/>
      <c r="GT74" s="874"/>
      <c r="GU74" s="874"/>
      <c r="GV74" s="874"/>
      <c r="GW74" s="809"/>
      <c r="GX74" s="874"/>
      <c r="GY74" s="874"/>
      <c r="GZ74" s="874"/>
      <c r="HA74" s="809"/>
      <c r="HB74" s="829"/>
      <c r="HC74" s="829"/>
      <c r="HD74" s="829"/>
      <c r="HE74" s="829"/>
      <c r="HF74" s="829"/>
      <c r="HG74" s="829"/>
      <c r="HH74" s="829"/>
      <c r="HI74" s="829"/>
      <c r="HJ74" s="829"/>
      <c r="HK74" s="829"/>
      <c r="HL74" s="829"/>
      <c r="HM74" s="829"/>
      <c r="HN74" s="829"/>
      <c r="HO74" s="829"/>
      <c r="HP74" s="829"/>
      <c r="HQ74" s="829"/>
      <c r="HR74" s="829"/>
      <c r="HS74" s="829"/>
      <c r="HT74" s="874"/>
      <c r="HU74" s="809"/>
      <c r="HV74" s="874"/>
      <c r="HW74" s="874"/>
      <c r="HX74" s="874"/>
      <c r="HY74" s="809"/>
      <c r="HZ74" s="874"/>
      <c r="IA74" s="874"/>
      <c r="IB74" s="991"/>
      <c r="IC74" s="809"/>
      <c r="ID74" s="991"/>
      <c r="IE74" s="991"/>
      <c r="IF74" s="991"/>
      <c r="IG74" s="809"/>
      <c r="IH74" s="991"/>
      <c r="II74" s="874"/>
      <c r="IJ74" s="874"/>
      <c r="IK74" s="809"/>
      <c r="IL74" s="874"/>
      <c r="IM74" s="874"/>
      <c r="IN74" s="874"/>
      <c r="IO74" s="809"/>
      <c r="IP74" s="874"/>
      <c r="IQ74" s="874"/>
      <c r="IR74" s="874"/>
      <c r="IS74" s="809"/>
      <c r="IT74" s="874"/>
      <c r="IU74" s="874"/>
      <c r="IV74" s="874"/>
      <c r="IW74" s="809"/>
      <c r="IX74" s="874"/>
      <c r="IY74" s="874"/>
      <c r="IZ74" s="874"/>
      <c r="JA74" s="809"/>
      <c r="JB74" s="874"/>
      <c r="JC74" s="874"/>
      <c r="JD74" s="874"/>
      <c r="JE74" s="809"/>
      <c r="JF74" s="874"/>
      <c r="JG74" s="874"/>
      <c r="JH74" s="991"/>
      <c r="JI74" s="809"/>
      <c r="JJ74" s="991"/>
      <c r="JK74" s="991"/>
      <c r="JL74" s="991"/>
      <c r="JM74" s="809"/>
      <c r="JN74" s="991"/>
      <c r="JO74" s="874"/>
      <c r="JP74" s="874"/>
      <c r="JQ74" s="874"/>
      <c r="JR74" s="874"/>
      <c r="JS74" s="874"/>
      <c r="JT74" s="874"/>
      <c r="JU74" s="874"/>
      <c r="JV74" s="874"/>
      <c r="JW74" s="874"/>
      <c r="JX74" s="874"/>
      <c r="JY74" s="874"/>
      <c r="JZ74" s="874"/>
      <c r="KA74" s="874"/>
      <c r="KB74" s="874"/>
      <c r="KC74" s="874"/>
      <c r="KD74" s="874"/>
      <c r="KE74" s="874"/>
      <c r="KF74" s="874"/>
      <c r="KG74" s="809"/>
      <c r="KH74" s="829"/>
      <c r="KI74" s="829"/>
      <c r="KJ74" s="829"/>
      <c r="KK74" s="809"/>
      <c r="KL74" s="829"/>
      <c r="KM74" s="829"/>
      <c r="KN74" s="829"/>
      <c r="KO74" s="829"/>
      <c r="KP74" s="829"/>
      <c r="KQ74" s="829"/>
      <c r="KR74" s="829"/>
      <c r="KS74" s="809"/>
      <c r="KT74" s="829"/>
      <c r="KU74" s="829"/>
      <c r="KV74" s="829"/>
      <c r="KW74" s="829"/>
      <c r="KX74" s="829"/>
      <c r="KY74" s="829"/>
      <c r="KZ74" s="829"/>
      <c r="LA74" s="829"/>
      <c r="LB74" s="829"/>
      <c r="LC74" s="829"/>
      <c r="LD74" s="829"/>
      <c r="LE74" s="829"/>
      <c r="LF74" s="829"/>
      <c r="LG74" s="829"/>
      <c r="LH74" s="829"/>
      <c r="LI74" s="829"/>
      <c r="LJ74" s="829"/>
      <c r="LK74" s="829"/>
      <c r="LL74" s="829"/>
      <c r="LM74" s="829"/>
      <c r="LN74" s="829"/>
      <c r="LO74" s="829"/>
      <c r="LP74" s="829"/>
      <c r="LQ74" s="829"/>
      <c r="LR74" s="829"/>
      <c r="LS74" s="829"/>
      <c r="LT74" s="829"/>
      <c r="LU74" s="829"/>
      <c r="LV74" s="829"/>
      <c r="LW74" s="829"/>
      <c r="LX74" s="829"/>
      <c r="LY74" s="829"/>
      <c r="LZ74" s="829"/>
      <c r="MA74" s="829"/>
      <c r="MB74" s="829"/>
      <c r="MC74" s="829"/>
      <c r="MD74" s="829"/>
      <c r="ME74" s="829"/>
      <c r="MF74" s="829"/>
      <c r="MG74" s="829"/>
      <c r="MH74" s="829"/>
      <c r="MI74" s="829"/>
      <c r="MJ74" s="829"/>
      <c r="MK74" s="829"/>
      <c r="ML74" s="829"/>
      <c r="MM74" s="829"/>
      <c r="MN74" s="829"/>
      <c r="MO74" s="829"/>
      <c r="MP74" s="829"/>
      <c r="MQ74" s="829"/>
      <c r="MR74" s="829"/>
      <c r="MS74" s="829"/>
      <c r="MT74" s="829"/>
      <c r="MU74" s="829"/>
      <c r="MV74" s="829"/>
      <c r="MW74" s="829"/>
      <c r="MX74" s="829"/>
      <c r="MY74" s="829"/>
      <c r="MZ74" s="829"/>
      <c r="NA74" s="829"/>
      <c r="NB74" s="829"/>
      <c r="NC74" s="829"/>
      <c r="ND74" s="829"/>
      <c r="NE74" s="829"/>
      <c r="NF74" s="829"/>
      <c r="NG74" s="829"/>
      <c r="NH74" s="829"/>
      <c r="NI74" s="1019"/>
      <c r="NJ74" s="829"/>
      <c r="NK74" s="829"/>
      <c r="NL74" s="829"/>
    </row>
    <row r="75" spans="1:376" ht="12.75" customHeight="1">
      <c r="A75" s="874"/>
      <c r="B75" s="940" t="s">
        <v>260</v>
      </c>
      <c r="C75" s="938"/>
      <c r="D75" s="874"/>
      <c r="E75" s="874"/>
      <c r="F75" s="874"/>
      <c r="G75" s="811"/>
      <c r="H75" s="874"/>
      <c r="I75" s="809"/>
      <c r="J75" s="874"/>
      <c r="K75" s="874"/>
      <c r="L75" s="874"/>
      <c r="M75" s="874"/>
      <c r="N75" s="874"/>
      <c r="O75" s="874"/>
      <c r="P75" s="874"/>
      <c r="Q75" s="809"/>
      <c r="R75" s="874"/>
      <c r="S75" s="874"/>
      <c r="T75" s="874"/>
      <c r="U75" s="809"/>
      <c r="V75" s="874"/>
      <c r="W75" s="874"/>
      <c r="X75" s="874"/>
      <c r="Y75" s="809"/>
      <c r="Z75" s="874"/>
      <c r="AA75" s="874"/>
      <c r="AB75" s="874"/>
      <c r="AC75" s="809"/>
      <c r="AD75" s="874"/>
      <c r="AE75" s="991"/>
      <c r="AF75" s="991"/>
      <c r="AG75" s="809"/>
      <c r="AH75" s="874"/>
      <c r="AI75" s="874"/>
      <c r="AJ75" s="874"/>
      <c r="AK75" s="809"/>
      <c r="AL75" s="874"/>
      <c r="AM75" s="874"/>
      <c r="AN75" s="874"/>
      <c r="AO75" s="809"/>
      <c r="AP75" s="874"/>
      <c r="AQ75" s="874"/>
      <c r="AR75" s="874"/>
      <c r="AS75" s="809"/>
      <c r="AT75" s="874"/>
      <c r="AU75" s="874"/>
      <c r="AV75" s="874"/>
      <c r="AW75" s="809"/>
      <c r="AX75" s="874"/>
      <c r="AY75" s="874"/>
      <c r="AZ75" s="874"/>
      <c r="BA75" s="809"/>
      <c r="BB75" s="874"/>
      <c r="BC75" s="874"/>
      <c r="BD75" s="874"/>
      <c r="BE75" s="809"/>
      <c r="BF75" s="874"/>
      <c r="BG75" s="874"/>
      <c r="BH75" s="874"/>
      <c r="BI75" s="809"/>
      <c r="BJ75" s="874"/>
      <c r="BK75" s="991"/>
      <c r="BL75" s="991"/>
      <c r="BM75" s="809"/>
      <c r="BN75" s="874"/>
      <c r="BO75" s="874"/>
      <c r="BP75" s="874"/>
      <c r="BQ75" s="809"/>
      <c r="BR75" s="874"/>
      <c r="BS75" s="874"/>
      <c r="BT75" s="874"/>
      <c r="BU75" s="809"/>
      <c r="BV75" s="874"/>
      <c r="BW75" s="874"/>
      <c r="BX75" s="874"/>
      <c r="BY75" s="809"/>
      <c r="BZ75" s="874"/>
      <c r="CA75" s="874"/>
      <c r="CB75" s="874"/>
      <c r="CC75" s="874"/>
      <c r="CD75" s="874"/>
      <c r="CE75" s="874"/>
      <c r="CF75" s="874"/>
      <c r="CG75" s="809"/>
      <c r="CH75" s="874"/>
      <c r="CI75" s="874"/>
      <c r="CJ75" s="874"/>
      <c r="CK75" s="809"/>
      <c r="CL75" s="874"/>
      <c r="CM75" s="874"/>
      <c r="CN75" s="874"/>
      <c r="CO75" s="809"/>
      <c r="CP75" s="874"/>
      <c r="CQ75" s="874"/>
      <c r="CR75" s="874"/>
      <c r="CS75" s="809"/>
      <c r="CT75" s="874"/>
      <c r="CU75" s="991"/>
      <c r="CV75" s="991"/>
      <c r="CW75" s="809"/>
      <c r="CX75" s="874"/>
      <c r="CY75" s="874"/>
      <c r="CZ75" s="874"/>
      <c r="DA75" s="809"/>
      <c r="DB75" s="874"/>
      <c r="DC75" s="874"/>
      <c r="DD75" s="874"/>
      <c r="DE75" s="809"/>
      <c r="DF75" s="874"/>
      <c r="DG75" s="874"/>
      <c r="DH75" s="874"/>
      <c r="DI75" s="809"/>
      <c r="DJ75" s="874"/>
      <c r="DK75" s="874"/>
      <c r="DL75" s="874"/>
      <c r="DM75" s="809"/>
      <c r="DN75" s="874"/>
      <c r="DO75" s="874"/>
      <c r="DP75" s="874"/>
      <c r="DQ75" s="809"/>
      <c r="DR75" s="874"/>
      <c r="DS75" s="874"/>
      <c r="DT75" s="874"/>
      <c r="DU75" s="809"/>
      <c r="DV75" s="874"/>
      <c r="DW75" s="874"/>
      <c r="DX75" s="874"/>
      <c r="DY75" s="809"/>
      <c r="DZ75" s="874"/>
      <c r="EA75" s="991"/>
      <c r="EB75" s="991"/>
      <c r="EC75" s="809"/>
      <c r="ED75" s="874"/>
      <c r="EE75" s="874"/>
      <c r="EF75" s="874"/>
      <c r="EG75" s="809"/>
      <c r="EH75" s="874"/>
      <c r="EI75" s="874"/>
      <c r="EJ75" s="874"/>
      <c r="EK75" s="809"/>
      <c r="EL75" s="874"/>
      <c r="EM75" s="874"/>
      <c r="EN75" s="874"/>
      <c r="EO75" s="809"/>
      <c r="EP75" s="874"/>
      <c r="EQ75" s="874"/>
      <c r="ER75" s="874"/>
      <c r="ES75" s="809"/>
      <c r="ET75" s="874"/>
      <c r="EU75" s="874"/>
      <c r="EV75" s="874"/>
      <c r="EW75" s="809"/>
      <c r="EX75" s="874"/>
      <c r="EY75" s="874"/>
      <c r="EZ75" s="874"/>
      <c r="FA75" s="809"/>
      <c r="FB75" s="874"/>
      <c r="FC75" s="874"/>
      <c r="FD75" s="874"/>
      <c r="FE75" s="809"/>
      <c r="FF75" s="874"/>
      <c r="FG75" s="991"/>
      <c r="FH75" s="991"/>
      <c r="FI75" s="809"/>
      <c r="FJ75" s="874"/>
      <c r="FK75" s="874"/>
      <c r="FL75" s="874"/>
      <c r="FM75" s="809"/>
      <c r="FN75" s="874"/>
      <c r="FO75" s="874"/>
      <c r="FP75" s="874"/>
      <c r="FQ75" s="809"/>
      <c r="FR75" s="874"/>
      <c r="FS75" s="874"/>
      <c r="FT75" s="874"/>
      <c r="FU75" s="809"/>
      <c r="FV75" s="874"/>
      <c r="FW75" s="874"/>
      <c r="FX75" s="874"/>
      <c r="FY75" s="809"/>
      <c r="FZ75" s="874"/>
      <c r="GA75" s="874"/>
      <c r="GB75" s="874"/>
      <c r="GC75" s="809"/>
      <c r="GD75" s="874"/>
      <c r="GE75" s="874"/>
      <c r="GF75" s="874"/>
      <c r="GG75" s="809"/>
      <c r="GH75" s="874"/>
      <c r="GI75" s="874"/>
      <c r="GJ75" s="874"/>
      <c r="GK75" s="809"/>
      <c r="GL75" s="874"/>
      <c r="GM75" s="991"/>
      <c r="GN75" s="991"/>
      <c r="GO75" s="809"/>
      <c r="GP75" s="874"/>
      <c r="GQ75" s="874"/>
      <c r="GR75" s="874"/>
      <c r="GS75" s="809"/>
      <c r="GT75" s="874"/>
      <c r="GU75" s="874"/>
      <c r="GV75" s="874"/>
      <c r="GW75" s="809"/>
      <c r="GX75" s="874"/>
      <c r="GY75" s="874"/>
      <c r="GZ75" s="874"/>
      <c r="HA75" s="809"/>
      <c r="HT75" s="874"/>
      <c r="HU75" s="809"/>
      <c r="HV75" s="874"/>
      <c r="HW75" s="874"/>
      <c r="HX75" s="874"/>
      <c r="HY75" s="809"/>
      <c r="HZ75" s="874"/>
      <c r="IA75" s="874"/>
      <c r="IB75" s="874"/>
      <c r="IC75" s="809"/>
      <c r="ID75" s="874"/>
      <c r="IE75" s="991"/>
      <c r="IF75" s="991"/>
      <c r="IG75" s="809"/>
      <c r="IH75" s="874"/>
      <c r="II75" s="874"/>
      <c r="IJ75" s="874"/>
      <c r="IK75" s="809"/>
      <c r="IL75" s="874"/>
      <c r="IM75" s="874"/>
      <c r="IN75" s="874"/>
      <c r="IO75" s="809"/>
      <c r="IP75" s="874"/>
      <c r="IQ75" s="874"/>
      <c r="IR75" s="874"/>
      <c r="IS75" s="809"/>
      <c r="IT75" s="874"/>
      <c r="IU75" s="874"/>
      <c r="IV75" s="874"/>
      <c r="IW75" s="809"/>
      <c r="IX75" s="874"/>
      <c r="IY75" s="874"/>
      <c r="IZ75" s="874"/>
      <c r="JA75" s="809"/>
      <c r="JB75" s="874"/>
      <c r="JC75" s="874"/>
      <c r="JD75" s="874"/>
      <c r="JE75" s="809"/>
      <c r="JF75" s="874"/>
      <c r="JG75" s="874"/>
      <c r="JH75" s="874"/>
      <c r="JI75" s="809"/>
      <c r="JJ75" s="874"/>
      <c r="JK75" s="991"/>
      <c r="JL75" s="991"/>
      <c r="JM75" s="809"/>
      <c r="JN75" s="874"/>
      <c r="JO75" s="874"/>
      <c r="JP75" s="874"/>
      <c r="JQ75" s="874"/>
      <c r="JR75" s="874"/>
      <c r="JS75" s="874"/>
      <c r="JT75" s="874"/>
      <c r="JU75" s="874"/>
      <c r="JV75" s="874"/>
      <c r="JW75" s="874"/>
      <c r="JX75" s="874"/>
      <c r="JY75" s="874"/>
      <c r="JZ75" s="874"/>
      <c r="KA75" s="874"/>
      <c r="KB75" s="874"/>
      <c r="KC75" s="874"/>
      <c r="KD75" s="874"/>
      <c r="KE75" s="874"/>
      <c r="KF75" s="874"/>
      <c r="KG75" s="809"/>
      <c r="KK75" s="809"/>
      <c r="KS75" s="809"/>
      <c r="NH75" s="1019"/>
      <c r="NI75" s="1019"/>
    </row>
    <row r="76" spans="1:376" ht="12.75" customHeight="1">
      <c r="A76" s="874"/>
      <c r="B76" s="940" t="s">
        <v>258</v>
      </c>
      <c r="C76" s="938"/>
      <c r="D76" s="874"/>
      <c r="E76" s="874"/>
      <c r="F76" s="874"/>
      <c r="G76" s="811"/>
      <c r="H76" s="874"/>
      <c r="I76" s="809"/>
      <c r="J76" s="874"/>
      <c r="K76" s="874"/>
      <c r="L76" s="874"/>
      <c r="M76" s="874"/>
      <c r="N76" s="874"/>
      <c r="O76" s="874"/>
      <c r="P76" s="874"/>
      <c r="Q76" s="809"/>
      <c r="R76" s="874"/>
      <c r="S76" s="874"/>
      <c r="T76" s="874"/>
      <c r="U76" s="809"/>
      <c r="V76" s="874"/>
      <c r="W76" s="874"/>
      <c r="X76" s="874"/>
      <c r="Y76" s="809"/>
      <c r="Z76" s="874"/>
      <c r="AA76" s="874"/>
      <c r="AB76" s="874"/>
      <c r="AC76" s="809"/>
      <c r="AD76" s="874"/>
      <c r="AE76" s="874"/>
      <c r="AF76" s="874"/>
      <c r="AG76" s="809"/>
      <c r="AH76" s="874"/>
      <c r="AI76" s="874"/>
      <c r="AJ76" s="874"/>
      <c r="AK76" s="809"/>
      <c r="AL76" s="874"/>
      <c r="AM76" s="874"/>
      <c r="AN76" s="874"/>
      <c r="AO76" s="809"/>
      <c r="AP76" s="874"/>
      <c r="AQ76" s="874"/>
      <c r="AR76" s="874"/>
      <c r="AS76" s="809"/>
      <c r="AT76" s="874"/>
      <c r="AU76" s="874"/>
      <c r="AV76" s="874"/>
      <c r="AW76" s="809"/>
      <c r="AX76" s="874"/>
      <c r="AY76" s="874"/>
      <c r="AZ76" s="874"/>
      <c r="BA76" s="809"/>
      <c r="BB76" s="874"/>
      <c r="BC76" s="874"/>
      <c r="BD76" s="874"/>
      <c r="BE76" s="809"/>
      <c r="BF76" s="874"/>
      <c r="BG76" s="874"/>
      <c r="BH76" s="874"/>
      <c r="BI76" s="809"/>
      <c r="BJ76" s="874"/>
      <c r="BK76" s="874"/>
      <c r="BL76" s="874"/>
      <c r="BM76" s="809"/>
      <c r="BN76" s="874"/>
      <c r="BO76" s="874"/>
      <c r="BP76" s="874"/>
      <c r="BQ76" s="809"/>
      <c r="BR76" s="874"/>
      <c r="BS76" s="874"/>
      <c r="BT76" s="874"/>
      <c r="BU76" s="809"/>
      <c r="BV76" s="874"/>
      <c r="BW76" s="874"/>
      <c r="BX76" s="874"/>
      <c r="BY76" s="809"/>
      <c r="BZ76" s="874"/>
      <c r="CA76" s="874"/>
      <c r="CB76" s="874"/>
      <c r="CC76" s="874"/>
      <c r="CD76" s="874"/>
      <c r="CE76" s="874"/>
      <c r="CF76" s="874"/>
      <c r="CG76" s="809"/>
      <c r="CH76" s="874"/>
      <c r="CI76" s="874"/>
      <c r="CJ76" s="874"/>
      <c r="CK76" s="809"/>
      <c r="CL76" s="874"/>
      <c r="CM76" s="874"/>
      <c r="CN76" s="874"/>
      <c r="CO76" s="809"/>
      <c r="CP76" s="874"/>
      <c r="CQ76" s="874"/>
      <c r="CR76" s="874"/>
      <c r="CS76" s="809"/>
      <c r="CT76" s="874"/>
      <c r="CU76" s="874"/>
      <c r="CV76" s="874"/>
      <c r="CW76" s="809"/>
      <c r="CX76" s="874"/>
      <c r="CY76" s="874"/>
      <c r="CZ76" s="874"/>
      <c r="DA76" s="809"/>
      <c r="DB76" s="874"/>
      <c r="DC76" s="874"/>
      <c r="DD76" s="874"/>
      <c r="DE76" s="809"/>
      <c r="DF76" s="874"/>
      <c r="DG76" s="874"/>
      <c r="DH76" s="874"/>
      <c r="DI76" s="809"/>
      <c r="DJ76" s="874"/>
      <c r="DK76" s="874"/>
      <c r="DL76" s="874"/>
      <c r="DM76" s="809"/>
      <c r="DN76" s="874"/>
      <c r="DO76" s="874"/>
      <c r="DP76" s="874"/>
      <c r="DQ76" s="809"/>
      <c r="DR76" s="874"/>
      <c r="DS76" s="874"/>
      <c r="DT76" s="874"/>
      <c r="DU76" s="809"/>
      <c r="DV76" s="874"/>
      <c r="DW76" s="874"/>
      <c r="DX76" s="874"/>
      <c r="DY76" s="809"/>
      <c r="DZ76" s="874"/>
      <c r="EA76" s="874"/>
      <c r="EB76" s="874"/>
      <c r="EC76" s="809"/>
      <c r="ED76" s="874"/>
      <c r="EE76" s="874"/>
      <c r="EF76" s="874"/>
      <c r="EG76" s="809"/>
      <c r="EH76" s="874"/>
      <c r="EI76" s="874"/>
      <c r="EJ76" s="874"/>
      <c r="EK76" s="809"/>
      <c r="EL76" s="874"/>
      <c r="EM76" s="874"/>
      <c r="EN76" s="874"/>
      <c r="EO76" s="809"/>
      <c r="EP76" s="874"/>
      <c r="EQ76" s="874"/>
      <c r="ER76" s="874"/>
      <c r="ES76" s="809"/>
      <c r="ET76" s="874"/>
      <c r="EU76" s="874"/>
      <c r="EV76" s="874"/>
      <c r="EW76" s="809"/>
      <c r="EX76" s="874"/>
      <c r="EY76" s="874"/>
      <c r="EZ76" s="874"/>
      <c r="FA76" s="809"/>
      <c r="FB76" s="874"/>
      <c r="FC76" s="874"/>
      <c r="FD76" s="874"/>
      <c r="FE76" s="809"/>
      <c r="FF76" s="874"/>
      <c r="FG76" s="874"/>
      <c r="FH76" s="874"/>
      <c r="FI76" s="809"/>
      <c r="FJ76" s="874"/>
      <c r="FK76" s="874"/>
      <c r="FL76" s="874"/>
      <c r="FM76" s="809"/>
      <c r="FN76" s="874"/>
      <c r="FO76" s="874"/>
      <c r="FP76" s="874"/>
      <c r="FQ76" s="809"/>
      <c r="FR76" s="874"/>
      <c r="FS76" s="874"/>
      <c r="FT76" s="874"/>
      <c r="FU76" s="809"/>
      <c r="FV76" s="874"/>
      <c r="FW76" s="874"/>
      <c r="FX76" s="874"/>
      <c r="FY76" s="809"/>
      <c r="FZ76" s="874"/>
      <c r="GA76" s="874"/>
      <c r="GB76" s="874"/>
      <c r="GC76" s="809"/>
      <c r="GD76" s="874"/>
      <c r="GE76" s="874"/>
      <c r="GF76" s="874"/>
      <c r="GG76" s="809"/>
      <c r="GH76" s="874"/>
      <c r="GI76" s="874"/>
      <c r="GJ76" s="874"/>
      <c r="GK76" s="809"/>
      <c r="GL76" s="874"/>
      <c r="GM76" s="874"/>
      <c r="GN76" s="874"/>
      <c r="GO76" s="809"/>
      <c r="GP76" s="874"/>
      <c r="GQ76" s="874"/>
      <c r="GR76" s="874"/>
      <c r="GS76" s="809"/>
      <c r="GT76" s="874"/>
      <c r="GU76" s="874"/>
      <c r="GV76" s="874"/>
      <c r="GW76" s="809"/>
      <c r="GX76" s="874"/>
      <c r="GY76" s="874"/>
      <c r="GZ76" s="874"/>
      <c r="HA76" s="809"/>
      <c r="HT76" s="874"/>
      <c r="HU76" s="809"/>
      <c r="HV76" s="874"/>
      <c r="HW76" s="874"/>
      <c r="HX76" s="874"/>
      <c r="HY76" s="809"/>
      <c r="HZ76" s="874"/>
      <c r="IA76" s="874"/>
      <c r="IB76" s="874"/>
      <c r="IC76" s="809"/>
      <c r="ID76" s="874"/>
      <c r="IE76" s="874"/>
      <c r="IF76" s="874"/>
      <c r="IG76" s="809"/>
      <c r="IH76" s="874"/>
      <c r="II76" s="874"/>
      <c r="IJ76" s="874"/>
      <c r="IK76" s="809"/>
      <c r="IL76" s="874"/>
      <c r="IM76" s="874"/>
      <c r="IN76" s="874"/>
      <c r="IO76" s="809"/>
      <c r="IP76" s="874"/>
      <c r="IQ76" s="874"/>
      <c r="IR76" s="874"/>
      <c r="IS76" s="809"/>
      <c r="IT76" s="874"/>
      <c r="IU76" s="874"/>
      <c r="IV76" s="874"/>
      <c r="IW76" s="809"/>
      <c r="IX76" s="874"/>
      <c r="IY76" s="874"/>
      <c r="IZ76" s="874"/>
      <c r="JA76" s="809"/>
      <c r="JB76" s="874"/>
      <c r="JC76" s="874"/>
      <c r="JD76" s="874"/>
      <c r="JE76" s="809"/>
      <c r="JF76" s="874"/>
      <c r="JG76" s="874"/>
      <c r="JH76" s="874"/>
      <c r="JI76" s="809"/>
      <c r="JJ76" s="874"/>
      <c r="JK76" s="874"/>
      <c r="JL76" s="874"/>
      <c r="JM76" s="809"/>
      <c r="JN76" s="874"/>
      <c r="JO76" s="874"/>
      <c r="JP76" s="874"/>
      <c r="JQ76" s="874"/>
      <c r="JR76" s="874"/>
      <c r="JS76" s="874"/>
      <c r="JT76" s="874"/>
      <c r="JU76" s="874"/>
      <c r="JV76" s="874"/>
      <c r="JW76" s="874"/>
      <c r="JX76" s="874"/>
      <c r="JY76" s="874"/>
      <c r="JZ76" s="874"/>
      <c r="KA76" s="874"/>
      <c r="KB76" s="874"/>
      <c r="KC76" s="874"/>
      <c r="KD76" s="874"/>
      <c r="KE76" s="874"/>
      <c r="KF76" s="874"/>
      <c r="KG76" s="809"/>
      <c r="KK76" s="809"/>
      <c r="KS76" s="809"/>
      <c r="NH76" s="829"/>
    </row>
    <row r="77" spans="1:376" ht="12.75" customHeight="1">
      <c r="A77" s="874"/>
      <c r="B77" s="940" t="s">
        <v>261</v>
      </c>
      <c r="C77" s="938"/>
      <c r="D77" s="874"/>
      <c r="E77" s="874"/>
      <c r="F77" s="874"/>
      <c r="G77" s="811"/>
      <c r="H77" s="874"/>
      <c r="I77" s="809"/>
      <c r="J77" s="874"/>
      <c r="K77" s="874"/>
      <c r="L77" s="874"/>
      <c r="M77" s="874"/>
      <c r="N77" s="874"/>
      <c r="O77" s="874"/>
      <c r="P77" s="874"/>
      <c r="Q77" s="809"/>
      <c r="R77" s="874"/>
      <c r="S77" s="874"/>
      <c r="T77" s="874"/>
      <c r="U77" s="809"/>
      <c r="V77" s="874"/>
      <c r="W77" s="874"/>
      <c r="X77" s="874"/>
      <c r="Y77" s="809"/>
      <c r="Z77" s="874"/>
      <c r="AA77" s="874"/>
      <c r="AB77" s="874"/>
      <c r="AC77" s="809"/>
      <c r="AD77" s="874"/>
      <c r="AE77" s="874"/>
      <c r="AF77" s="874"/>
      <c r="AG77" s="809"/>
      <c r="AH77" s="874"/>
      <c r="AI77" s="874"/>
      <c r="AJ77" s="874"/>
      <c r="AK77" s="809"/>
      <c r="AL77" s="874"/>
      <c r="AM77" s="874"/>
      <c r="AN77" s="874"/>
      <c r="AO77" s="809"/>
      <c r="AP77" s="874"/>
      <c r="AQ77" s="874"/>
      <c r="AR77" s="874"/>
      <c r="AS77" s="809"/>
      <c r="AT77" s="874"/>
      <c r="AU77" s="874"/>
      <c r="AV77" s="874"/>
      <c r="AW77" s="809"/>
      <c r="AX77" s="874"/>
      <c r="AY77" s="874"/>
      <c r="AZ77" s="874"/>
      <c r="BA77" s="809"/>
      <c r="BB77" s="874"/>
      <c r="BC77" s="874"/>
      <c r="BD77" s="874"/>
      <c r="BE77" s="809"/>
      <c r="BF77" s="874"/>
      <c r="BG77" s="874"/>
      <c r="BH77" s="874"/>
      <c r="BI77" s="809"/>
      <c r="BJ77" s="874"/>
      <c r="BK77" s="874"/>
      <c r="BL77" s="874"/>
      <c r="BM77" s="809"/>
      <c r="BN77" s="874"/>
      <c r="BO77" s="874"/>
      <c r="BP77" s="874"/>
      <c r="BQ77" s="809"/>
      <c r="BR77" s="874"/>
      <c r="BS77" s="874"/>
      <c r="BT77" s="874"/>
      <c r="BU77" s="809"/>
      <c r="BV77" s="874"/>
      <c r="BW77" s="874"/>
      <c r="BX77" s="874"/>
      <c r="BY77" s="809"/>
      <c r="BZ77" s="874"/>
      <c r="CA77" s="874"/>
      <c r="CB77" s="874"/>
      <c r="CC77" s="874"/>
      <c r="CD77" s="874"/>
      <c r="CE77" s="874"/>
      <c r="CF77" s="874"/>
      <c r="CG77" s="809"/>
      <c r="CH77" s="874"/>
      <c r="CI77" s="874"/>
      <c r="CJ77" s="874"/>
      <c r="CK77" s="809"/>
      <c r="CL77" s="874"/>
      <c r="CM77" s="874"/>
      <c r="CN77" s="874"/>
      <c r="CO77" s="809"/>
      <c r="CP77" s="874"/>
      <c r="CQ77" s="874"/>
      <c r="CR77" s="874"/>
      <c r="CS77" s="809"/>
      <c r="CT77" s="874"/>
      <c r="CU77" s="874"/>
      <c r="CV77" s="874"/>
      <c r="CW77" s="809"/>
      <c r="CX77" s="874"/>
      <c r="CY77" s="874"/>
      <c r="CZ77" s="874"/>
      <c r="DA77" s="809"/>
      <c r="DB77" s="874"/>
      <c r="DC77" s="874"/>
      <c r="DD77" s="874"/>
      <c r="DE77" s="809"/>
      <c r="DF77" s="874"/>
      <c r="DG77" s="874"/>
      <c r="DH77" s="874"/>
      <c r="DI77" s="809"/>
      <c r="DJ77" s="874"/>
      <c r="DK77" s="874"/>
      <c r="DL77" s="874"/>
      <c r="DM77" s="809"/>
      <c r="DN77" s="874"/>
      <c r="DO77" s="874"/>
      <c r="DP77" s="874"/>
      <c r="DQ77" s="809"/>
      <c r="DR77" s="874"/>
      <c r="DS77" s="874"/>
      <c r="DT77" s="874"/>
      <c r="DU77" s="809"/>
      <c r="DV77" s="874"/>
      <c r="DW77" s="874"/>
      <c r="DX77" s="874"/>
      <c r="DY77" s="809"/>
      <c r="DZ77" s="874"/>
      <c r="EA77" s="874"/>
      <c r="EB77" s="874"/>
      <c r="EC77" s="809"/>
      <c r="ED77" s="874"/>
      <c r="EE77" s="874"/>
      <c r="EF77" s="874"/>
      <c r="EG77" s="809"/>
      <c r="EH77" s="874"/>
      <c r="EI77" s="874"/>
      <c r="EJ77" s="874"/>
      <c r="EK77" s="809"/>
      <c r="EL77" s="874"/>
      <c r="EM77" s="874"/>
      <c r="EN77" s="874"/>
      <c r="EO77" s="809"/>
      <c r="EP77" s="874"/>
      <c r="EQ77" s="874"/>
      <c r="ER77" s="874"/>
      <c r="ES77" s="809"/>
      <c r="ET77" s="874"/>
      <c r="EU77" s="874"/>
      <c r="EV77" s="874"/>
      <c r="EW77" s="809"/>
      <c r="EX77" s="874"/>
      <c r="EY77" s="874"/>
      <c r="EZ77" s="874"/>
      <c r="FA77" s="809"/>
      <c r="FB77" s="874"/>
      <c r="FC77" s="874"/>
      <c r="FD77" s="874"/>
      <c r="FE77" s="809"/>
      <c r="FF77" s="874"/>
      <c r="FG77" s="874"/>
      <c r="FH77" s="874"/>
      <c r="FI77" s="809"/>
      <c r="FJ77" s="874"/>
      <c r="FK77" s="874"/>
      <c r="FL77" s="874"/>
      <c r="FM77" s="809"/>
      <c r="FN77" s="874"/>
      <c r="FO77" s="874"/>
      <c r="FP77" s="874"/>
      <c r="FQ77" s="809"/>
      <c r="FR77" s="874"/>
      <c r="FS77" s="874"/>
      <c r="FT77" s="874"/>
      <c r="FU77" s="809"/>
      <c r="FV77" s="874"/>
      <c r="FW77" s="874"/>
      <c r="FX77" s="874"/>
      <c r="FY77" s="809"/>
      <c r="FZ77" s="874"/>
      <c r="GA77" s="874"/>
      <c r="GB77" s="874"/>
      <c r="GC77" s="809"/>
      <c r="GD77" s="874"/>
      <c r="GE77" s="874"/>
      <c r="GF77" s="874"/>
      <c r="GG77" s="809"/>
      <c r="GH77" s="874"/>
      <c r="GI77" s="874"/>
      <c r="GJ77" s="874"/>
      <c r="GK77" s="809"/>
      <c r="GL77" s="874"/>
      <c r="GM77" s="874"/>
      <c r="GN77" s="874"/>
      <c r="GO77" s="809"/>
      <c r="GP77" s="874"/>
      <c r="GQ77" s="874"/>
      <c r="GR77" s="874"/>
      <c r="GS77" s="809"/>
      <c r="GT77" s="874"/>
      <c r="GU77" s="874"/>
      <c r="GV77" s="874"/>
      <c r="GW77" s="809"/>
      <c r="GX77" s="874"/>
      <c r="GY77" s="874"/>
      <c r="GZ77" s="874"/>
      <c r="HA77" s="809"/>
      <c r="HT77" s="874"/>
      <c r="HU77" s="809"/>
      <c r="HV77" s="874"/>
      <c r="HW77" s="874"/>
      <c r="HX77" s="874"/>
      <c r="HY77" s="809"/>
      <c r="HZ77" s="874"/>
      <c r="IA77" s="874"/>
      <c r="IB77" s="874"/>
      <c r="IC77" s="809"/>
      <c r="ID77" s="874"/>
      <c r="IE77" s="874"/>
      <c r="IF77" s="874"/>
      <c r="IG77" s="809"/>
      <c r="IH77" s="874"/>
      <c r="II77" s="874"/>
      <c r="IJ77" s="874"/>
      <c r="IK77" s="809"/>
      <c r="IL77" s="874"/>
      <c r="IM77" s="874"/>
      <c r="IN77" s="874"/>
      <c r="IO77" s="809"/>
      <c r="IP77" s="874"/>
      <c r="IQ77" s="874"/>
      <c r="IR77" s="874"/>
      <c r="IS77" s="809"/>
      <c r="IT77" s="874"/>
      <c r="IU77" s="874"/>
      <c r="IV77" s="874"/>
      <c r="IW77" s="809"/>
      <c r="IX77" s="874"/>
      <c r="IY77" s="874"/>
      <c r="IZ77" s="874"/>
      <c r="JA77" s="809"/>
      <c r="JB77" s="874"/>
      <c r="JC77" s="874"/>
      <c r="JD77" s="874"/>
      <c r="JE77" s="809"/>
      <c r="JF77" s="874"/>
      <c r="JG77" s="874"/>
      <c r="JH77" s="874"/>
      <c r="JI77" s="809"/>
      <c r="JJ77" s="874"/>
      <c r="JK77" s="874"/>
      <c r="JL77" s="874"/>
      <c r="JM77" s="809"/>
      <c r="JN77" s="874"/>
      <c r="JO77" s="874"/>
      <c r="JP77" s="874"/>
      <c r="JQ77" s="874"/>
      <c r="JR77" s="874"/>
      <c r="JS77" s="874"/>
      <c r="JT77" s="874"/>
      <c r="JU77" s="874"/>
      <c r="JV77" s="874"/>
      <c r="JW77" s="874"/>
      <c r="JX77" s="874"/>
      <c r="JY77" s="874"/>
      <c r="JZ77" s="874"/>
      <c r="KA77" s="874"/>
      <c r="KB77" s="874"/>
      <c r="KC77" s="874"/>
      <c r="KD77" s="874"/>
      <c r="KE77" s="874"/>
      <c r="KF77" s="874"/>
      <c r="KG77" s="809"/>
      <c r="KK77" s="809"/>
      <c r="KS77" s="809"/>
      <c r="NH77" s="1019"/>
      <c r="NI77" s="1019"/>
    </row>
    <row r="78" spans="1:376" ht="12.75" customHeight="1">
      <c r="A78" s="874"/>
      <c r="B78" s="940" t="s">
        <v>148</v>
      </c>
      <c r="C78" s="938"/>
      <c r="D78" s="874"/>
      <c r="E78" s="874"/>
      <c r="F78" s="874"/>
      <c r="G78" s="811"/>
      <c r="H78" s="874"/>
      <c r="I78" s="809"/>
      <c r="J78" s="874"/>
      <c r="K78" s="874"/>
      <c r="L78" s="874"/>
      <c r="M78" s="874"/>
      <c r="N78" s="874"/>
      <c r="O78" s="874"/>
      <c r="P78" s="874"/>
      <c r="Q78" s="809"/>
      <c r="R78" s="874"/>
      <c r="S78" s="874"/>
      <c r="T78" s="874"/>
      <c r="U78" s="809"/>
      <c r="V78" s="874"/>
      <c r="W78" s="874"/>
      <c r="X78" s="874"/>
      <c r="Y78" s="809"/>
      <c r="Z78" s="874"/>
      <c r="AA78" s="874"/>
      <c r="AB78" s="874"/>
      <c r="AC78" s="809"/>
      <c r="AD78" s="874"/>
      <c r="AE78" s="874"/>
      <c r="AF78" s="874"/>
      <c r="AG78" s="809"/>
      <c r="AH78" s="874"/>
      <c r="AI78" s="874"/>
      <c r="AJ78" s="874"/>
      <c r="AK78" s="809"/>
      <c r="AL78" s="874"/>
      <c r="AM78" s="874"/>
      <c r="AN78" s="874"/>
      <c r="AO78" s="809"/>
      <c r="AP78" s="874"/>
      <c r="AQ78" s="874"/>
      <c r="AR78" s="874"/>
      <c r="AS78" s="809"/>
      <c r="AT78" s="874"/>
      <c r="AU78" s="874"/>
      <c r="AV78" s="874"/>
      <c r="AW78" s="809"/>
      <c r="AX78" s="874"/>
      <c r="AY78" s="874"/>
      <c r="AZ78" s="874"/>
      <c r="BA78" s="809"/>
      <c r="BB78" s="874"/>
      <c r="BC78" s="874"/>
      <c r="BD78" s="874"/>
      <c r="BE78" s="809"/>
      <c r="BF78" s="874"/>
      <c r="BG78" s="874"/>
      <c r="BH78" s="874"/>
      <c r="BI78" s="809"/>
      <c r="BJ78" s="874"/>
      <c r="BK78" s="874"/>
      <c r="BL78" s="874"/>
      <c r="BM78" s="809"/>
      <c r="BN78" s="874"/>
      <c r="BO78" s="874"/>
      <c r="BP78" s="874"/>
      <c r="BQ78" s="809"/>
      <c r="BR78" s="874"/>
      <c r="BS78" s="874"/>
      <c r="BT78" s="874"/>
      <c r="BU78" s="809"/>
      <c r="BV78" s="874"/>
      <c r="BW78" s="874"/>
      <c r="BX78" s="874"/>
      <c r="BY78" s="809"/>
      <c r="BZ78" s="874"/>
      <c r="CA78" s="874"/>
      <c r="CB78" s="874"/>
      <c r="CC78" s="874"/>
      <c r="CD78" s="874"/>
      <c r="CE78" s="874"/>
      <c r="CF78" s="874"/>
      <c r="CG78" s="809"/>
      <c r="CH78" s="874"/>
      <c r="CI78" s="874"/>
      <c r="CJ78" s="874"/>
      <c r="CK78" s="809"/>
      <c r="CL78" s="874"/>
      <c r="CM78" s="874"/>
      <c r="CN78" s="874"/>
      <c r="CO78" s="809"/>
      <c r="CP78" s="874"/>
      <c r="CQ78" s="874"/>
      <c r="CR78" s="874"/>
      <c r="CS78" s="809"/>
      <c r="CT78" s="874"/>
      <c r="CU78" s="874"/>
      <c r="CV78" s="874"/>
      <c r="CW78" s="809"/>
      <c r="CX78" s="874"/>
      <c r="CY78" s="874"/>
      <c r="CZ78" s="874"/>
      <c r="DA78" s="809"/>
      <c r="DB78" s="874"/>
      <c r="DC78" s="874"/>
      <c r="DD78" s="874"/>
      <c r="DE78" s="809"/>
      <c r="DF78" s="874"/>
      <c r="DG78" s="874"/>
      <c r="DH78" s="874"/>
      <c r="DI78" s="809"/>
      <c r="DJ78" s="874"/>
      <c r="DK78" s="874"/>
      <c r="DL78" s="874"/>
      <c r="DM78" s="809"/>
      <c r="DN78" s="874"/>
      <c r="DO78" s="874"/>
      <c r="DP78" s="874"/>
      <c r="DQ78" s="809"/>
      <c r="DR78" s="874"/>
      <c r="DS78" s="874"/>
      <c r="DT78" s="874"/>
      <c r="DU78" s="809"/>
      <c r="DV78" s="874"/>
      <c r="DW78" s="874"/>
      <c r="DX78" s="874"/>
      <c r="DY78" s="809"/>
      <c r="DZ78" s="874"/>
      <c r="EA78" s="874"/>
      <c r="EB78" s="874"/>
      <c r="EC78" s="809"/>
      <c r="ED78" s="874"/>
      <c r="EE78" s="874"/>
      <c r="EF78" s="874"/>
      <c r="EG78" s="809"/>
      <c r="EH78" s="874"/>
      <c r="EI78" s="874"/>
      <c r="EJ78" s="874"/>
      <c r="EK78" s="809"/>
      <c r="EL78" s="874"/>
      <c r="EM78" s="874"/>
      <c r="EN78" s="874"/>
      <c r="EO78" s="809"/>
      <c r="EP78" s="874"/>
      <c r="EQ78" s="874"/>
      <c r="ER78" s="874"/>
      <c r="ES78" s="809"/>
      <c r="ET78" s="874"/>
      <c r="EU78" s="874"/>
      <c r="EV78" s="874"/>
      <c r="EW78" s="809"/>
      <c r="EX78" s="874"/>
      <c r="EY78" s="874"/>
      <c r="EZ78" s="874"/>
      <c r="FA78" s="809"/>
      <c r="FB78" s="874"/>
      <c r="FC78" s="874"/>
      <c r="FD78" s="874"/>
      <c r="FE78" s="809"/>
      <c r="FF78" s="874"/>
      <c r="FG78" s="874"/>
      <c r="FH78" s="874"/>
      <c r="FI78" s="809"/>
      <c r="FJ78" s="874"/>
      <c r="FK78" s="874"/>
      <c r="FL78" s="874"/>
      <c r="FM78" s="809"/>
      <c r="FN78" s="874"/>
      <c r="FO78" s="874"/>
      <c r="FP78" s="874"/>
      <c r="FQ78" s="809"/>
      <c r="FR78" s="874"/>
      <c r="FS78" s="874"/>
      <c r="FT78" s="874"/>
      <c r="FU78" s="809"/>
      <c r="FV78" s="874"/>
      <c r="FW78" s="874"/>
      <c r="FX78" s="874"/>
      <c r="FY78" s="809"/>
      <c r="FZ78" s="874"/>
      <c r="GA78" s="874"/>
      <c r="GB78" s="874"/>
      <c r="GC78" s="809"/>
      <c r="GD78" s="874"/>
      <c r="GE78" s="874"/>
      <c r="GF78" s="874"/>
      <c r="GG78" s="809"/>
      <c r="GH78" s="874"/>
      <c r="GI78" s="874"/>
      <c r="GJ78" s="874"/>
      <c r="GK78" s="809"/>
      <c r="GL78" s="874"/>
      <c r="GM78" s="874"/>
      <c r="GN78" s="874"/>
      <c r="GO78" s="809"/>
      <c r="GP78" s="874"/>
      <c r="GQ78" s="874"/>
      <c r="GR78" s="874"/>
      <c r="GS78" s="809"/>
      <c r="GT78" s="874"/>
      <c r="GU78" s="874"/>
      <c r="GV78" s="874"/>
      <c r="GW78" s="809"/>
      <c r="GX78" s="874"/>
      <c r="GY78" s="874"/>
      <c r="GZ78" s="874"/>
      <c r="HA78" s="809"/>
      <c r="HT78" s="874"/>
      <c r="HU78" s="809"/>
      <c r="HV78" s="874"/>
      <c r="HW78" s="874"/>
      <c r="HX78" s="874"/>
      <c r="HY78" s="809"/>
      <c r="HZ78" s="874"/>
      <c r="IA78" s="874"/>
      <c r="IB78" s="874"/>
      <c r="IC78" s="809"/>
      <c r="ID78" s="874"/>
      <c r="IE78" s="874"/>
      <c r="IF78" s="874"/>
      <c r="IG78" s="809"/>
      <c r="IH78" s="874"/>
      <c r="II78" s="874"/>
      <c r="IJ78" s="874"/>
      <c r="IK78" s="809"/>
      <c r="IL78" s="874"/>
      <c r="IM78" s="874"/>
      <c r="IN78" s="874"/>
      <c r="IO78" s="809"/>
      <c r="IP78" s="874"/>
      <c r="IQ78" s="874"/>
      <c r="IR78" s="874"/>
      <c r="IS78" s="809"/>
      <c r="IT78" s="874"/>
      <c r="IU78" s="874"/>
      <c r="IV78" s="874"/>
      <c r="IW78" s="809"/>
      <c r="IX78" s="874"/>
      <c r="IY78" s="874"/>
      <c r="IZ78" s="874"/>
      <c r="JA78" s="809"/>
      <c r="JB78" s="874"/>
      <c r="JC78" s="874"/>
      <c r="JD78" s="874"/>
      <c r="JE78" s="809"/>
      <c r="JF78" s="874"/>
      <c r="JG78" s="874"/>
      <c r="JH78" s="874"/>
      <c r="JI78" s="809"/>
      <c r="JJ78" s="874"/>
      <c r="JK78" s="874"/>
      <c r="JL78" s="874"/>
      <c r="JM78" s="809"/>
      <c r="JN78" s="874"/>
      <c r="JO78" s="874"/>
      <c r="JP78" s="874"/>
      <c r="JQ78" s="874"/>
      <c r="JR78" s="874"/>
      <c r="JS78" s="874"/>
      <c r="JT78" s="874"/>
      <c r="JU78" s="874"/>
      <c r="JV78" s="874"/>
      <c r="JW78" s="874"/>
      <c r="JX78" s="874"/>
      <c r="JY78" s="874"/>
      <c r="JZ78" s="874"/>
      <c r="KA78" s="874"/>
      <c r="KB78" s="874"/>
      <c r="KC78" s="874"/>
      <c r="KD78" s="874"/>
      <c r="KE78" s="874"/>
      <c r="KF78" s="874"/>
      <c r="KG78" s="809"/>
      <c r="KK78" s="809"/>
      <c r="KS78" s="809"/>
      <c r="NH78" s="829"/>
      <c r="NI78" s="1019"/>
    </row>
    <row r="79" spans="1:376" ht="12.75" customHeight="1">
      <c r="A79" s="874"/>
      <c r="B79" s="940" t="s">
        <v>259</v>
      </c>
      <c r="C79" s="938"/>
      <c r="D79" s="874"/>
      <c r="E79" s="874"/>
      <c r="F79" s="874"/>
      <c r="G79" s="811"/>
      <c r="H79" s="874"/>
      <c r="I79" s="809"/>
      <c r="J79" s="874"/>
      <c r="K79" s="811"/>
      <c r="L79" s="811"/>
      <c r="M79" s="811"/>
      <c r="N79" s="811"/>
      <c r="O79" s="811"/>
      <c r="P79" s="874"/>
      <c r="Q79" s="809"/>
      <c r="R79" s="874"/>
      <c r="S79" s="874"/>
      <c r="T79" s="874"/>
      <c r="U79" s="809"/>
      <c r="V79" s="874"/>
      <c r="W79" s="874"/>
      <c r="X79" s="874"/>
      <c r="Y79" s="809"/>
      <c r="Z79" s="874"/>
      <c r="AA79" s="874"/>
      <c r="AB79" s="874"/>
      <c r="AC79" s="809"/>
      <c r="AD79" s="874"/>
      <c r="AE79" s="874"/>
      <c r="AF79" s="874"/>
      <c r="AG79" s="809"/>
      <c r="AH79" s="874"/>
      <c r="AI79" s="874"/>
      <c r="AJ79" s="874"/>
      <c r="AK79" s="809"/>
      <c r="AL79" s="874"/>
      <c r="AM79" s="874"/>
      <c r="AN79" s="874"/>
      <c r="AO79" s="809"/>
      <c r="AP79" s="874"/>
      <c r="AQ79" s="874"/>
      <c r="AR79" s="874"/>
      <c r="AS79" s="809"/>
      <c r="AT79" s="874"/>
      <c r="AU79" s="874"/>
      <c r="AV79" s="874"/>
      <c r="AW79" s="809"/>
      <c r="AX79" s="874"/>
      <c r="AY79" s="874"/>
      <c r="AZ79" s="874"/>
      <c r="BA79" s="809"/>
      <c r="BB79" s="874"/>
      <c r="BC79" s="874"/>
      <c r="BD79" s="874"/>
      <c r="BE79" s="809"/>
      <c r="BF79" s="874"/>
      <c r="BG79" s="874"/>
      <c r="BH79" s="874"/>
      <c r="BI79" s="809"/>
      <c r="BJ79" s="874"/>
      <c r="BK79" s="874"/>
      <c r="BL79" s="874"/>
      <c r="BM79" s="809"/>
      <c r="BN79" s="874"/>
      <c r="BO79" s="874"/>
      <c r="BP79" s="874"/>
      <c r="BQ79" s="809"/>
      <c r="BR79" s="874"/>
      <c r="BS79" s="874"/>
      <c r="BT79" s="874"/>
      <c r="BU79" s="809"/>
      <c r="BV79" s="874"/>
      <c r="BW79" s="874"/>
      <c r="BX79" s="874"/>
      <c r="BY79" s="809"/>
      <c r="BZ79" s="947"/>
      <c r="CA79" s="947"/>
      <c r="CB79" s="874"/>
      <c r="CC79" s="874"/>
      <c r="CD79" s="874"/>
      <c r="CE79" s="874"/>
      <c r="CF79" s="874"/>
      <c r="CG79" s="809"/>
      <c r="CH79" s="874"/>
      <c r="CI79" s="874"/>
      <c r="CJ79" s="874"/>
      <c r="CK79" s="809"/>
      <c r="CL79" s="874"/>
      <c r="CM79" s="874"/>
      <c r="CN79" s="874"/>
      <c r="CO79" s="809"/>
      <c r="CP79" s="874"/>
      <c r="CQ79" s="874"/>
      <c r="CR79" s="874"/>
      <c r="CS79" s="809"/>
      <c r="CT79" s="874"/>
      <c r="CU79" s="874"/>
      <c r="CV79" s="874"/>
      <c r="CW79" s="809"/>
      <c r="CX79" s="874"/>
      <c r="CY79" s="874"/>
      <c r="CZ79" s="874"/>
      <c r="DA79" s="809"/>
      <c r="DB79" s="874"/>
      <c r="DC79" s="874"/>
      <c r="DD79" s="874"/>
      <c r="DE79" s="809"/>
      <c r="DF79" s="874"/>
      <c r="DG79" s="874"/>
      <c r="DH79" s="874"/>
      <c r="DI79" s="809"/>
      <c r="DJ79" s="874"/>
      <c r="DK79" s="874"/>
      <c r="DL79" s="874"/>
      <c r="DM79" s="809"/>
      <c r="DN79" s="874"/>
      <c r="DO79" s="874"/>
      <c r="DP79" s="874"/>
      <c r="DQ79" s="809"/>
      <c r="DR79" s="874"/>
      <c r="DS79" s="874"/>
      <c r="DT79" s="874"/>
      <c r="DU79" s="809"/>
      <c r="DV79" s="874"/>
      <c r="DW79" s="874"/>
      <c r="DX79" s="874"/>
      <c r="DY79" s="809"/>
      <c r="DZ79" s="874"/>
      <c r="EA79" s="874"/>
      <c r="EB79" s="874"/>
      <c r="EC79" s="809"/>
      <c r="ED79" s="874"/>
      <c r="EE79" s="874"/>
      <c r="EF79" s="874"/>
      <c r="EG79" s="809"/>
      <c r="EH79" s="874"/>
      <c r="EI79" s="874"/>
      <c r="EJ79" s="874"/>
      <c r="EK79" s="809"/>
      <c r="EL79" s="874"/>
      <c r="EM79" s="874"/>
      <c r="EN79" s="874"/>
      <c r="EO79" s="809"/>
      <c r="EP79" s="874"/>
      <c r="EQ79" s="874"/>
      <c r="ER79" s="874"/>
      <c r="ES79" s="809"/>
      <c r="ET79" s="874"/>
      <c r="EU79" s="874"/>
      <c r="EV79" s="874"/>
      <c r="EW79" s="809"/>
      <c r="EX79" s="874"/>
      <c r="EY79" s="874"/>
      <c r="EZ79" s="874"/>
      <c r="FA79" s="809"/>
      <c r="FB79" s="874"/>
      <c r="FC79" s="874"/>
      <c r="FD79" s="874"/>
      <c r="FE79" s="809"/>
      <c r="FF79" s="874"/>
      <c r="FG79" s="874"/>
      <c r="FH79" s="874"/>
      <c r="FI79" s="809"/>
      <c r="FJ79" s="874"/>
      <c r="FK79" s="874"/>
      <c r="FL79" s="874"/>
      <c r="FM79" s="809"/>
      <c r="FN79" s="874"/>
      <c r="FO79" s="874"/>
      <c r="FP79" s="874"/>
      <c r="FQ79" s="809"/>
      <c r="FR79" s="874"/>
      <c r="FS79" s="874"/>
      <c r="FT79" s="874"/>
      <c r="FU79" s="809"/>
      <c r="FV79" s="874"/>
      <c r="FW79" s="874"/>
      <c r="FX79" s="874"/>
      <c r="FY79" s="809"/>
      <c r="FZ79" s="874"/>
      <c r="GA79" s="874"/>
      <c r="GB79" s="874"/>
      <c r="GC79" s="809"/>
      <c r="GD79" s="874"/>
      <c r="GE79" s="874"/>
      <c r="GF79" s="874"/>
      <c r="GG79" s="809"/>
      <c r="GH79" s="874"/>
      <c r="GI79" s="874"/>
      <c r="GJ79" s="874"/>
      <c r="GK79" s="809"/>
      <c r="GL79" s="874"/>
      <c r="GM79" s="874"/>
      <c r="GN79" s="874"/>
      <c r="GO79" s="809"/>
      <c r="GP79" s="874"/>
      <c r="GQ79" s="874"/>
      <c r="GR79" s="874"/>
      <c r="GS79" s="809"/>
      <c r="GT79" s="874"/>
      <c r="GU79" s="874"/>
      <c r="GV79" s="874"/>
      <c r="GW79" s="809"/>
      <c r="GX79" s="874"/>
      <c r="GY79" s="874"/>
      <c r="GZ79" s="874"/>
      <c r="HA79" s="809"/>
      <c r="HT79" s="874"/>
      <c r="HU79" s="809"/>
      <c r="HV79" s="874"/>
      <c r="HW79" s="874"/>
      <c r="HX79" s="874"/>
      <c r="HY79" s="809"/>
      <c r="HZ79" s="874"/>
      <c r="IA79" s="874"/>
      <c r="IB79" s="874"/>
      <c r="IC79" s="809"/>
      <c r="ID79" s="874"/>
      <c r="IE79" s="874"/>
      <c r="IF79" s="874"/>
      <c r="IG79" s="809"/>
      <c r="IH79" s="874"/>
      <c r="II79" s="874"/>
      <c r="IJ79" s="874"/>
      <c r="IK79" s="809"/>
      <c r="IL79" s="874"/>
      <c r="IM79" s="874"/>
      <c r="IN79" s="874"/>
      <c r="IO79" s="809"/>
      <c r="IP79" s="874"/>
      <c r="IQ79" s="874"/>
      <c r="IR79" s="874"/>
      <c r="IS79" s="809"/>
      <c r="IT79" s="874"/>
      <c r="IU79" s="874"/>
      <c r="IV79" s="874"/>
      <c r="IW79" s="809"/>
      <c r="IX79" s="874"/>
      <c r="IY79" s="874"/>
      <c r="IZ79" s="874"/>
      <c r="JA79" s="809"/>
      <c r="JB79" s="874"/>
      <c r="JC79" s="874"/>
      <c r="JD79" s="874"/>
      <c r="JE79" s="809"/>
      <c r="JF79" s="874"/>
      <c r="JG79" s="874"/>
      <c r="JH79" s="874"/>
      <c r="JI79" s="809"/>
      <c r="JJ79" s="874"/>
      <c r="JK79" s="874"/>
      <c r="JL79" s="874"/>
      <c r="JM79" s="809"/>
      <c r="JN79" s="874"/>
      <c r="JO79" s="874"/>
      <c r="JP79" s="874"/>
      <c r="JQ79" s="874"/>
      <c r="JR79" s="874"/>
      <c r="JS79" s="874"/>
      <c r="JT79" s="874"/>
      <c r="JU79" s="874"/>
      <c r="JV79" s="874"/>
      <c r="JW79" s="874"/>
      <c r="JX79" s="874"/>
      <c r="JY79" s="874"/>
      <c r="JZ79" s="874"/>
      <c r="KA79" s="874"/>
      <c r="KB79" s="874"/>
      <c r="KC79" s="874"/>
      <c r="KD79" s="874"/>
      <c r="KE79" s="874"/>
      <c r="KF79" s="874"/>
      <c r="KG79" s="809"/>
      <c r="KK79" s="809"/>
      <c r="KS79" s="809"/>
      <c r="NH79" s="1019"/>
      <c r="NI79" s="1019"/>
    </row>
    <row r="80" spans="1:376" ht="12.75" customHeight="1">
      <c r="A80" s="874"/>
      <c r="B80" s="940" t="s">
        <v>1604</v>
      </c>
      <c r="C80" s="938"/>
      <c r="D80" s="874"/>
      <c r="E80" s="874"/>
      <c r="F80" s="874"/>
      <c r="G80" s="811"/>
      <c r="H80" s="874"/>
      <c r="I80" s="809"/>
      <c r="J80" s="874"/>
      <c r="K80" s="811"/>
      <c r="L80" s="811"/>
      <c r="M80" s="811"/>
      <c r="N80" s="811"/>
      <c r="O80" s="811"/>
      <c r="P80" s="874"/>
      <c r="Q80" s="809"/>
      <c r="R80" s="874"/>
      <c r="S80" s="874"/>
      <c r="T80" s="874"/>
      <c r="U80" s="809"/>
      <c r="V80" s="874"/>
      <c r="W80" s="874"/>
      <c r="X80" s="874"/>
      <c r="Y80" s="809"/>
      <c r="Z80" s="874"/>
      <c r="AA80" s="874"/>
      <c r="AB80" s="874"/>
      <c r="AC80" s="809"/>
      <c r="AD80" s="874"/>
      <c r="AE80" s="874"/>
      <c r="AF80" s="874"/>
      <c r="AG80" s="809"/>
      <c r="AH80" s="874"/>
      <c r="AI80" s="874"/>
      <c r="AJ80" s="874"/>
      <c r="AK80" s="809"/>
      <c r="AL80" s="874"/>
      <c r="AM80" s="874"/>
      <c r="AN80" s="874"/>
      <c r="AO80" s="809"/>
      <c r="AP80" s="874"/>
      <c r="AQ80" s="874"/>
      <c r="AR80" s="874"/>
      <c r="AS80" s="809"/>
      <c r="AT80" s="874"/>
      <c r="AU80" s="874"/>
      <c r="AV80" s="874"/>
      <c r="AW80" s="809"/>
      <c r="AX80" s="874"/>
      <c r="AY80" s="874"/>
      <c r="AZ80" s="874"/>
      <c r="BA80" s="809"/>
      <c r="BB80" s="874"/>
      <c r="BC80" s="874"/>
      <c r="BD80" s="874"/>
      <c r="BE80" s="809"/>
      <c r="BF80" s="874"/>
      <c r="BG80" s="874"/>
      <c r="BH80" s="874"/>
      <c r="BI80" s="809"/>
      <c r="BJ80" s="874"/>
      <c r="BK80" s="874"/>
      <c r="BL80" s="874"/>
      <c r="BM80" s="809"/>
      <c r="BN80" s="874"/>
      <c r="BO80" s="874"/>
      <c r="BP80" s="874"/>
      <c r="BQ80" s="809"/>
      <c r="BR80" s="874"/>
      <c r="BS80" s="874"/>
      <c r="BT80" s="874"/>
      <c r="BU80" s="809"/>
      <c r="BV80" s="874"/>
      <c r="BW80" s="874"/>
      <c r="BX80" s="874"/>
      <c r="BY80" s="809"/>
      <c r="BZ80" s="1023"/>
      <c r="CA80" s="947"/>
      <c r="CB80" s="874"/>
      <c r="CC80" s="874"/>
      <c r="CD80" s="874"/>
      <c r="CE80" s="874"/>
      <c r="CF80" s="874"/>
      <c r="CG80" s="809"/>
      <c r="CH80" s="874"/>
      <c r="CI80" s="874"/>
      <c r="CJ80" s="874"/>
      <c r="CK80" s="809"/>
      <c r="CL80" s="874"/>
      <c r="CM80" s="874"/>
      <c r="CN80" s="874"/>
      <c r="CO80" s="809"/>
      <c r="CP80" s="874"/>
      <c r="CQ80" s="874"/>
      <c r="CR80" s="874"/>
      <c r="CS80" s="809"/>
      <c r="CT80" s="874"/>
      <c r="CU80" s="874"/>
      <c r="CV80" s="874"/>
      <c r="CW80" s="809"/>
      <c r="CX80" s="874"/>
      <c r="CY80" s="874"/>
      <c r="CZ80" s="874"/>
      <c r="DA80" s="809"/>
      <c r="DB80" s="874"/>
      <c r="DC80" s="874"/>
      <c r="DD80" s="874"/>
      <c r="DE80" s="809"/>
      <c r="DF80" s="874"/>
      <c r="DG80" s="874"/>
      <c r="DH80" s="874"/>
      <c r="DI80" s="809"/>
      <c r="DJ80" s="874"/>
      <c r="DK80" s="874"/>
      <c r="DL80" s="874"/>
      <c r="DM80" s="809"/>
      <c r="DN80" s="874"/>
      <c r="DO80" s="874"/>
      <c r="DP80" s="874"/>
      <c r="DQ80" s="809"/>
      <c r="DR80" s="874"/>
      <c r="DS80" s="874"/>
      <c r="DT80" s="874"/>
      <c r="DU80" s="809"/>
      <c r="DV80" s="874"/>
      <c r="DW80" s="874"/>
      <c r="DX80" s="874"/>
      <c r="DY80" s="809"/>
      <c r="DZ80" s="874"/>
      <c r="EA80" s="874"/>
      <c r="EB80" s="874"/>
      <c r="EC80" s="809"/>
      <c r="ED80" s="874"/>
      <c r="EE80" s="874"/>
      <c r="EF80" s="874"/>
      <c r="EG80" s="809"/>
      <c r="EH80" s="874"/>
      <c r="EI80" s="874"/>
      <c r="EJ80" s="874"/>
      <c r="EK80" s="809"/>
      <c r="EL80" s="874"/>
      <c r="EM80" s="874"/>
      <c r="EN80" s="874"/>
      <c r="EO80" s="809"/>
      <c r="EP80" s="874"/>
      <c r="EQ80" s="874"/>
      <c r="ER80" s="874"/>
      <c r="ES80" s="809"/>
      <c r="ET80" s="874"/>
      <c r="EU80" s="874"/>
      <c r="EV80" s="874"/>
      <c r="EW80" s="809"/>
      <c r="EX80" s="874"/>
      <c r="EY80" s="874"/>
      <c r="EZ80" s="874"/>
      <c r="FA80" s="809"/>
      <c r="FB80" s="874"/>
      <c r="FC80" s="874"/>
      <c r="FD80" s="874"/>
      <c r="FE80" s="809"/>
      <c r="FF80" s="874"/>
      <c r="FG80" s="874"/>
      <c r="FH80" s="874"/>
      <c r="FI80" s="809"/>
      <c r="FJ80" s="874"/>
      <c r="FK80" s="874"/>
      <c r="FL80" s="874"/>
      <c r="FM80" s="809"/>
      <c r="FN80" s="874"/>
      <c r="FO80" s="874"/>
      <c r="FP80" s="874"/>
      <c r="FQ80" s="809"/>
      <c r="FR80" s="874"/>
      <c r="FS80" s="874"/>
      <c r="FT80" s="874"/>
      <c r="FU80" s="809"/>
      <c r="FV80" s="874"/>
      <c r="FW80" s="874"/>
      <c r="FX80" s="874"/>
      <c r="FY80" s="809"/>
      <c r="FZ80" s="874"/>
      <c r="GA80" s="874"/>
      <c r="GB80" s="874"/>
      <c r="GC80" s="809"/>
      <c r="GD80" s="874"/>
      <c r="GE80" s="874"/>
      <c r="GF80" s="874"/>
      <c r="GG80" s="809"/>
      <c r="GH80" s="874"/>
      <c r="GI80" s="874"/>
      <c r="GJ80" s="874"/>
      <c r="GK80" s="809"/>
      <c r="GL80" s="874"/>
      <c r="GM80" s="874"/>
      <c r="GN80" s="874"/>
      <c r="GO80" s="809"/>
      <c r="GP80" s="874"/>
      <c r="GQ80" s="874"/>
      <c r="GR80" s="874"/>
      <c r="GS80" s="809"/>
      <c r="GT80" s="874"/>
      <c r="GU80" s="874"/>
      <c r="GV80" s="874"/>
      <c r="GW80" s="809"/>
      <c r="GX80" s="874"/>
      <c r="GY80" s="874"/>
      <c r="GZ80" s="874"/>
      <c r="HA80" s="809"/>
      <c r="HT80" s="874"/>
      <c r="HU80" s="809"/>
      <c r="HV80" s="874"/>
      <c r="HW80" s="874"/>
      <c r="HX80" s="874"/>
      <c r="HY80" s="809"/>
      <c r="HZ80" s="874"/>
      <c r="IA80" s="874"/>
      <c r="IB80" s="874"/>
      <c r="IC80" s="809"/>
      <c r="ID80" s="874"/>
      <c r="IE80" s="874"/>
      <c r="IF80" s="874"/>
      <c r="IG80" s="809"/>
      <c r="IH80" s="874"/>
      <c r="II80" s="874"/>
      <c r="IJ80" s="874"/>
      <c r="IK80" s="809"/>
      <c r="IL80" s="874"/>
      <c r="IM80" s="874"/>
      <c r="IN80" s="874"/>
      <c r="IO80" s="809"/>
      <c r="IP80" s="874"/>
      <c r="IQ80" s="874"/>
      <c r="IR80" s="874"/>
      <c r="IS80" s="809"/>
      <c r="IT80" s="874"/>
      <c r="IU80" s="874"/>
      <c r="IV80" s="874"/>
      <c r="IW80" s="809"/>
      <c r="IX80" s="874"/>
      <c r="IY80" s="874"/>
      <c r="IZ80" s="874"/>
      <c r="JA80" s="809"/>
      <c r="JB80" s="874"/>
      <c r="JC80" s="874"/>
      <c r="JD80" s="874"/>
      <c r="JE80" s="809"/>
      <c r="JF80" s="874"/>
      <c r="JG80" s="874"/>
      <c r="JH80" s="874"/>
      <c r="JI80" s="809"/>
      <c r="JJ80" s="874"/>
      <c r="JK80" s="874"/>
      <c r="JL80" s="874"/>
      <c r="JM80" s="809"/>
      <c r="JN80" s="874"/>
      <c r="JO80" s="874"/>
      <c r="JP80" s="874"/>
      <c r="JQ80" s="874"/>
      <c r="JR80" s="874"/>
      <c r="JS80" s="874"/>
      <c r="JT80" s="874"/>
      <c r="JU80" s="874"/>
      <c r="JV80" s="874"/>
      <c r="JW80" s="874"/>
      <c r="JX80" s="874"/>
      <c r="JY80" s="874"/>
      <c r="JZ80" s="874"/>
      <c r="KA80" s="874"/>
      <c r="KB80" s="874"/>
      <c r="KC80" s="874"/>
      <c r="KD80" s="874"/>
      <c r="KE80" s="874"/>
      <c r="KF80" s="874"/>
      <c r="KG80" s="809"/>
      <c r="KK80" s="809"/>
      <c r="KS80" s="809"/>
      <c r="NH80" s="829"/>
      <c r="NI80" s="1019"/>
    </row>
    <row r="81" spans="1:381">
      <c r="A81" s="874"/>
      <c r="B81" s="940" t="s">
        <v>470</v>
      </c>
      <c r="C81" s="938"/>
      <c r="D81" s="874"/>
      <c r="E81" s="874"/>
      <c r="F81" s="874"/>
      <c r="G81" s="811"/>
      <c r="H81" s="874"/>
      <c r="I81" s="809"/>
      <c r="J81" s="874"/>
      <c r="K81" s="811"/>
      <c r="L81" s="811"/>
      <c r="M81" s="811"/>
      <c r="N81" s="811"/>
      <c r="O81" s="811"/>
      <c r="P81" s="874"/>
      <c r="Q81" s="809"/>
      <c r="R81" s="874"/>
      <c r="S81" s="874"/>
      <c r="T81" s="874"/>
      <c r="U81" s="809"/>
      <c r="V81" s="874"/>
      <c r="W81" s="874"/>
      <c r="X81" s="874"/>
      <c r="Y81" s="809"/>
      <c r="Z81" s="874"/>
      <c r="AA81" s="874"/>
      <c r="AB81" s="874"/>
      <c r="AC81" s="809"/>
      <c r="AD81" s="874"/>
      <c r="AE81" s="874"/>
      <c r="AF81" s="874"/>
      <c r="AG81" s="809"/>
      <c r="AH81" s="874"/>
      <c r="AI81" s="874"/>
      <c r="AJ81" s="874"/>
      <c r="AK81" s="809"/>
      <c r="AL81" s="874"/>
      <c r="AM81" s="874"/>
      <c r="AN81" s="874"/>
      <c r="AO81" s="809"/>
      <c r="AP81" s="874"/>
      <c r="AQ81" s="874"/>
      <c r="AR81" s="874"/>
      <c r="AS81" s="809"/>
      <c r="AT81" s="874"/>
      <c r="AU81" s="874"/>
      <c r="AV81" s="874"/>
      <c r="AW81" s="809"/>
      <c r="AX81" s="874"/>
      <c r="AY81" s="874"/>
      <c r="AZ81" s="874"/>
      <c r="BA81" s="809"/>
      <c r="BB81" s="874"/>
      <c r="BC81" s="874"/>
      <c r="BD81" s="874"/>
      <c r="BE81" s="809"/>
      <c r="BF81" s="874"/>
      <c r="BG81" s="874"/>
      <c r="BH81" s="874"/>
      <c r="BI81" s="809"/>
      <c r="BJ81" s="874"/>
      <c r="BK81" s="874"/>
      <c r="BL81" s="874"/>
      <c r="BM81" s="809"/>
      <c r="BN81" s="874"/>
      <c r="BO81" s="874"/>
      <c r="BP81" s="874"/>
      <c r="BQ81" s="809"/>
      <c r="BR81" s="874"/>
      <c r="BS81" s="874"/>
      <c r="BT81" s="874"/>
      <c r="BU81" s="809"/>
      <c r="BV81" s="874"/>
      <c r="BW81" s="874"/>
      <c r="BX81" s="874"/>
      <c r="BY81" s="809"/>
      <c r="BZ81" s="874"/>
      <c r="CA81" s="977"/>
      <c r="CB81" s="874"/>
      <c r="CC81" s="874"/>
      <c r="CD81" s="874"/>
      <c r="CE81" s="874"/>
      <c r="CF81" s="874"/>
      <c r="CG81" s="809"/>
      <c r="CH81" s="874"/>
      <c r="CI81" s="874"/>
      <c r="CJ81" s="874"/>
      <c r="CK81" s="809"/>
      <c r="CL81" s="874"/>
      <c r="CM81" s="874"/>
      <c r="CN81" s="874"/>
      <c r="CO81" s="809"/>
      <c r="CP81" s="874"/>
      <c r="CQ81" s="874"/>
      <c r="CR81" s="874"/>
      <c r="CS81" s="809"/>
      <c r="CT81" s="874"/>
      <c r="CU81" s="874"/>
      <c r="CV81" s="874"/>
      <c r="CW81" s="809"/>
      <c r="CX81" s="874"/>
      <c r="CY81" s="874"/>
      <c r="CZ81" s="874"/>
      <c r="DA81" s="809"/>
      <c r="DB81" s="874"/>
      <c r="DC81" s="874"/>
      <c r="DD81" s="874"/>
      <c r="DE81" s="809"/>
      <c r="DF81" s="874"/>
      <c r="DG81" s="874"/>
      <c r="DH81" s="874"/>
      <c r="DI81" s="809"/>
      <c r="DJ81" s="874"/>
      <c r="DK81" s="874"/>
      <c r="DL81" s="874"/>
      <c r="DM81" s="809"/>
      <c r="DN81" s="874"/>
      <c r="DO81" s="874"/>
      <c r="DP81" s="874"/>
      <c r="DQ81" s="809"/>
      <c r="DR81" s="874"/>
      <c r="DS81" s="874"/>
      <c r="DT81" s="874"/>
      <c r="DU81" s="809"/>
      <c r="DV81" s="874"/>
      <c r="DW81" s="874"/>
      <c r="DX81" s="874"/>
      <c r="DY81" s="809"/>
      <c r="DZ81" s="874"/>
      <c r="EA81" s="874"/>
      <c r="EB81" s="874"/>
      <c r="EC81" s="809"/>
      <c r="ED81" s="874"/>
      <c r="EE81" s="874"/>
      <c r="EF81" s="874"/>
      <c r="EG81" s="809"/>
      <c r="EH81" s="874"/>
      <c r="EI81" s="874"/>
      <c r="EJ81" s="874"/>
      <c r="EK81" s="809"/>
      <c r="EL81" s="874"/>
      <c r="EM81" s="874"/>
      <c r="EN81" s="874"/>
      <c r="EO81" s="809"/>
      <c r="EP81" s="874"/>
      <c r="EQ81" s="874"/>
      <c r="ER81" s="874"/>
      <c r="ES81" s="809"/>
      <c r="ET81" s="874"/>
      <c r="EU81" s="874"/>
      <c r="EV81" s="874"/>
      <c r="EW81" s="809"/>
      <c r="EX81" s="874"/>
      <c r="EY81" s="874"/>
      <c r="EZ81" s="874"/>
      <c r="FA81" s="809"/>
      <c r="FB81" s="874"/>
      <c r="FC81" s="874"/>
      <c r="FD81" s="874"/>
      <c r="FE81" s="809"/>
      <c r="FF81" s="874"/>
      <c r="FG81" s="874"/>
      <c r="FH81" s="874"/>
      <c r="FI81" s="809"/>
      <c r="FJ81" s="874"/>
      <c r="FK81" s="874"/>
      <c r="FL81" s="874"/>
      <c r="FM81" s="809"/>
      <c r="FN81" s="874"/>
      <c r="FO81" s="874"/>
      <c r="FP81" s="874"/>
      <c r="FQ81" s="809"/>
      <c r="FR81" s="874"/>
      <c r="FS81" s="874"/>
      <c r="FT81" s="874"/>
      <c r="FU81" s="809"/>
      <c r="FV81" s="874"/>
      <c r="FW81" s="874"/>
      <c r="FX81" s="874"/>
      <c r="FY81" s="809"/>
      <c r="FZ81" s="874"/>
      <c r="GA81" s="874"/>
      <c r="GB81" s="874"/>
      <c r="GC81" s="809"/>
      <c r="GD81" s="874"/>
      <c r="GE81" s="874"/>
      <c r="GF81" s="874"/>
      <c r="GG81" s="809"/>
      <c r="GH81" s="874"/>
      <c r="GI81" s="874"/>
      <c r="GJ81" s="874"/>
      <c r="GK81" s="809"/>
      <c r="GL81" s="874"/>
      <c r="GM81" s="874"/>
      <c r="GN81" s="874"/>
      <c r="GO81" s="809"/>
      <c r="GP81" s="874"/>
      <c r="GQ81" s="874"/>
      <c r="GR81" s="874"/>
      <c r="GS81" s="809"/>
      <c r="GT81" s="874"/>
      <c r="GU81" s="874"/>
      <c r="GV81" s="874"/>
      <c r="GW81" s="809"/>
      <c r="GX81" s="874"/>
      <c r="GY81" s="874"/>
      <c r="GZ81" s="874"/>
      <c r="HA81" s="809"/>
      <c r="HT81" s="874"/>
      <c r="HU81" s="809"/>
      <c r="HV81" s="874"/>
      <c r="HW81" s="874"/>
      <c r="HX81" s="874"/>
      <c r="HY81" s="809"/>
      <c r="HZ81" s="874"/>
      <c r="IA81" s="874"/>
      <c r="IB81" s="874"/>
      <c r="IC81" s="809"/>
      <c r="ID81" s="874"/>
      <c r="IE81" s="874"/>
      <c r="IF81" s="874"/>
      <c r="IG81" s="809"/>
      <c r="IH81" s="874"/>
      <c r="II81" s="874"/>
      <c r="IJ81" s="874"/>
      <c r="IK81" s="809"/>
      <c r="IL81" s="874"/>
      <c r="IM81" s="874"/>
      <c r="IN81" s="874"/>
      <c r="IO81" s="809"/>
      <c r="IP81" s="874"/>
      <c r="IQ81" s="874"/>
      <c r="IR81" s="874"/>
      <c r="IS81" s="809"/>
      <c r="IT81" s="874"/>
      <c r="IU81" s="874"/>
      <c r="IV81" s="874"/>
      <c r="IW81" s="809"/>
      <c r="IX81" s="874"/>
      <c r="IY81" s="874"/>
      <c r="IZ81" s="874"/>
      <c r="JA81" s="809"/>
      <c r="JB81" s="874"/>
      <c r="JC81" s="874"/>
      <c r="JD81" s="874"/>
      <c r="JE81" s="809"/>
      <c r="JF81" s="874"/>
      <c r="JG81" s="874"/>
      <c r="JH81" s="874"/>
      <c r="JI81" s="809"/>
      <c r="JJ81" s="874"/>
      <c r="JK81" s="874"/>
      <c r="JL81" s="874"/>
      <c r="JM81" s="809"/>
      <c r="JN81" s="874"/>
      <c r="JO81" s="874"/>
      <c r="JP81" s="874"/>
      <c r="JQ81" s="874"/>
      <c r="JR81" s="874"/>
      <c r="JS81" s="874"/>
      <c r="JT81" s="874"/>
      <c r="JU81" s="874"/>
      <c r="JV81" s="874"/>
      <c r="JW81" s="874"/>
      <c r="JX81" s="874"/>
      <c r="JY81" s="874"/>
      <c r="JZ81" s="874"/>
      <c r="KA81" s="874"/>
      <c r="KB81" s="874"/>
      <c r="KC81" s="874"/>
      <c r="KD81" s="874"/>
      <c r="KE81" s="874"/>
      <c r="KF81" s="874"/>
      <c r="KG81" s="809"/>
      <c r="KK81" s="809"/>
      <c r="KS81" s="809"/>
      <c r="NI81" s="1019"/>
      <c r="NJ81" s="1019"/>
    </row>
    <row r="82" spans="1:381">
      <c r="A82" s="874"/>
      <c r="B82" s="940" t="s">
        <v>469</v>
      </c>
      <c r="C82" s="938"/>
      <c r="D82" s="874"/>
      <c r="E82" s="874"/>
      <c r="F82" s="874"/>
      <c r="G82" s="811"/>
      <c r="H82" s="874"/>
      <c r="I82" s="809"/>
      <c r="J82" s="874"/>
      <c r="K82" s="811"/>
      <c r="L82" s="811"/>
      <c r="M82" s="811"/>
      <c r="N82" s="811"/>
      <c r="O82" s="811"/>
      <c r="P82" s="874"/>
      <c r="Q82" s="809"/>
      <c r="R82" s="874"/>
      <c r="S82" s="874"/>
      <c r="T82" s="874"/>
      <c r="U82" s="809"/>
      <c r="V82" s="874"/>
      <c r="W82" s="874"/>
      <c r="X82" s="874"/>
      <c r="Y82" s="809"/>
      <c r="Z82" s="874"/>
      <c r="AA82" s="874"/>
      <c r="AB82" s="874"/>
      <c r="AC82" s="809"/>
      <c r="AD82" s="874"/>
      <c r="AE82" s="874"/>
      <c r="AF82" s="874"/>
      <c r="AG82" s="809"/>
      <c r="AH82" s="874"/>
      <c r="AI82" s="874"/>
      <c r="AJ82" s="874"/>
      <c r="AK82" s="809"/>
      <c r="AL82" s="874"/>
      <c r="AM82" s="874"/>
      <c r="AN82" s="874"/>
      <c r="AO82" s="809"/>
      <c r="AP82" s="874"/>
      <c r="AQ82" s="874"/>
      <c r="AR82" s="874"/>
      <c r="AS82" s="809"/>
      <c r="AT82" s="874"/>
      <c r="AU82" s="874"/>
      <c r="AV82" s="874"/>
      <c r="AW82" s="809"/>
      <c r="AX82" s="874"/>
      <c r="AY82" s="874"/>
      <c r="AZ82" s="874"/>
      <c r="BA82" s="809"/>
      <c r="BB82" s="874"/>
      <c r="BC82" s="874"/>
      <c r="BD82" s="874"/>
      <c r="BE82" s="874"/>
      <c r="BF82" s="874"/>
      <c r="BG82" s="874"/>
      <c r="BH82" s="874"/>
      <c r="BI82" s="809"/>
      <c r="BJ82" s="874"/>
      <c r="BK82" s="874"/>
      <c r="BL82" s="874"/>
      <c r="BM82" s="809"/>
      <c r="BN82" s="874"/>
      <c r="BO82" s="874"/>
      <c r="BP82" s="874"/>
      <c r="BQ82" s="809"/>
      <c r="BR82" s="874"/>
      <c r="BS82" s="874"/>
      <c r="BT82" s="874"/>
      <c r="BU82" s="809"/>
      <c r="BV82" s="874"/>
      <c r="BW82" s="874"/>
      <c r="BX82" s="874"/>
      <c r="BY82" s="809"/>
      <c r="BZ82" s="874"/>
      <c r="CA82" s="874"/>
      <c r="CB82" s="874"/>
      <c r="CC82" s="874"/>
      <c r="CD82" s="874"/>
      <c r="CE82" s="874"/>
      <c r="CF82" s="874"/>
      <c r="CG82" s="809"/>
      <c r="CH82" s="874"/>
      <c r="CI82" s="874"/>
      <c r="CJ82" s="874"/>
      <c r="CK82" s="809"/>
      <c r="CL82" s="874"/>
      <c r="CM82" s="874"/>
      <c r="CN82" s="874"/>
      <c r="CO82" s="809"/>
      <c r="CP82" s="874"/>
      <c r="CQ82" s="874"/>
      <c r="CR82" s="874"/>
      <c r="CS82" s="809"/>
      <c r="CT82" s="874"/>
      <c r="CU82" s="874"/>
      <c r="CV82" s="874"/>
      <c r="CW82" s="809"/>
      <c r="CX82" s="874"/>
      <c r="CY82" s="874"/>
      <c r="CZ82" s="874"/>
      <c r="DA82" s="809"/>
      <c r="DB82" s="874"/>
      <c r="DC82" s="874"/>
      <c r="DD82" s="874"/>
      <c r="DE82" s="809"/>
      <c r="DF82" s="874"/>
      <c r="DG82" s="874"/>
      <c r="DH82" s="874"/>
      <c r="DI82" s="809"/>
      <c r="DJ82" s="874"/>
      <c r="DK82" s="874"/>
      <c r="DL82" s="874"/>
      <c r="DM82" s="809"/>
      <c r="DN82" s="874"/>
      <c r="DO82" s="874"/>
      <c r="DP82" s="874"/>
      <c r="DQ82" s="809"/>
      <c r="DR82" s="874"/>
      <c r="DS82" s="874"/>
      <c r="DT82" s="874"/>
      <c r="DU82" s="809"/>
      <c r="DV82" s="874"/>
      <c r="DW82" s="874"/>
      <c r="DX82" s="874"/>
      <c r="DY82" s="809"/>
      <c r="DZ82" s="874"/>
      <c r="EA82" s="874"/>
      <c r="EB82" s="874"/>
      <c r="EC82" s="809"/>
      <c r="ED82" s="874"/>
      <c r="EE82" s="874"/>
      <c r="EF82" s="874"/>
      <c r="EG82" s="809"/>
      <c r="EH82" s="874"/>
      <c r="EI82" s="874"/>
      <c r="EJ82" s="874"/>
      <c r="EK82" s="809"/>
      <c r="EL82" s="874"/>
      <c r="EM82" s="874"/>
      <c r="EN82" s="874"/>
      <c r="EO82" s="809"/>
      <c r="EP82" s="874"/>
      <c r="EQ82" s="874"/>
      <c r="ER82" s="874"/>
      <c r="ES82" s="809"/>
      <c r="ET82" s="874"/>
      <c r="EU82" s="874"/>
      <c r="EV82" s="874"/>
      <c r="EW82" s="809"/>
      <c r="EX82" s="874"/>
      <c r="EY82" s="874"/>
      <c r="EZ82" s="874"/>
      <c r="FA82" s="809"/>
      <c r="FB82" s="874"/>
      <c r="FC82" s="874"/>
      <c r="FD82" s="874"/>
      <c r="FE82" s="809"/>
      <c r="FF82" s="874"/>
      <c r="FG82" s="874"/>
      <c r="FH82" s="874"/>
      <c r="FI82" s="809"/>
      <c r="FJ82" s="874"/>
      <c r="FK82" s="874"/>
      <c r="FL82" s="874"/>
      <c r="FM82" s="809"/>
      <c r="FN82" s="874"/>
      <c r="FO82" s="874"/>
      <c r="FP82" s="874"/>
      <c r="FQ82" s="809"/>
      <c r="FR82" s="874"/>
      <c r="FS82" s="874"/>
      <c r="FT82" s="874"/>
      <c r="FU82" s="809"/>
      <c r="FV82" s="874"/>
      <c r="FW82" s="874"/>
      <c r="FX82" s="874"/>
      <c r="FY82" s="809"/>
      <c r="FZ82" s="874"/>
      <c r="GA82" s="874"/>
      <c r="GB82" s="874"/>
      <c r="GC82" s="809"/>
      <c r="GD82" s="874"/>
      <c r="GE82" s="874"/>
      <c r="GF82" s="874"/>
      <c r="GG82" s="809"/>
      <c r="GH82" s="874"/>
      <c r="GI82" s="874"/>
      <c r="GJ82" s="874"/>
      <c r="GK82" s="809"/>
      <c r="GL82" s="874"/>
      <c r="GM82" s="874"/>
      <c r="GN82" s="874"/>
      <c r="GO82" s="809"/>
      <c r="GP82" s="874"/>
      <c r="GQ82" s="874"/>
      <c r="GR82" s="874"/>
      <c r="GS82" s="809"/>
      <c r="GT82" s="874"/>
      <c r="GU82" s="874"/>
      <c r="GV82" s="874"/>
      <c r="GW82" s="809"/>
      <c r="GX82" s="874"/>
      <c r="GY82" s="874"/>
      <c r="GZ82" s="874"/>
      <c r="HA82" s="809"/>
      <c r="HT82" s="874"/>
      <c r="HU82" s="809"/>
      <c r="HV82" s="874"/>
      <c r="HW82" s="874"/>
      <c r="HX82" s="874"/>
      <c r="HY82" s="809"/>
      <c r="HZ82" s="874"/>
      <c r="IA82" s="874"/>
      <c r="IB82" s="874"/>
      <c r="IC82" s="809"/>
      <c r="ID82" s="874"/>
      <c r="IE82" s="874"/>
      <c r="IF82" s="874"/>
      <c r="IG82" s="809"/>
      <c r="IH82" s="874"/>
      <c r="II82" s="874"/>
      <c r="IJ82" s="874"/>
      <c r="IK82" s="809"/>
      <c r="IL82" s="874"/>
      <c r="IM82" s="874"/>
      <c r="IN82" s="874"/>
      <c r="IO82" s="809"/>
      <c r="IP82" s="874"/>
      <c r="IQ82" s="874"/>
      <c r="IR82" s="874"/>
      <c r="IS82" s="809"/>
      <c r="IT82" s="874"/>
      <c r="IU82" s="874"/>
      <c r="IV82" s="874"/>
      <c r="IW82" s="809"/>
      <c r="IX82" s="874"/>
      <c r="IY82" s="874"/>
      <c r="IZ82" s="874"/>
      <c r="JA82" s="809"/>
      <c r="JB82" s="874"/>
      <c r="JC82" s="874"/>
      <c r="JD82" s="874"/>
      <c r="JE82" s="809"/>
      <c r="JF82" s="874"/>
      <c r="JG82" s="874"/>
      <c r="JH82" s="874"/>
      <c r="JI82" s="809"/>
      <c r="JJ82" s="874"/>
      <c r="JK82" s="874"/>
      <c r="JL82" s="874"/>
      <c r="JM82" s="809"/>
      <c r="JN82" s="874"/>
      <c r="JO82" s="874"/>
      <c r="JP82" s="874"/>
      <c r="JQ82" s="874"/>
      <c r="JR82" s="874"/>
      <c r="JS82" s="874"/>
      <c r="JT82" s="874"/>
      <c r="JU82" s="874"/>
      <c r="JV82" s="874"/>
      <c r="JW82" s="874"/>
      <c r="JX82" s="874"/>
      <c r="JY82" s="874"/>
      <c r="JZ82" s="874"/>
      <c r="KA82" s="874"/>
      <c r="KB82" s="874"/>
      <c r="KC82" s="874"/>
      <c r="KD82" s="874"/>
      <c r="KE82" s="874"/>
      <c r="KF82" s="874"/>
      <c r="KG82" s="809"/>
      <c r="KK82" s="809"/>
      <c r="KS82" s="809"/>
      <c r="NH82" s="829"/>
      <c r="NI82" s="1019"/>
    </row>
    <row r="83" spans="1:381">
      <c r="A83" s="874"/>
      <c r="B83" s="874"/>
      <c r="C83" s="938"/>
      <c r="D83" s="874"/>
      <c r="E83" s="874"/>
      <c r="F83" s="874"/>
      <c r="G83" s="811"/>
      <c r="H83" s="874"/>
      <c r="I83" s="809"/>
      <c r="J83" s="874"/>
      <c r="K83" s="811"/>
      <c r="L83" s="811"/>
      <c r="M83" s="811"/>
      <c r="N83" s="811"/>
      <c r="O83" s="811"/>
      <c r="P83" s="874"/>
      <c r="Q83" s="809"/>
      <c r="R83" s="874"/>
      <c r="S83" s="874"/>
      <c r="T83" s="874"/>
      <c r="U83" s="809"/>
      <c r="V83" s="874"/>
      <c r="W83" s="874"/>
      <c r="X83" s="874"/>
      <c r="Y83" s="809"/>
      <c r="Z83" s="874"/>
      <c r="AA83" s="874"/>
      <c r="AB83" s="874"/>
      <c r="AC83" s="809"/>
      <c r="AD83" s="874"/>
      <c r="AE83" s="874"/>
      <c r="AF83" s="874"/>
      <c r="AG83" s="809"/>
      <c r="AH83" s="874"/>
      <c r="AI83" s="874"/>
      <c r="AJ83" s="874"/>
      <c r="AK83" s="809"/>
      <c r="AL83" s="874"/>
      <c r="AM83" s="874"/>
      <c r="AN83" s="874"/>
      <c r="AO83" s="809"/>
      <c r="AP83" s="874"/>
      <c r="AQ83" s="874"/>
      <c r="AR83" s="874"/>
      <c r="AS83" s="809"/>
      <c r="AT83" s="874"/>
      <c r="AU83" s="874"/>
      <c r="AV83" s="874"/>
      <c r="AW83" s="809"/>
      <c r="AX83" s="874"/>
      <c r="AY83" s="874"/>
      <c r="AZ83" s="874"/>
      <c r="BA83" s="809"/>
      <c r="BB83" s="874"/>
      <c r="BC83" s="874"/>
      <c r="BD83" s="874"/>
      <c r="BF83" s="874"/>
      <c r="BG83" s="874"/>
      <c r="BH83" s="874"/>
      <c r="BI83" s="809"/>
      <c r="BJ83" s="874"/>
      <c r="BK83" s="874"/>
      <c r="BL83" s="874"/>
      <c r="BM83" s="809"/>
      <c r="BN83" s="874"/>
      <c r="BO83" s="874"/>
      <c r="BP83" s="874"/>
      <c r="BQ83" s="809"/>
      <c r="BR83" s="874"/>
      <c r="BS83" s="874"/>
      <c r="BT83" s="874"/>
      <c r="BU83" s="809"/>
      <c r="BV83" s="874"/>
      <c r="BW83" s="874"/>
      <c r="BX83" s="874"/>
      <c r="BY83" s="809"/>
      <c r="BZ83" s="874"/>
      <c r="CA83" s="874"/>
      <c r="CB83" s="874"/>
      <c r="CC83" s="874"/>
      <c r="CD83" s="874"/>
      <c r="CE83" s="874"/>
      <c r="CF83" s="874"/>
      <c r="CG83" s="809"/>
      <c r="CH83" s="874"/>
      <c r="CI83" s="874"/>
      <c r="CJ83" s="874"/>
      <c r="CK83" s="809"/>
      <c r="CL83" s="874"/>
      <c r="CM83" s="874"/>
      <c r="CN83" s="874"/>
      <c r="CO83" s="809"/>
      <c r="CP83" s="874"/>
      <c r="CQ83" s="874"/>
      <c r="CR83" s="874"/>
      <c r="CS83" s="809"/>
      <c r="CT83" s="874"/>
      <c r="CU83" s="874"/>
      <c r="CV83" s="874"/>
      <c r="CW83" s="809"/>
      <c r="CX83" s="874"/>
      <c r="CY83" s="874"/>
      <c r="CZ83" s="874"/>
      <c r="DA83" s="809"/>
      <c r="DB83" s="874"/>
      <c r="DC83" s="874"/>
      <c r="DD83" s="874"/>
      <c r="DE83" s="809"/>
      <c r="DF83" s="874"/>
      <c r="DG83" s="874"/>
      <c r="DH83" s="874"/>
      <c r="DI83" s="809"/>
      <c r="DJ83" s="874"/>
      <c r="DK83" s="874"/>
      <c r="DL83" s="874"/>
      <c r="DM83" s="809"/>
      <c r="DN83" s="874"/>
      <c r="DO83" s="874"/>
      <c r="DP83" s="874"/>
      <c r="DQ83" s="809"/>
      <c r="DR83" s="874"/>
      <c r="DS83" s="874"/>
      <c r="DT83" s="874"/>
      <c r="DU83" s="809"/>
      <c r="DV83" s="874"/>
      <c r="DW83" s="874"/>
      <c r="DX83" s="874"/>
      <c r="DY83" s="809"/>
      <c r="DZ83" s="874"/>
      <c r="EA83" s="874"/>
      <c r="EB83" s="874"/>
      <c r="EC83" s="809"/>
      <c r="ED83" s="874"/>
      <c r="EE83" s="874"/>
      <c r="EF83" s="874"/>
      <c r="EG83" s="809"/>
      <c r="EH83" s="874"/>
      <c r="EI83" s="874"/>
      <c r="EJ83" s="874"/>
      <c r="EK83" s="809"/>
      <c r="EL83" s="874"/>
      <c r="EM83" s="874"/>
      <c r="EN83" s="874"/>
      <c r="EO83" s="809"/>
      <c r="EP83" s="874"/>
      <c r="EQ83" s="874"/>
      <c r="ER83" s="874"/>
      <c r="ES83" s="809"/>
      <c r="ET83" s="874"/>
      <c r="EU83" s="874"/>
      <c r="EV83" s="874"/>
      <c r="EW83" s="809"/>
      <c r="EX83" s="874"/>
      <c r="EY83" s="874"/>
      <c r="EZ83" s="874"/>
      <c r="FA83" s="809"/>
      <c r="FB83" s="874"/>
      <c r="FC83" s="874"/>
      <c r="FD83" s="874"/>
      <c r="FE83" s="809"/>
      <c r="FF83" s="874"/>
      <c r="FG83" s="874"/>
      <c r="FH83" s="874"/>
      <c r="FI83" s="809"/>
      <c r="FJ83" s="874"/>
      <c r="FK83" s="874"/>
      <c r="FL83" s="874"/>
      <c r="FM83" s="809"/>
      <c r="FN83" s="874"/>
      <c r="FO83" s="874"/>
      <c r="FP83" s="874"/>
      <c r="FQ83" s="809"/>
      <c r="FR83" s="874"/>
      <c r="FS83" s="874"/>
      <c r="FT83" s="874"/>
      <c r="FU83" s="809"/>
      <c r="FV83" s="874"/>
      <c r="FW83" s="874"/>
      <c r="FX83" s="874"/>
      <c r="FY83" s="809"/>
      <c r="FZ83" s="874"/>
      <c r="GA83" s="874"/>
      <c r="GB83" s="874"/>
      <c r="GC83" s="809"/>
      <c r="GD83" s="874"/>
      <c r="GE83" s="874"/>
      <c r="GF83" s="874"/>
      <c r="GG83" s="809"/>
      <c r="GH83" s="874"/>
      <c r="GI83" s="874"/>
      <c r="GJ83" s="874"/>
      <c r="GK83" s="809"/>
      <c r="GL83" s="874"/>
      <c r="GM83" s="874"/>
      <c r="GN83" s="874"/>
      <c r="GO83" s="809"/>
      <c r="GP83" s="874"/>
      <c r="GQ83" s="874"/>
      <c r="GR83" s="874"/>
      <c r="GS83" s="809"/>
      <c r="GT83" s="874"/>
      <c r="GU83" s="874"/>
      <c r="GV83" s="874"/>
      <c r="GW83" s="809"/>
      <c r="GX83" s="874"/>
      <c r="GY83" s="874"/>
      <c r="GZ83" s="874"/>
      <c r="HA83" s="809"/>
      <c r="HT83" s="874"/>
      <c r="HU83" s="809"/>
      <c r="HV83" s="874"/>
      <c r="HW83" s="874"/>
      <c r="HX83" s="874"/>
      <c r="HY83" s="809"/>
      <c r="HZ83" s="874"/>
      <c r="IA83" s="874"/>
      <c r="IB83" s="874"/>
      <c r="IC83" s="809"/>
      <c r="ID83" s="874"/>
      <c r="IE83" s="874"/>
      <c r="IF83" s="874"/>
      <c r="IG83" s="809"/>
      <c r="IH83" s="874"/>
      <c r="II83" s="874"/>
      <c r="IJ83" s="874"/>
      <c r="IK83" s="809"/>
      <c r="IL83" s="874"/>
      <c r="IM83" s="874"/>
      <c r="IN83" s="874"/>
      <c r="IO83" s="809"/>
      <c r="IP83" s="874"/>
      <c r="IQ83" s="874"/>
      <c r="IR83" s="874"/>
      <c r="IS83" s="809"/>
      <c r="IT83" s="874"/>
      <c r="IU83" s="874"/>
      <c r="IV83" s="874"/>
      <c r="IW83" s="809"/>
      <c r="IX83" s="874"/>
      <c r="IY83" s="874"/>
      <c r="IZ83" s="874"/>
      <c r="JA83" s="809"/>
      <c r="JB83" s="874"/>
      <c r="JC83" s="874"/>
      <c r="JD83" s="874"/>
      <c r="JE83" s="809"/>
      <c r="JF83" s="874"/>
      <c r="JG83" s="874"/>
      <c r="JH83" s="874"/>
      <c r="JI83" s="809"/>
      <c r="JJ83" s="874"/>
      <c r="JK83" s="874"/>
      <c r="JL83" s="874"/>
      <c r="JM83" s="809"/>
      <c r="JN83" s="874"/>
      <c r="JO83" s="874"/>
      <c r="JP83" s="874"/>
      <c r="JQ83" s="874"/>
      <c r="JR83" s="874"/>
      <c r="JS83" s="874"/>
      <c r="JT83" s="874"/>
      <c r="JU83" s="874"/>
      <c r="JV83" s="874"/>
      <c r="JW83" s="874"/>
      <c r="JX83" s="874"/>
      <c r="JY83" s="874"/>
      <c r="JZ83" s="874"/>
      <c r="KA83" s="874"/>
      <c r="KB83" s="874"/>
      <c r="KC83" s="874"/>
      <c r="KD83" s="874"/>
      <c r="KE83" s="874"/>
      <c r="KF83" s="874"/>
      <c r="KG83" s="809"/>
      <c r="KK83" s="809"/>
      <c r="KS83" s="809"/>
    </row>
    <row r="84" spans="1:381">
      <c r="A84" s="874"/>
      <c r="B84" s="874" t="s">
        <v>467</v>
      </c>
      <c r="C84" s="938"/>
      <c r="D84" s="874" t="s">
        <v>262</v>
      </c>
      <c r="E84" s="874"/>
      <c r="F84" s="874"/>
      <c r="G84" s="811"/>
      <c r="H84" s="874"/>
      <c r="I84" s="874"/>
      <c r="J84" s="1024"/>
      <c r="K84" s="811"/>
      <c r="L84" s="811"/>
      <c r="M84" s="811"/>
      <c r="N84" s="811"/>
      <c r="O84" s="811"/>
      <c r="P84" s="874"/>
      <c r="Q84" s="874"/>
      <c r="R84" s="874"/>
      <c r="S84" s="874"/>
      <c r="T84" s="874"/>
      <c r="U84" s="874"/>
      <c r="V84" s="874"/>
      <c r="W84" s="874"/>
      <c r="X84" s="874"/>
      <c r="Y84" s="874"/>
      <c r="Z84" s="874"/>
      <c r="AA84" s="874"/>
      <c r="AB84" s="874"/>
      <c r="AC84" s="874"/>
      <c r="AD84" s="874"/>
      <c r="AE84" s="874"/>
      <c r="AF84" s="874"/>
      <c r="AG84" s="874"/>
      <c r="AH84" s="874"/>
      <c r="AI84" s="874"/>
      <c r="AJ84" s="874"/>
      <c r="AK84" s="874"/>
      <c r="AL84" s="874"/>
      <c r="AM84" s="874"/>
      <c r="AN84" s="874"/>
      <c r="AO84" s="874"/>
      <c r="AP84" s="874"/>
      <c r="AQ84" s="874"/>
      <c r="AR84" s="874"/>
      <c r="AS84" s="874"/>
      <c r="AT84" s="874"/>
      <c r="AU84" s="874"/>
      <c r="AV84" s="874"/>
      <c r="AW84" s="874"/>
      <c r="AX84" s="874"/>
      <c r="AY84" s="874"/>
      <c r="AZ84" s="874"/>
      <c r="BA84" s="874"/>
      <c r="BB84" s="874"/>
      <c r="BC84" s="874"/>
      <c r="BD84" s="874"/>
      <c r="BE84" s="809"/>
      <c r="BF84" s="809"/>
      <c r="BG84" s="874"/>
      <c r="BH84" s="874"/>
      <c r="BI84" s="874"/>
      <c r="BJ84" s="874"/>
      <c r="BK84" s="874"/>
      <c r="BL84" s="874"/>
      <c r="BM84" s="874"/>
      <c r="BN84" s="874"/>
      <c r="BO84" s="874"/>
      <c r="BP84" s="874"/>
      <c r="BQ84" s="874"/>
      <c r="BR84" s="874"/>
      <c r="BS84" s="874"/>
      <c r="BT84" s="874"/>
      <c r="BU84" s="874"/>
      <c r="BV84" s="809"/>
      <c r="BW84" s="874"/>
      <c r="BX84" s="874"/>
      <c r="BY84" s="809"/>
      <c r="BZ84" s="809"/>
      <c r="CA84" s="874"/>
      <c r="CB84" s="874"/>
      <c r="CC84" s="874"/>
      <c r="CD84" s="874"/>
      <c r="CE84" s="874"/>
      <c r="CF84" s="874"/>
      <c r="CG84" s="874"/>
      <c r="CH84" s="874"/>
      <c r="CI84" s="874"/>
      <c r="CJ84" s="874"/>
      <c r="CK84" s="874"/>
      <c r="CL84" s="874"/>
      <c r="CM84" s="874"/>
      <c r="CN84" s="874"/>
      <c r="CO84" s="874"/>
      <c r="CP84" s="874"/>
      <c r="CQ84" s="874"/>
      <c r="CR84" s="874"/>
      <c r="CS84" s="874"/>
      <c r="CT84" s="874"/>
      <c r="CU84" s="874"/>
      <c r="CV84" s="874"/>
      <c r="CW84" s="874"/>
      <c r="CX84" s="874"/>
      <c r="CY84" s="874"/>
      <c r="CZ84" s="874"/>
      <c r="DA84" s="874"/>
      <c r="DB84" s="874"/>
      <c r="DC84" s="874"/>
      <c r="DD84" s="874"/>
      <c r="DE84" s="874"/>
      <c r="DF84" s="874"/>
      <c r="DG84" s="874"/>
      <c r="DH84" s="874"/>
      <c r="DI84" s="874"/>
      <c r="DJ84" s="874"/>
      <c r="DK84" s="874"/>
      <c r="DL84" s="874"/>
      <c r="DM84" s="874"/>
      <c r="DN84" s="874"/>
      <c r="DO84" s="874"/>
      <c r="DP84" s="874"/>
      <c r="DQ84" s="874"/>
      <c r="DR84" s="874"/>
      <c r="DS84" s="874"/>
      <c r="DT84" s="874"/>
      <c r="DU84" s="874"/>
      <c r="DV84" s="874"/>
      <c r="DW84" s="874"/>
      <c r="DX84" s="874"/>
      <c r="DY84" s="874"/>
      <c r="DZ84" s="874"/>
      <c r="EA84" s="874"/>
      <c r="EB84" s="874"/>
      <c r="EC84" s="874"/>
      <c r="ED84" s="874"/>
      <c r="EE84" s="874"/>
      <c r="EF84" s="874"/>
      <c r="EG84" s="874"/>
      <c r="EH84" s="874"/>
      <c r="EI84" s="874"/>
      <c r="EJ84" s="874"/>
      <c r="EK84" s="874"/>
      <c r="EL84" s="874"/>
      <c r="EM84" s="874"/>
      <c r="EN84" s="874"/>
      <c r="EO84" s="874"/>
      <c r="EP84" s="874"/>
      <c r="EQ84" s="874"/>
      <c r="ER84" s="874"/>
      <c r="ES84" s="874"/>
      <c r="ET84" s="874"/>
      <c r="EU84" s="874"/>
      <c r="EV84" s="874"/>
      <c r="EW84" s="874"/>
      <c r="EX84" s="874"/>
      <c r="EY84" s="874"/>
      <c r="EZ84" s="874"/>
      <c r="FA84" s="874"/>
      <c r="FB84" s="874"/>
      <c r="FC84" s="874"/>
      <c r="FD84" s="874"/>
      <c r="FE84" s="874"/>
      <c r="FF84" s="874"/>
      <c r="FG84" s="874"/>
      <c r="FH84" s="874"/>
      <c r="FI84" s="874"/>
      <c r="FJ84" s="874"/>
      <c r="FK84" s="874"/>
      <c r="FL84" s="874"/>
      <c r="FM84" s="874"/>
      <c r="FN84" s="874"/>
      <c r="FO84" s="874"/>
      <c r="FP84" s="874"/>
      <c r="FQ84" s="874"/>
      <c r="FR84" s="874"/>
      <c r="FS84" s="874"/>
      <c r="FT84" s="874"/>
      <c r="FU84" s="874"/>
      <c r="FV84" s="874"/>
      <c r="FW84" s="874"/>
      <c r="FX84" s="874"/>
      <c r="FY84" s="874"/>
      <c r="FZ84" s="874"/>
      <c r="GA84" s="874"/>
      <c r="GB84" s="874"/>
      <c r="GC84" s="874"/>
      <c r="GD84" s="874"/>
      <c r="GE84" s="874"/>
      <c r="GF84" s="874"/>
      <c r="GG84" s="874"/>
      <c r="GH84" s="874"/>
      <c r="GI84" s="874"/>
      <c r="GJ84" s="874"/>
      <c r="GK84" s="874"/>
      <c r="GL84" s="874"/>
      <c r="GM84" s="874"/>
      <c r="GN84" s="874"/>
      <c r="GO84" s="874"/>
      <c r="GP84" s="874"/>
      <c r="GQ84" s="874"/>
      <c r="GR84" s="874"/>
      <c r="GS84" s="874"/>
      <c r="GT84" s="874"/>
      <c r="GU84" s="874"/>
      <c r="GV84" s="874"/>
      <c r="GW84" s="874"/>
      <c r="GX84" s="874"/>
      <c r="GY84" s="874"/>
      <c r="GZ84" s="874"/>
      <c r="HA84" s="874"/>
      <c r="HT84" s="874"/>
      <c r="HU84" s="809"/>
      <c r="HV84" s="874"/>
      <c r="HW84" s="874"/>
      <c r="HX84" s="874"/>
      <c r="HY84" s="809"/>
      <c r="HZ84" s="874"/>
      <c r="IA84" s="874"/>
      <c r="IB84" s="874"/>
      <c r="IC84" s="809"/>
      <c r="ID84" s="874"/>
      <c r="IE84" s="874"/>
      <c r="IF84" s="874"/>
      <c r="IG84" s="809"/>
      <c r="IH84" s="874"/>
      <c r="II84" s="874"/>
      <c r="IJ84" s="874"/>
      <c r="IK84" s="809"/>
      <c r="IL84" s="874"/>
      <c r="IM84" s="874"/>
      <c r="IN84" s="874"/>
      <c r="IO84" s="809"/>
      <c r="IP84" s="874"/>
      <c r="IQ84" s="874"/>
      <c r="IR84" s="874"/>
      <c r="IS84" s="809"/>
      <c r="IT84" s="874"/>
      <c r="IU84" s="874"/>
      <c r="IV84" s="874"/>
      <c r="IW84" s="809"/>
      <c r="IX84" s="874"/>
      <c r="IY84" s="874"/>
      <c r="IZ84" s="874"/>
      <c r="JA84" s="809"/>
      <c r="JB84" s="874"/>
      <c r="JC84" s="874"/>
      <c r="JD84" s="874"/>
      <c r="JE84" s="809"/>
      <c r="JF84" s="874"/>
      <c r="JG84" s="874"/>
      <c r="JH84" s="874"/>
      <c r="JI84" s="809"/>
      <c r="JJ84" s="874"/>
      <c r="JK84" s="874"/>
      <c r="JL84" s="874"/>
      <c r="JM84" s="809"/>
      <c r="JN84" s="874"/>
      <c r="JO84" s="874"/>
      <c r="JP84" s="874"/>
      <c r="JQ84" s="874"/>
      <c r="JR84" s="874"/>
      <c r="JS84" s="874"/>
      <c r="JT84" s="874"/>
      <c r="JU84" s="874"/>
      <c r="JV84" s="874"/>
      <c r="JW84" s="874"/>
      <c r="JX84" s="874"/>
      <c r="JY84" s="874"/>
      <c r="JZ84" s="874"/>
      <c r="KA84" s="874"/>
      <c r="KB84" s="874"/>
      <c r="KC84" s="874"/>
      <c r="KD84" s="874"/>
      <c r="KE84" s="874"/>
      <c r="KF84" s="874"/>
      <c r="KG84" s="809"/>
      <c r="KK84" s="809"/>
      <c r="KS84" s="809"/>
      <c r="NH84" s="829"/>
    </row>
    <row r="85" spans="1:381" ht="13.6">
      <c r="A85" s="874"/>
      <c r="B85" s="874"/>
      <c r="C85" s="938"/>
      <c r="D85" s="874"/>
      <c r="E85" s="874"/>
      <c r="F85" s="874"/>
      <c r="G85" s="811"/>
      <c r="H85" s="874"/>
      <c r="I85" s="874"/>
      <c r="J85" s="1020"/>
      <c r="K85" s="811"/>
      <c r="L85" s="811"/>
      <c r="M85" s="811"/>
      <c r="N85" s="811"/>
      <c r="O85" s="811"/>
      <c r="P85" s="874"/>
      <c r="Q85" s="874"/>
      <c r="R85" s="874"/>
      <c r="S85" s="874"/>
      <c r="T85" s="874"/>
      <c r="U85" s="874"/>
      <c r="V85" s="874"/>
      <c r="W85" s="874"/>
      <c r="X85" s="874"/>
      <c r="Y85" s="874"/>
      <c r="Z85" s="874"/>
      <c r="AA85" s="874"/>
      <c r="AB85" s="874"/>
      <c r="AC85" s="874"/>
      <c r="AD85" s="874"/>
      <c r="AE85" s="874"/>
      <c r="AF85" s="874"/>
      <c r="AG85" s="874"/>
      <c r="AH85" s="874"/>
      <c r="AI85" s="874"/>
      <c r="AJ85" s="837"/>
      <c r="AK85" s="837"/>
      <c r="AL85" s="837"/>
      <c r="AM85" s="874"/>
      <c r="AN85" s="874"/>
      <c r="AO85" s="874"/>
      <c r="AP85" s="874"/>
      <c r="AQ85" s="874"/>
      <c r="AR85" s="874"/>
      <c r="AS85" s="874"/>
      <c r="AT85" s="874"/>
      <c r="AU85" s="874"/>
      <c r="AV85" s="874"/>
      <c r="AW85" s="874"/>
      <c r="AX85" s="874"/>
      <c r="AY85" s="874"/>
      <c r="AZ85" s="874"/>
      <c r="BA85" s="874"/>
      <c r="BB85" s="874"/>
      <c r="BC85" s="874"/>
      <c r="BD85" s="874"/>
      <c r="BE85" s="809"/>
      <c r="BF85" s="809"/>
      <c r="BG85" s="874"/>
      <c r="BH85" s="874"/>
      <c r="BI85" s="874"/>
      <c r="BJ85" s="874"/>
      <c r="BK85" s="874"/>
      <c r="BL85" s="874"/>
      <c r="BM85" s="874"/>
      <c r="BN85" s="874"/>
      <c r="BO85" s="874"/>
      <c r="BP85" s="874"/>
      <c r="BQ85" s="874"/>
      <c r="BR85" s="874"/>
      <c r="BS85" s="874"/>
      <c r="BT85" s="874"/>
      <c r="BU85" s="874"/>
      <c r="BV85" s="809"/>
      <c r="BW85" s="874"/>
      <c r="BX85" s="874"/>
      <c r="BY85" s="809"/>
      <c r="BZ85" s="809"/>
      <c r="CA85" s="874"/>
      <c r="CB85" s="874"/>
      <c r="CC85" s="874"/>
      <c r="CD85" s="874"/>
      <c r="CE85" s="874"/>
      <c r="CF85" s="874"/>
      <c r="CG85" s="874"/>
      <c r="CH85" s="874"/>
      <c r="CI85" s="874"/>
      <c r="CJ85" s="874"/>
      <c r="CK85" s="874"/>
      <c r="CL85" s="874"/>
      <c r="CM85" s="874"/>
      <c r="CN85" s="874"/>
      <c r="CO85" s="874"/>
      <c r="CP85" s="874"/>
      <c r="CQ85" s="874"/>
      <c r="CR85" s="874"/>
      <c r="CS85" s="874"/>
      <c r="CT85" s="874"/>
      <c r="CU85" s="874"/>
      <c r="CV85" s="874"/>
      <c r="CW85" s="874"/>
      <c r="CX85" s="874"/>
      <c r="CY85" s="874"/>
      <c r="CZ85" s="874"/>
      <c r="DA85" s="874"/>
      <c r="DB85" s="874"/>
      <c r="DC85" s="874"/>
      <c r="DD85" s="874"/>
      <c r="DE85" s="874"/>
      <c r="DF85" s="874"/>
      <c r="DG85" s="874"/>
      <c r="DH85" s="874"/>
      <c r="DI85" s="874"/>
      <c r="DJ85" s="874"/>
      <c r="DK85" s="874"/>
      <c r="DL85" s="874"/>
      <c r="DM85" s="874"/>
      <c r="DN85" s="874"/>
      <c r="DO85" s="874"/>
      <c r="DP85" s="874"/>
      <c r="DQ85" s="874"/>
      <c r="DR85" s="874"/>
      <c r="DS85" s="948"/>
      <c r="DT85" s="874"/>
      <c r="DU85" s="874"/>
      <c r="DV85" s="874"/>
      <c r="DW85" s="948"/>
      <c r="DX85" s="874"/>
      <c r="DY85" s="874"/>
      <c r="DZ85" s="874"/>
      <c r="EA85" s="874"/>
      <c r="EB85" s="874"/>
      <c r="EC85" s="874"/>
      <c r="ED85" s="874"/>
      <c r="EE85" s="874"/>
      <c r="EF85" s="874"/>
      <c r="EG85" s="874"/>
      <c r="EH85" s="874"/>
      <c r="EI85" s="874"/>
      <c r="EJ85" s="874"/>
      <c r="EK85" s="874"/>
      <c r="EL85" s="874"/>
      <c r="EM85" s="874"/>
      <c r="EN85" s="874"/>
      <c r="EO85" s="874"/>
      <c r="EP85" s="874"/>
      <c r="EQ85" s="874"/>
      <c r="ER85" s="874"/>
      <c r="ES85" s="874"/>
      <c r="ET85" s="938"/>
      <c r="EU85" s="874"/>
      <c r="EV85" s="874"/>
      <c r="EW85" s="874"/>
      <c r="EX85" s="874"/>
      <c r="EY85" s="874"/>
      <c r="EZ85" s="874"/>
      <c r="FA85" s="874"/>
      <c r="FB85" s="874"/>
      <c r="FC85" s="874"/>
      <c r="FD85" s="874"/>
      <c r="FE85" s="874"/>
      <c r="FF85" s="874"/>
      <c r="FG85" s="874"/>
      <c r="FH85" s="874"/>
      <c r="FI85" s="874"/>
      <c r="FJ85" s="874"/>
      <c r="FK85" s="874"/>
      <c r="FL85" s="874"/>
      <c r="FM85" s="874"/>
      <c r="FN85" s="874"/>
      <c r="FY85" s="874"/>
      <c r="FZ85" s="938"/>
      <c r="GA85" s="874"/>
      <c r="HU85" s="809"/>
      <c r="HY85" s="809"/>
      <c r="IC85" s="809"/>
      <c r="IG85" s="809"/>
      <c r="IK85" s="809"/>
      <c r="IO85" s="809"/>
      <c r="IS85" s="809"/>
      <c r="IW85" s="809"/>
      <c r="JA85" s="809"/>
      <c r="JE85" s="809"/>
      <c r="JI85" s="809"/>
      <c r="JM85" s="809"/>
      <c r="KG85" s="809"/>
      <c r="KK85" s="809"/>
      <c r="KS85" s="809"/>
    </row>
    <row r="86" spans="1:381">
      <c r="A86" s="874" t="s">
        <v>632</v>
      </c>
      <c r="B86" s="874" t="s">
        <v>37</v>
      </c>
      <c r="C86" s="938"/>
      <c r="D86" s="874"/>
      <c r="E86" s="874"/>
      <c r="F86" s="947"/>
      <c r="G86" s="793">
        <v>270349.61488487193</v>
      </c>
      <c r="H86" s="874"/>
      <c r="I86" s="874"/>
      <c r="J86" s="874"/>
      <c r="K86" s="793">
        <v>230816.95740444216</v>
      </c>
      <c r="L86" s="874"/>
      <c r="M86" s="874"/>
      <c r="N86" s="874"/>
      <c r="O86" s="793"/>
      <c r="P86" s="874"/>
      <c r="Q86" s="874"/>
      <c r="R86" s="874"/>
      <c r="S86" s="793">
        <v>1157961.8516235291</v>
      </c>
      <c r="T86" s="874"/>
      <c r="U86" s="874"/>
      <c r="V86" s="874"/>
      <c r="W86" s="793">
        <v>1012762.5259798365</v>
      </c>
      <c r="X86" s="874"/>
      <c r="Y86" s="874"/>
      <c r="Z86" s="874"/>
      <c r="AA86" s="793">
        <v>350010.49977834878</v>
      </c>
      <c r="AB86" s="874"/>
      <c r="AC86" s="874"/>
      <c r="AD86" s="874"/>
      <c r="AE86" s="793">
        <v>3177491.1634135279</v>
      </c>
      <c r="AF86" s="874"/>
      <c r="AG86" s="874"/>
      <c r="AH86" s="874"/>
      <c r="AI86" s="793">
        <v>6617393.7493499452</v>
      </c>
      <c r="AJ86" s="837"/>
      <c r="AK86" s="837"/>
      <c r="AL86" s="837"/>
      <c r="AM86" s="793">
        <v>2027537.5691169559</v>
      </c>
      <c r="AN86" s="874"/>
      <c r="AO86" s="874"/>
      <c r="AP86" s="874"/>
      <c r="AQ86" s="793">
        <v>1671068.6273026008</v>
      </c>
      <c r="AR86" s="874"/>
      <c r="AS86" s="874"/>
      <c r="AT86" s="874"/>
      <c r="AU86" s="793">
        <v>2174489.4039016273</v>
      </c>
      <c r="AV86" s="874"/>
      <c r="AW86" s="874"/>
      <c r="AX86" s="874"/>
      <c r="AY86" s="793">
        <v>2514329.7393072895</v>
      </c>
      <c r="AZ86" s="874"/>
      <c r="BA86" s="874"/>
      <c r="BB86" s="874"/>
      <c r="BC86" s="793">
        <v>1698048.6784820408</v>
      </c>
      <c r="BD86" s="874"/>
      <c r="BE86" s="809"/>
      <c r="BF86" s="809"/>
      <c r="BG86" s="793">
        <v>13177813.086504029</v>
      </c>
      <c r="BH86" s="874"/>
      <c r="BI86" s="874"/>
      <c r="BJ86" s="874"/>
      <c r="BK86" s="793">
        <v>2066656.2739652228</v>
      </c>
      <c r="BL86" s="874"/>
      <c r="BM86" s="874"/>
      <c r="BN86" s="874"/>
      <c r="BO86" s="793">
        <v>470325.89599583903</v>
      </c>
      <c r="BP86" s="874"/>
      <c r="BQ86" s="874"/>
      <c r="BR86" s="874"/>
      <c r="BS86" s="793">
        <v>357339.63347526465</v>
      </c>
      <c r="BT86" s="874"/>
      <c r="BU86" s="874"/>
      <c r="BV86" s="809"/>
      <c r="BW86" s="793">
        <v>5822286.4435145753</v>
      </c>
      <c r="BX86" s="874"/>
      <c r="BY86" s="809"/>
      <c r="BZ86" s="809"/>
      <c r="CA86" s="793">
        <v>24559125.807542443</v>
      </c>
      <c r="CB86" s="874"/>
      <c r="CC86" s="874"/>
      <c r="CD86" s="874"/>
      <c r="CE86" s="793">
        <v>0</v>
      </c>
      <c r="CF86" s="874"/>
      <c r="CG86" s="874"/>
      <c r="CH86" s="874"/>
      <c r="CI86" s="793">
        <v>2006509.4822726729</v>
      </c>
      <c r="CJ86" s="838"/>
      <c r="CK86" s="812"/>
      <c r="CL86" s="812"/>
      <c r="CM86" s="793">
        <v>2163149.1238604891</v>
      </c>
      <c r="CN86" s="812"/>
      <c r="CO86" s="812"/>
      <c r="CP86" s="812"/>
      <c r="CQ86" s="793">
        <v>1560489.4851874257</v>
      </c>
      <c r="CR86" s="874"/>
      <c r="CS86" s="874"/>
      <c r="CT86" s="874"/>
      <c r="CU86" s="793">
        <v>450875.19225751318</v>
      </c>
      <c r="CV86" s="874"/>
      <c r="CW86" s="874"/>
      <c r="CX86" s="874"/>
      <c r="CY86" s="793">
        <v>1664859.0708123152</v>
      </c>
      <c r="CZ86" s="874"/>
      <c r="DA86" s="874"/>
      <c r="DB86" s="874"/>
      <c r="DC86" s="793">
        <v>2452458.5425927672</v>
      </c>
      <c r="DD86" s="874"/>
      <c r="DE86" s="874"/>
      <c r="DF86" s="874"/>
      <c r="DG86" s="793">
        <v>2810378.593849251</v>
      </c>
      <c r="DH86" s="874"/>
      <c r="DI86" s="874"/>
      <c r="DJ86" s="874"/>
      <c r="DK86" s="793">
        <v>1548140.9080559788</v>
      </c>
      <c r="DL86" s="874"/>
      <c r="DM86" s="874"/>
      <c r="DN86" s="874"/>
      <c r="DO86" s="793">
        <v>2857813.3262925516</v>
      </c>
      <c r="DP86" s="874"/>
      <c r="DQ86" s="874"/>
      <c r="DS86" s="793">
        <v>1801706.6137862839</v>
      </c>
      <c r="DT86" s="874"/>
      <c r="DU86" s="873"/>
      <c r="DW86" s="793">
        <v>13510680.640228966</v>
      </c>
      <c r="EA86" s="793">
        <v>4855796.706909582</v>
      </c>
      <c r="EE86" s="793">
        <v>2033678.423930797</v>
      </c>
      <c r="EF86" s="874"/>
      <c r="EG86" s="874"/>
      <c r="EH86" s="874"/>
      <c r="EI86" s="793">
        <v>12614173.827482142</v>
      </c>
      <c r="EJ86" s="874"/>
      <c r="EK86" s="874"/>
      <c r="EL86" s="874"/>
      <c r="EM86" s="793">
        <v>194621.55855049801</v>
      </c>
      <c r="EN86" s="874"/>
      <c r="EO86" s="874"/>
      <c r="EP86" s="874"/>
      <c r="EQ86" s="793">
        <v>30446.112817802921</v>
      </c>
      <c r="ER86" s="874"/>
      <c r="ET86" s="1140"/>
      <c r="EU86" s="793">
        <v>3540759.508372975</v>
      </c>
      <c r="EV86" s="874"/>
      <c r="EW86" s="874"/>
      <c r="EX86" s="874"/>
      <c r="EY86" s="793">
        <v>219079.24747660526</v>
      </c>
      <c r="EZ86" s="874"/>
      <c r="FA86" s="874"/>
      <c r="FB86" s="874"/>
      <c r="FC86" s="793">
        <v>1893488.9314954437</v>
      </c>
      <c r="FD86" s="874"/>
      <c r="FE86" s="874"/>
      <c r="FF86" s="874"/>
      <c r="FG86" s="793">
        <v>927456.97143588692</v>
      </c>
      <c r="FH86" s="874"/>
      <c r="FI86" s="874"/>
      <c r="FJ86" s="874"/>
      <c r="FK86" s="793">
        <v>791097.37400966114</v>
      </c>
      <c r="FL86" s="874"/>
      <c r="FM86" s="874"/>
      <c r="FN86" s="874"/>
      <c r="FO86" s="793">
        <v>466280.73136080196</v>
      </c>
      <c r="FP86" s="874"/>
      <c r="FQ86" s="874"/>
      <c r="FR86" s="874"/>
      <c r="FS86" s="793">
        <v>3188176.3044057437</v>
      </c>
      <c r="FT86" s="874"/>
      <c r="FU86" s="874"/>
      <c r="FV86" s="874"/>
      <c r="FW86" s="793">
        <v>709237.65457904153</v>
      </c>
      <c r="FX86" s="874"/>
      <c r="FY86" s="1025"/>
      <c r="FZ86" s="1025"/>
      <c r="GA86" s="793">
        <v>3112540.1234191782</v>
      </c>
      <c r="GB86" s="874"/>
      <c r="GC86" s="1020"/>
      <c r="GD86" s="874"/>
      <c r="GE86" s="793">
        <v>516129.76174775278</v>
      </c>
      <c r="GF86" s="874"/>
      <c r="GG86" s="874"/>
      <c r="GH86" s="874"/>
      <c r="GI86" s="793">
        <v>490208.96957018028</v>
      </c>
      <c r="GJ86" s="874"/>
      <c r="GK86" s="874"/>
      <c r="GL86" s="874"/>
      <c r="GM86" s="793">
        <v>113307.82088222253</v>
      </c>
      <c r="GN86" s="874"/>
      <c r="GO86" s="874"/>
      <c r="GP86" s="874"/>
      <c r="GQ86" s="793">
        <v>921293.56748291093</v>
      </c>
      <c r="GU86" s="793">
        <v>3642889.5279563819</v>
      </c>
      <c r="GV86" s="874"/>
      <c r="GW86" s="874"/>
      <c r="GX86" s="874"/>
      <c r="GY86" s="793">
        <v>3339151.4447704009</v>
      </c>
      <c r="GZ86" s="874"/>
      <c r="HA86" s="874"/>
      <c r="HB86" s="874"/>
      <c r="HC86" s="793">
        <v>7517358.0139947291</v>
      </c>
      <c r="HD86" s="874"/>
      <c r="HE86" s="874"/>
      <c r="HF86" s="874"/>
      <c r="HG86" s="793"/>
      <c r="HH86" s="874"/>
      <c r="HI86" s="874"/>
      <c r="HJ86" s="874"/>
      <c r="HK86" s="793"/>
      <c r="HL86" s="874"/>
      <c r="HM86" s="874"/>
      <c r="HN86" s="874"/>
      <c r="HO86" s="793"/>
      <c r="HP86" s="874"/>
      <c r="HQ86" s="874"/>
      <c r="HR86" s="874"/>
      <c r="HS86" s="793"/>
      <c r="HT86" s="874"/>
      <c r="HU86" s="874"/>
      <c r="HV86" s="874"/>
      <c r="HW86" s="793">
        <v>16544.910506392236</v>
      </c>
      <c r="HX86" s="874"/>
      <c r="HY86" s="809"/>
      <c r="HZ86" s="874"/>
      <c r="IA86" s="793">
        <v>11480.841004131422</v>
      </c>
      <c r="IB86" s="874"/>
      <c r="IC86" s="809"/>
      <c r="ID86" s="874"/>
      <c r="IE86" s="793">
        <v>2036607.6765674055</v>
      </c>
      <c r="IF86" s="874"/>
      <c r="IG86" s="809"/>
      <c r="IH86" s="874"/>
      <c r="II86" s="793">
        <v>76119.609811033282</v>
      </c>
      <c r="IJ86" s="874"/>
      <c r="IK86" s="809"/>
      <c r="IL86" s="874"/>
      <c r="IM86" s="793">
        <v>115192.72349069925</v>
      </c>
      <c r="IN86" s="874"/>
      <c r="IO86" s="809"/>
      <c r="IP86" s="874"/>
      <c r="IQ86" s="793">
        <v>678.46300710468131</v>
      </c>
      <c r="IR86" s="874"/>
      <c r="IS86" s="809"/>
      <c r="IT86" s="874"/>
      <c r="IU86" s="793">
        <v>678.46300710468131</v>
      </c>
      <c r="IV86" s="874"/>
      <c r="IW86" s="809"/>
      <c r="IX86" s="874"/>
      <c r="IY86" s="793">
        <v>118374.9688571907</v>
      </c>
      <c r="IZ86" s="874"/>
      <c r="JA86" s="809"/>
      <c r="JB86" s="874"/>
      <c r="JC86" s="793">
        <v>118374.9688571907</v>
      </c>
      <c r="JD86" s="874"/>
      <c r="JE86" s="809"/>
      <c r="JF86" s="874"/>
      <c r="JG86" s="793">
        <v>0</v>
      </c>
      <c r="JH86" s="874"/>
      <c r="JI86" s="809"/>
      <c r="JJ86" s="874"/>
      <c r="JK86" s="793">
        <v>0</v>
      </c>
      <c r="JL86" s="874"/>
      <c r="JM86" s="809"/>
      <c r="JN86" s="874"/>
      <c r="JO86" s="793">
        <v>0</v>
      </c>
      <c r="JP86" s="874"/>
      <c r="JQ86" s="809"/>
      <c r="JR86" s="874"/>
      <c r="JS86" s="793"/>
      <c r="JT86" s="874"/>
      <c r="JU86" s="809"/>
      <c r="JV86" s="874"/>
      <c r="JW86" s="793"/>
      <c r="JX86" s="874"/>
      <c r="JY86" s="809"/>
      <c r="JZ86" s="874"/>
      <c r="KA86" s="793"/>
      <c r="KB86" s="874"/>
      <c r="KC86" s="809"/>
      <c r="KD86" s="874"/>
      <c r="KE86" s="793"/>
      <c r="KF86" s="874"/>
      <c r="KG86" s="809"/>
      <c r="KH86" s="874"/>
      <c r="KI86" s="793">
        <v>0</v>
      </c>
      <c r="KJ86" s="874"/>
      <c r="KK86" s="809"/>
      <c r="KL86" s="874"/>
      <c r="KM86" s="793">
        <v>0</v>
      </c>
      <c r="KN86" s="874"/>
      <c r="KO86" s="809"/>
      <c r="KP86" s="874"/>
      <c r="KQ86" s="793"/>
      <c r="KR86" s="874"/>
      <c r="KS86" s="809"/>
      <c r="KT86" s="874"/>
      <c r="KU86" s="793">
        <v>0</v>
      </c>
      <c r="KV86" s="874"/>
      <c r="KW86" s="809"/>
      <c r="KX86" s="874"/>
      <c r="KY86" s="793"/>
      <c r="KZ86" s="874"/>
      <c r="LA86" s="809"/>
      <c r="LB86" s="874"/>
      <c r="LC86" s="793"/>
      <c r="LD86" s="874"/>
      <c r="LE86" s="809"/>
      <c r="LF86" s="874"/>
      <c r="LG86" s="793"/>
      <c r="LH86" s="874"/>
      <c r="LI86" s="809"/>
      <c r="LJ86" s="874"/>
      <c r="LK86" s="793"/>
      <c r="LL86" s="874"/>
      <c r="LM86" s="809"/>
      <c r="LN86" s="874"/>
      <c r="LO86" s="793"/>
      <c r="LP86" s="874"/>
      <c r="LQ86" s="809"/>
      <c r="LR86" s="874"/>
      <c r="LS86" s="793">
        <v>0</v>
      </c>
      <c r="LT86" s="874"/>
      <c r="LU86" s="809"/>
      <c r="LV86" s="874"/>
      <c r="LW86" s="793"/>
      <c r="LX86" s="874"/>
      <c r="LY86" s="809"/>
      <c r="LZ86" s="874"/>
      <c r="MA86" s="793"/>
      <c r="MB86" s="874"/>
      <c r="MC86" s="809"/>
      <c r="MD86" s="874"/>
      <c r="ME86" s="793"/>
      <c r="MF86" s="874"/>
      <c r="MG86" s="809"/>
      <c r="MH86" s="874"/>
      <c r="MI86" s="793"/>
      <c r="MJ86" s="874"/>
      <c r="MK86" s="809"/>
      <c r="ML86" s="874"/>
      <c r="MM86" s="793"/>
      <c r="MN86" s="874"/>
      <c r="MO86" s="809"/>
      <c r="MP86" s="874"/>
      <c r="MQ86" s="793"/>
      <c r="MR86" s="874"/>
      <c r="MS86" s="809"/>
      <c r="MT86" s="874"/>
      <c r="MU86" s="793"/>
      <c r="MV86" s="874"/>
      <c r="MW86" s="809"/>
      <c r="MX86" s="874"/>
      <c r="MY86" s="793"/>
      <c r="MZ86" s="874"/>
      <c r="NA86" s="809"/>
      <c r="NB86" s="874"/>
      <c r="NC86" s="793"/>
      <c r="ND86" s="874"/>
      <c r="NE86" s="809"/>
      <c r="NF86" s="874"/>
      <c r="NG86" s="793"/>
      <c r="NH86" s="874"/>
      <c r="NI86" s="809"/>
      <c r="NJ86" s="874"/>
      <c r="NK86" s="977"/>
      <c r="NL86" s="977"/>
    </row>
    <row r="87" spans="1:381">
      <c r="A87" s="874" t="s">
        <v>814</v>
      </c>
      <c r="B87" s="874" t="s">
        <v>38</v>
      </c>
      <c r="C87" s="938"/>
      <c r="D87" s="874"/>
      <c r="E87" s="874"/>
      <c r="F87" s="874"/>
      <c r="G87" s="793">
        <v>270349.61488487193</v>
      </c>
      <c r="H87" s="874"/>
      <c r="I87" s="874"/>
      <c r="J87" s="874"/>
      <c r="K87" s="793">
        <v>230816.95740444216</v>
      </c>
      <c r="L87" s="874"/>
      <c r="M87" s="874"/>
      <c r="N87" s="874"/>
      <c r="O87" s="793"/>
      <c r="P87" s="874"/>
      <c r="Q87" s="874"/>
      <c r="R87" s="874"/>
      <c r="S87" s="793">
        <v>1157961.8516235291</v>
      </c>
      <c r="T87" s="874"/>
      <c r="U87" s="874"/>
      <c r="V87" s="874"/>
      <c r="W87" s="793">
        <v>1012762.5259798365</v>
      </c>
      <c r="X87" s="874"/>
      <c r="Y87" s="874"/>
      <c r="Z87" s="874"/>
      <c r="AA87" s="793">
        <v>350010.49977834878</v>
      </c>
      <c r="AB87" s="874"/>
      <c r="AC87" s="874"/>
      <c r="AD87" s="874"/>
      <c r="AE87" s="793">
        <v>3400636.904280826</v>
      </c>
      <c r="AF87" s="874"/>
      <c r="AG87" s="874"/>
      <c r="AH87" s="874"/>
      <c r="AI87" s="793">
        <v>7082774.7071689572</v>
      </c>
      <c r="AJ87" s="837"/>
      <c r="AK87" s="837"/>
      <c r="AL87" s="837"/>
      <c r="AM87" s="793">
        <v>2170359.7471088246</v>
      </c>
      <c r="AN87" s="874"/>
      <c r="AO87" s="874"/>
      <c r="AP87" s="874"/>
      <c r="AQ87" s="793">
        <v>1788699.3608671741</v>
      </c>
      <c r="AR87" s="874"/>
      <c r="AS87" s="874"/>
      <c r="AT87" s="874"/>
      <c r="AU87" s="793">
        <v>2327627.8683315464</v>
      </c>
      <c r="AV87" s="874"/>
      <c r="AW87" s="874"/>
      <c r="AX87" s="874"/>
      <c r="AY87" s="793">
        <v>2691523.1246979511</v>
      </c>
      <c r="AZ87" s="874"/>
      <c r="BA87" s="874"/>
      <c r="BB87" s="874"/>
      <c r="BC87" s="793">
        <v>1817797.3805815536</v>
      </c>
      <c r="BD87" s="874"/>
      <c r="BE87" s="809"/>
      <c r="BF87" s="809"/>
      <c r="BG87" s="793">
        <v>14107964.164888022</v>
      </c>
      <c r="BH87" s="874"/>
      <c r="BI87" s="874"/>
      <c r="BJ87" s="874"/>
      <c r="BK87" s="793">
        <v>2212562.8927833568</v>
      </c>
      <c r="BL87" s="874"/>
      <c r="BM87" s="874"/>
      <c r="BN87" s="874"/>
      <c r="BO87" s="793">
        <v>503531.06034360756</v>
      </c>
      <c r="BP87" s="874"/>
      <c r="BQ87" s="874"/>
      <c r="BR87" s="874"/>
      <c r="BS87" s="793">
        <v>382470.23128950986</v>
      </c>
      <c r="BT87" s="874"/>
      <c r="BU87" s="874"/>
      <c r="BV87" s="809"/>
      <c r="BW87" s="793">
        <v>6233432.9410971738</v>
      </c>
      <c r="BX87" s="874"/>
      <c r="BY87" s="809"/>
      <c r="BZ87" s="809"/>
      <c r="CA87" s="793">
        <v>26293008.240169931</v>
      </c>
      <c r="CB87" s="874"/>
      <c r="CC87" s="874"/>
      <c r="CD87" s="874"/>
      <c r="CE87" s="793">
        <v>0</v>
      </c>
      <c r="CF87" s="874"/>
      <c r="CG87" s="874"/>
      <c r="CH87" s="874"/>
      <c r="CI87" s="793">
        <v>2147621.1253307452</v>
      </c>
      <c r="CJ87" s="838"/>
      <c r="CK87" s="812"/>
      <c r="CL87" s="812"/>
      <c r="CM87" s="793">
        <v>2315453.8495578589</v>
      </c>
      <c r="CN87" s="812"/>
      <c r="CO87" s="812"/>
      <c r="CP87" s="812"/>
      <c r="CQ87" s="793">
        <v>1670104.196440551</v>
      </c>
      <c r="CR87" s="874"/>
      <c r="CS87" s="874"/>
      <c r="CT87" s="874"/>
      <c r="CU87" s="793">
        <v>482583.8583543803</v>
      </c>
      <c r="CV87" s="874"/>
      <c r="CW87" s="874"/>
      <c r="CX87" s="874"/>
      <c r="CY87" s="793">
        <v>1781692.847473104</v>
      </c>
      <c r="CZ87" s="874"/>
      <c r="DA87" s="874"/>
      <c r="DB87" s="874"/>
      <c r="DC87" s="793">
        <v>2625172.9897714132</v>
      </c>
      <c r="DD87" s="874"/>
      <c r="DE87" s="874"/>
      <c r="DF87" s="874"/>
      <c r="DG87" s="793">
        <v>3008253.967359365</v>
      </c>
      <c r="DH87" s="874"/>
      <c r="DI87" s="874"/>
      <c r="DJ87" s="874"/>
      <c r="DK87" s="793">
        <v>1657608.3187807649</v>
      </c>
      <c r="DL87" s="874"/>
      <c r="DM87" s="874"/>
      <c r="DN87" s="874"/>
      <c r="DO87" s="793">
        <v>3059709.7083700611</v>
      </c>
      <c r="DP87" s="874"/>
      <c r="DQ87" s="874"/>
      <c r="DR87" s="874"/>
      <c r="DS87" s="793">
        <v>1928765.4144549938</v>
      </c>
      <c r="DT87" s="874"/>
      <c r="DU87" s="873"/>
      <c r="DW87" s="793">
        <v>14303588.959662233</v>
      </c>
      <c r="EA87" s="793">
        <v>5141544.1001927983</v>
      </c>
      <c r="EE87" s="793">
        <v>2153563.0364737906</v>
      </c>
      <c r="EF87" s="874"/>
      <c r="EG87" s="874"/>
      <c r="EH87" s="874"/>
      <c r="EI87" s="793">
        <v>13355145.533523574</v>
      </c>
      <c r="EJ87" s="874"/>
      <c r="EK87" s="874"/>
      <c r="EL87" s="874"/>
      <c r="EM87" s="793">
        <v>206064.18548058972</v>
      </c>
      <c r="EN87" s="874"/>
      <c r="EO87" s="874"/>
      <c r="EP87" s="874"/>
      <c r="EQ87" s="793">
        <v>32232.919625726303</v>
      </c>
      <c r="ER87" s="874"/>
      <c r="ET87" s="1140"/>
      <c r="EU87" s="793">
        <v>3749121.3613971439</v>
      </c>
      <c r="EV87" s="874"/>
      <c r="EW87" s="874"/>
      <c r="EX87" s="874"/>
      <c r="EY87" s="793">
        <v>231945.29845709217</v>
      </c>
      <c r="EZ87" s="874"/>
      <c r="FA87" s="874"/>
      <c r="FB87" s="874"/>
      <c r="FC87" s="793">
        <v>2005181.3777440405</v>
      </c>
      <c r="FD87" s="874"/>
      <c r="FE87" s="874"/>
      <c r="FF87" s="874"/>
      <c r="FG87" s="793">
        <v>981694.94597025309</v>
      </c>
      <c r="FH87" s="874"/>
      <c r="FI87" s="874"/>
      <c r="FJ87" s="874"/>
      <c r="FK87" s="793">
        <v>837650.80820405262</v>
      </c>
      <c r="FL87" s="874"/>
      <c r="FM87" s="874"/>
      <c r="FN87" s="874"/>
      <c r="FO87" s="793">
        <v>493581.67291140358</v>
      </c>
      <c r="FP87" s="874"/>
      <c r="FQ87" s="874"/>
      <c r="FR87" s="874"/>
      <c r="FS87" s="793">
        <v>3188176.3044057437</v>
      </c>
      <c r="FT87" s="874"/>
      <c r="FU87" s="874"/>
      <c r="FV87" s="874"/>
      <c r="FW87" s="793">
        <v>709237.65457904153</v>
      </c>
      <c r="FX87" s="874"/>
      <c r="FY87" s="1025"/>
      <c r="FZ87" s="1025"/>
      <c r="GA87" s="793">
        <v>3112540.1234191782</v>
      </c>
      <c r="GB87" s="874"/>
      <c r="GC87" s="874"/>
      <c r="GD87" s="874"/>
      <c r="GE87" s="793">
        <v>516129.76174775278</v>
      </c>
      <c r="GF87" s="874"/>
      <c r="GG87" s="874"/>
      <c r="GH87" s="874"/>
      <c r="GI87" s="793">
        <v>518917.73215693806</v>
      </c>
      <c r="GJ87" s="874"/>
      <c r="GK87" s="874"/>
      <c r="GL87" s="874"/>
      <c r="GM87" s="793">
        <v>113307.82088222253</v>
      </c>
      <c r="GN87" s="874"/>
      <c r="GO87" s="874"/>
      <c r="GP87" s="874"/>
      <c r="GQ87" s="793">
        <v>921293.56748291093</v>
      </c>
      <c r="GU87" s="793">
        <v>3642889.5279563819</v>
      </c>
      <c r="GV87" s="874"/>
      <c r="GW87" s="874"/>
      <c r="GX87" s="874"/>
      <c r="GY87" s="793">
        <v>3339151.4447704009</v>
      </c>
      <c r="GZ87" s="874"/>
      <c r="HA87" s="874"/>
      <c r="HB87" s="874"/>
      <c r="HC87" s="793">
        <v>7517358.0139947291</v>
      </c>
      <c r="HD87" s="874"/>
      <c r="HE87" s="874"/>
      <c r="HF87" s="874"/>
      <c r="HG87" s="793"/>
      <c r="HH87" s="874"/>
      <c r="HI87" s="874"/>
      <c r="HJ87" s="874"/>
      <c r="HK87" s="793"/>
      <c r="HL87" s="874"/>
      <c r="HM87" s="874"/>
      <c r="HN87" s="874"/>
      <c r="HO87" s="793"/>
      <c r="HP87" s="874"/>
      <c r="HQ87" s="874"/>
      <c r="HR87" s="874"/>
      <c r="HS87" s="793"/>
      <c r="HT87" s="874"/>
      <c r="HU87" s="874"/>
      <c r="HV87" s="874"/>
      <c r="HW87" s="793">
        <v>16544.910506392236</v>
      </c>
      <c r="HX87" s="874"/>
      <c r="HY87" s="874"/>
      <c r="HZ87" s="874"/>
      <c r="IA87" s="793">
        <v>11480.841004131422</v>
      </c>
      <c r="IB87" s="874"/>
      <c r="IC87" s="874"/>
      <c r="ID87" s="874"/>
      <c r="IE87" s="793">
        <v>2036607.6765674055</v>
      </c>
      <c r="IF87" s="874"/>
      <c r="IG87" s="874"/>
      <c r="IH87" s="874"/>
      <c r="II87" s="793">
        <v>76119.609811033282</v>
      </c>
      <c r="IJ87" s="874"/>
      <c r="IK87" s="874"/>
      <c r="IL87" s="874"/>
      <c r="IM87" s="793">
        <v>115192.72349069925</v>
      </c>
      <c r="IN87" s="874"/>
      <c r="IO87" s="874"/>
      <c r="IP87" s="874"/>
      <c r="IQ87" s="793">
        <v>678.46300710468131</v>
      </c>
      <c r="IR87" s="874"/>
      <c r="IS87" s="874"/>
      <c r="IT87" s="874"/>
      <c r="IU87" s="793">
        <v>678.46300710468131</v>
      </c>
      <c r="IV87" s="874"/>
      <c r="IW87" s="874"/>
      <c r="IX87" s="874"/>
      <c r="IY87" s="793">
        <v>118374.9688571907</v>
      </c>
      <c r="IZ87" s="874"/>
      <c r="JA87" s="874"/>
      <c r="JB87" s="874"/>
      <c r="JC87" s="793">
        <v>118374.9688571907</v>
      </c>
      <c r="JD87" s="874"/>
      <c r="JE87" s="874"/>
      <c r="JF87" s="874"/>
      <c r="JG87" s="793">
        <v>0</v>
      </c>
      <c r="JH87" s="874"/>
      <c r="JI87" s="874"/>
      <c r="JJ87" s="874"/>
      <c r="JK87" s="793">
        <v>0</v>
      </c>
      <c r="JL87" s="874"/>
      <c r="JM87" s="874"/>
      <c r="JN87" s="874"/>
      <c r="JO87" s="793">
        <v>0</v>
      </c>
      <c r="JP87" s="874"/>
      <c r="JQ87" s="874"/>
      <c r="JR87" s="874"/>
      <c r="JS87" s="793"/>
      <c r="JT87" s="874"/>
      <c r="JU87" s="874"/>
      <c r="JV87" s="874"/>
      <c r="JW87" s="793"/>
      <c r="JX87" s="874"/>
      <c r="JY87" s="874"/>
      <c r="JZ87" s="874"/>
      <c r="KA87" s="793"/>
      <c r="KB87" s="874"/>
      <c r="KC87" s="874"/>
      <c r="KD87" s="874"/>
      <c r="KE87" s="793"/>
      <c r="KF87" s="874"/>
      <c r="KG87" s="874"/>
      <c r="KH87" s="874"/>
      <c r="KI87" s="793">
        <v>0</v>
      </c>
      <c r="KJ87" s="874"/>
      <c r="KK87" s="874"/>
      <c r="KL87" s="874"/>
      <c r="KM87" s="793">
        <v>0</v>
      </c>
      <c r="KN87" s="874"/>
      <c r="KO87" s="874"/>
      <c r="KP87" s="874"/>
      <c r="KQ87" s="793"/>
      <c r="KR87" s="874"/>
      <c r="KS87" s="874"/>
      <c r="KT87" s="874"/>
      <c r="KU87" s="793">
        <v>0</v>
      </c>
      <c r="KV87" s="874"/>
      <c r="KW87" s="874"/>
      <c r="KX87" s="874"/>
      <c r="KY87" s="793"/>
      <c r="KZ87" s="874"/>
      <c r="LA87" s="874"/>
      <c r="LB87" s="874"/>
      <c r="LC87" s="793"/>
      <c r="LD87" s="874"/>
      <c r="LE87" s="874"/>
      <c r="LF87" s="874"/>
      <c r="LG87" s="793"/>
      <c r="LH87" s="874"/>
      <c r="LI87" s="874"/>
      <c r="LJ87" s="874"/>
      <c r="LK87" s="793"/>
      <c r="LL87" s="874"/>
      <c r="LM87" s="874"/>
      <c r="LN87" s="874"/>
      <c r="LO87" s="793"/>
      <c r="LP87" s="874"/>
      <c r="LQ87" s="874"/>
      <c r="LR87" s="874"/>
      <c r="LS87" s="793">
        <v>0</v>
      </c>
      <c r="LT87" s="874"/>
      <c r="LU87" s="874"/>
      <c r="LV87" s="874"/>
      <c r="LW87" s="793"/>
      <c r="LX87" s="874"/>
      <c r="LY87" s="874"/>
      <c r="LZ87" s="874"/>
      <c r="MA87" s="793"/>
      <c r="MB87" s="874"/>
      <c r="MC87" s="874"/>
      <c r="MD87" s="874"/>
      <c r="ME87" s="793"/>
      <c r="MF87" s="874"/>
      <c r="MG87" s="874"/>
      <c r="MH87" s="874"/>
      <c r="MI87" s="793"/>
      <c r="MJ87" s="874"/>
      <c r="MK87" s="874"/>
      <c r="ML87" s="874"/>
      <c r="MM87" s="793"/>
      <c r="MN87" s="874"/>
      <c r="MO87" s="874"/>
      <c r="MP87" s="874"/>
      <c r="MQ87" s="793"/>
      <c r="MR87" s="874"/>
      <c r="MS87" s="874"/>
      <c r="MT87" s="874"/>
      <c r="MU87" s="793"/>
      <c r="MV87" s="874"/>
      <c r="MW87" s="874"/>
      <c r="MX87" s="874"/>
      <c r="MY87" s="793"/>
      <c r="MZ87" s="874"/>
      <c r="NA87" s="874"/>
      <c r="NB87" s="874"/>
      <c r="NC87" s="793"/>
      <c r="ND87" s="874"/>
      <c r="NE87" s="874"/>
      <c r="NF87" s="874"/>
      <c r="NG87" s="793"/>
      <c r="NH87" s="874"/>
      <c r="NI87" s="874"/>
      <c r="NJ87" s="874"/>
      <c r="NK87" s="977"/>
    </row>
    <row r="88" spans="1:381">
      <c r="A88" s="874" t="s">
        <v>610</v>
      </c>
      <c r="B88" s="874" t="s">
        <v>473</v>
      </c>
      <c r="C88" s="938"/>
      <c r="D88" s="874"/>
      <c r="E88" s="874"/>
      <c r="F88" s="874"/>
      <c r="G88" s="793">
        <v>284279.90695593524</v>
      </c>
      <c r="H88" s="874"/>
      <c r="I88" s="874"/>
      <c r="J88" s="874"/>
      <c r="K88" s="793">
        <v>156362.90973033541</v>
      </c>
      <c r="L88" s="874"/>
      <c r="M88" s="874"/>
      <c r="N88" s="874"/>
      <c r="O88" s="793">
        <v>68791.467653197658</v>
      </c>
      <c r="P88" s="874"/>
      <c r="Q88" s="874"/>
      <c r="R88" s="874"/>
      <c r="S88" s="793">
        <v>1214919.8516143684</v>
      </c>
      <c r="T88" s="874"/>
      <c r="U88" s="874"/>
      <c r="V88" s="874"/>
      <c r="W88" s="793">
        <v>1066617.9150159745</v>
      </c>
      <c r="X88" s="874"/>
      <c r="Y88" s="874"/>
      <c r="Z88" s="874"/>
      <c r="AA88" s="793">
        <v>367937.02809701482</v>
      </c>
      <c r="AB88" s="874"/>
      <c r="AC88" s="874"/>
      <c r="AD88" s="874"/>
      <c r="AE88" s="793">
        <v>3340113.4341148604</v>
      </c>
      <c r="AF88" s="874"/>
      <c r="AG88" s="874"/>
      <c r="AH88" s="874"/>
      <c r="AI88" s="793">
        <v>6955243.6142213028</v>
      </c>
      <c r="AJ88" s="837"/>
      <c r="AK88" s="837"/>
      <c r="AL88" s="837"/>
      <c r="AM88" s="793">
        <v>2116991.9331001528</v>
      </c>
      <c r="AN88" s="874"/>
      <c r="AO88" s="874"/>
      <c r="AP88" s="874"/>
      <c r="AQ88" s="793">
        <v>1741818.1600292891</v>
      </c>
      <c r="AR88" s="874"/>
      <c r="AS88" s="874"/>
      <c r="AT88" s="874"/>
      <c r="AU88" s="793">
        <v>2281093.4398509278</v>
      </c>
      <c r="AV88" s="874"/>
      <c r="AW88" s="874"/>
      <c r="AX88" s="874"/>
      <c r="AY88" s="793">
        <v>2642319.7264834503</v>
      </c>
      <c r="AZ88" s="874"/>
      <c r="BA88" s="874"/>
      <c r="BB88" s="874"/>
      <c r="BC88" s="793">
        <v>1784395.5570888561</v>
      </c>
      <c r="BD88" s="874"/>
      <c r="BE88" s="809"/>
      <c r="BF88" s="809"/>
      <c r="BG88" s="793">
        <v>14493908.543783383</v>
      </c>
      <c r="BH88" s="874"/>
      <c r="BI88" s="874"/>
      <c r="BJ88" s="874"/>
      <c r="BK88" s="793">
        <v>2171564.7680833358</v>
      </c>
      <c r="BL88" s="874"/>
      <c r="BM88" s="874"/>
      <c r="BN88" s="874"/>
      <c r="BO88" s="793">
        <v>494200.78129498288</v>
      </c>
      <c r="BP88" s="874"/>
      <c r="BQ88" s="874"/>
      <c r="BR88" s="874"/>
      <c r="BS88" s="793">
        <v>375588.20147159242</v>
      </c>
      <c r="BT88" s="874"/>
      <c r="BU88" s="874"/>
      <c r="BV88" s="874"/>
      <c r="BW88" s="793">
        <v>6176054.2746249717</v>
      </c>
      <c r="BX88" s="874"/>
      <c r="BY88" s="809"/>
      <c r="BZ88" s="809"/>
      <c r="CA88" s="793">
        <v>25850181.737596944</v>
      </c>
      <c r="CB88" s="874"/>
      <c r="CC88" s="874"/>
      <c r="CD88" s="874"/>
      <c r="CE88" s="793">
        <v>0</v>
      </c>
      <c r="CF88" s="874"/>
      <c r="CG88" s="874"/>
      <c r="CH88" s="874"/>
      <c r="CI88" s="793">
        <v>2108977.6142467991</v>
      </c>
      <c r="CJ88" s="812"/>
      <c r="CK88" s="812"/>
      <c r="CL88" s="812"/>
      <c r="CM88" s="793">
        <v>2273418.6687898096</v>
      </c>
      <c r="CN88" s="812"/>
      <c r="CO88" s="812"/>
      <c r="CP88" s="812"/>
      <c r="CQ88" s="793">
        <v>1640325.2404751901</v>
      </c>
      <c r="CR88" s="874"/>
      <c r="CS88" s="874"/>
      <c r="CT88" s="874"/>
      <c r="CU88" s="793">
        <v>473900.42045218567</v>
      </c>
      <c r="CV88" s="874"/>
      <c r="CW88" s="874"/>
      <c r="CX88" s="874"/>
      <c r="CY88" s="793">
        <v>1750159.8445724773</v>
      </c>
      <c r="CZ88" s="874"/>
      <c r="DA88" s="874"/>
      <c r="DB88" s="874"/>
      <c r="DC88" s="793">
        <v>2577431.5852095219</v>
      </c>
      <c r="DD88" s="874"/>
      <c r="DE88" s="874"/>
      <c r="DF88" s="874"/>
      <c r="DG88" s="793">
        <v>2935351.2380284639</v>
      </c>
      <c r="DH88" s="874"/>
      <c r="DI88" s="874"/>
      <c r="DJ88" s="874"/>
      <c r="DK88" s="793">
        <v>1673548.8630444827</v>
      </c>
      <c r="DL88" s="874"/>
      <c r="DM88" s="947"/>
      <c r="DN88" s="874"/>
      <c r="DO88" s="793">
        <v>3002733.3918430093</v>
      </c>
      <c r="DP88" s="874"/>
      <c r="DQ88" s="874"/>
      <c r="DR88" s="874"/>
      <c r="DS88" s="793">
        <v>1893324.565754995</v>
      </c>
      <c r="DT88" s="874"/>
      <c r="DU88" s="874"/>
      <c r="DV88" s="874"/>
      <c r="DW88" s="793">
        <v>14208438.256793315</v>
      </c>
      <c r="EA88" s="793">
        <v>5102203.8321924163</v>
      </c>
      <c r="EE88" s="793">
        <v>2152134.5554114091</v>
      </c>
      <c r="EF88" s="874"/>
      <c r="EG88" s="874"/>
      <c r="EH88" s="874"/>
      <c r="EI88" s="793">
        <v>13260351.615185592</v>
      </c>
      <c r="EJ88" s="874"/>
      <c r="EK88" s="874"/>
      <c r="EL88" s="874"/>
      <c r="EM88" s="793">
        <v>205066.6473487083</v>
      </c>
      <c r="EN88" s="874"/>
      <c r="EO88" s="874"/>
      <c r="EP88" s="874"/>
      <c r="EQ88" s="793">
        <v>31997.594030884389</v>
      </c>
      <c r="ER88" s="874"/>
      <c r="ES88" s="874"/>
      <c r="ET88" s="874"/>
      <c r="EU88" s="793">
        <v>3720517.8472350673</v>
      </c>
      <c r="EV88" s="874"/>
      <c r="EW88" s="874"/>
      <c r="EX88" s="874"/>
      <c r="EY88" s="793">
        <v>230231.30507539053</v>
      </c>
      <c r="EZ88" s="874"/>
      <c r="FA88" s="874"/>
      <c r="FB88" s="874"/>
      <c r="FC88" s="793">
        <v>2169341.1677313158</v>
      </c>
      <c r="FD88" s="874"/>
      <c r="FE88" s="874"/>
      <c r="FF88" s="874"/>
      <c r="FG88" s="793">
        <v>974976.18713390839</v>
      </c>
      <c r="FH88" s="874"/>
      <c r="FI88" s="874"/>
      <c r="FJ88" s="874"/>
      <c r="FK88" s="793">
        <v>831241.56486327341</v>
      </c>
      <c r="FL88" s="874"/>
      <c r="FM88" s="874"/>
      <c r="FN88" s="874"/>
      <c r="FO88" s="793">
        <v>490127.27342433255</v>
      </c>
      <c r="FP88" s="874"/>
      <c r="FQ88" s="874"/>
      <c r="FR88" s="874"/>
      <c r="FS88" s="793">
        <v>3374847.2154682055</v>
      </c>
      <c r="FT88" s="874"/>
      <c r="FU88" s="874"/>
      <c r="FV88" s="874"/>
      <c r="FW88" s="793">
        <v>745469.99079871119</v>
      </c>
      <c r="FX88" s="874"/>
      <c r="FY88" s="874"/>
      <c r="FZ88" s="874"/>
      <c r="GA88" s="793">
        <v>3271838.2351960372</v>
      </c>
      <c r="GB88" s="874"/>
      <c r="GC88" s="874"/>
      <c r="GD88" s="874"/>
      <c r="GE88" s="793">
        <v>542554.7060448078</v>
      </c>
      <c r="GF88" s="874"/>
      <c r="GG88" s="874"/>
      <c r="GH88" s="874"/>
      <c r="GI88" s="793">
        <v>515270.11834685248</v>
      </c>
      <c r="GJ88" s="873"/>
      <c r="GK88" s="874"/>
      <c r="GL88" s="874"/>
      <c r="GM88" s="793">
        <v>119106.85356947371</v>
      </c>
      <c r="GN88" s="874"/>
      <c r="GO88" s="874"/>
      <c r="GP88" s="874"/>
      <c r="GQ88" s="793">
        <v>968224.44388212659</v>
      </c>
      <c r="GU88" s="793">
        <v>3827369.4509963905</v>
      </c>
      <c r="GV88" s="874"/>
      <c r="GW88" s="874"/>
      <c r="GX88" s="874"/>
      <c r="GY88" s="793">
        <v>3507965.4066150682</v>
      </c>
      <c r="GZ88" s="874"/>
      <c r="HA88" s="874"/>
      <c r="HB88" s="874"/>
      <c r="HC88" s="793">
        <v>12353231.543775512</v>
      </c>
      <c r="HD88" s="874"/>
      <c r="HE88" s="874"/>
      <c r="HF88" s="874"/>
      <c r="HG88" s="793"/>
      <c r="HH88" s="874"/>
      <c r="HI88" s="874"/>
      <c r="HJ88" s="874"/>
      <c r="HK88" s="793"/>
      <c r="HL88" s="874"/>
      <c r="HM88" s="874"/>
      <c r="HN88" s="874"/>
      <c r="HO88" s="793"/>
      <c r="HP88" s="874"/>
      <c r="HQ88" s="874"/>
      <c r="HR88" s="874"/>
      <c r="HS88" s="793"/>
      <c r="HT88" s="874"/>
      <c r="HU88" s="874"/>
      <c r="HV88" s="874"/>
      <c r="HW88" s="793">
        <v>17382.762929173587</v>
      </c>
      <c r="HX88" s="874"/>
      <c r="HY88" s="874"/>
      <c r="HZ88" s="874"/>
      <c r="IA88" s="793">
        <v>12062.63846101399</v>
      </c>
      <c r="IB88" s="874"/>
      <c r="IC88" s="874"/>
      <c r="ID88" s="874"/>
      <c r="IE88" s="793">
        <v>1644020.6281051305</v>
      </c>
      <c r="IF88" s="874"/>
      <c r="IG88" s="874"/>
      <c r="IH88" s="874"/>
      <c r="II88" s="793">
        <v>82500.443980170428</v>
      </c>
      <c r="IJ88" s="874"/>
      <c r="IK88" s="874"/>
      <c r="IL88" s="874"/>
      <c r="IM88" s="793">
        <v>121022.26868347084</v>
      </c>
      <c r="IN88" s="874"/>
      <c r="IO88" s="874"/>
      <c r="IP88" s="874"/>
      <c r="IQ88" s="793">
        <v>2541.1826707084738</v>
      </c>
      <c r="IR88" s="874"/>
      <c r="IS88" s="874"/>
      <c r="IT88" s="874"/>
      <c r="IU88" s="793">
        <v>2541.1826707084738</v>
      </c>
      <c r="IV88" s="874"/>
      <c r="IW88" s="874"/>
      <c r="IX88" s="874"/>
      <c r="IY88" s="793">
        <v>134080.55956936243</v>
      </c>
      <c r="IZ88" s="874"/>
      <c r="JA88" s="874"/>
      <c r="JB88" s="874"/>
      <c r="JC88" s="793">
        <v>134080.55956936243</v>
      </c>
      <c r="JD88" s="874"/>
      <c r="JE88" s="874"/>
      <c r="JF88" s="874"/>
      <c r="JG88" s="793">
        <v>38029.139750370909</v>
      </c>
      <c r="JH88" s="874"/>
      <c r="JI88" s="874"/>
      <c r="JJ88" s="874"/>
      <c r="JK88" s="793">
        <v>115040.2115797752</v>
      </c>
      <c r="JL88" s="874"/>
      <c r="JM88" s="874"/>
      <c r="JN88" s="874"/>
      <c r="JO88" s="793">
        <v>60272.828969099501</v>
      </c>
      <c r="JP88" s="874"/>
      <c r="JQ88" s="874"/>
      <c r="JR88" s="874"/>
      <c r="JS88" s="793"/>
      <c r="JT88" s="874"/>
      <c r="JU88" s="874"/>
      <c r="JV88" s="874"/>
      <c r="JW88" s="793"/>
      <c r="JX88" s="874"/>
      <c r="JY88" s="874"/>
      <c r="JZ88" s="874"/>
      <c r="KA88" s="793"/>
      <c r="KB88" s="874"/>
      <c r="KC88" s="874"/>
      <c r="KD88" s="874"/>
      <c r="KE88" s="793"/>
      <c r="KF88" s="874"/>
      <c r="KG88" s="874"/>
      <c r="KH88" s="874"/>
      <c r="KI88" s="793">
        <v>416769.56679325859</v>
      </c>
      <c r="KJ88" s="874"/>
      <c r="KK88" s="874"/>
      <c r="KL88" s="874"/>
      <c r="KM88" s="793">
        <v>601570.66752285673</v>
      </c>
      <c r="KN88" s="874"/>
      <c r="KO88" s="874"/>
      <c r="KP88" s="874"/>
      <c r="KQ88" s="793"/>
      <c r="KR88" s="874"/>
      <c r="KS88" s="874"/>
      <c r="KT88" s="874"/>
      <c r="KU88" s="793">
        <v>21838.55016525602</v>
      </c>
      <c r="KV88" s="874"/>
      <c r="KW88" s="874"/>
      <c r="KX88" s="874"/>
      <c r="KY88" s="793"/>
      <c r="KZ88" s="874"/>
      <c r="LA88" s="874"/>
      <c r="LB88" s="874"/>
      <c r="LC88" s="793"/>
      <c r="LD88" s="874"/>
      <c r="LE88" s="874"/>
      <c r="LF88" s="874"/>
      <c r="LG88" s="793"/>
      <c r="LH88" s="874"/>
      <c r="LI88" s="874"/>
      <c r="LJ88" s="874"/>
      <c r="LK88" s="793"/>
      <c r="LL88" s="874"/>
      <c r="LM88" s="874"/>
      <c r="LN88" s="874"/>
      <c r="LO88" s="793"/>
      <c r="LP88" s="874"/>
      <c r="LQ88" s="874"/>
      <c r="LR88" s="874"/>
      <c r="LS88" s="793">
        <v>144841.61536635674</v>
      </c>
      <c r="LT88" s="874"/>
      <c r="LU88" s="874"/>
      <c r="LV88" s="874"/>
      <c r="LW88" s="793">
        <f>KM57</f>
        <v>0</v>
      </c>
      <c r="LX88" s="874"/>
      <c r="LY88" s="874"/>
      <c r="LZ88" s="874"/>
      <c r="MA88" s="793"/>
      <c r="MB88" s="874"/>
      <c r="MC88" s="874"/>
      <c r="MD88" s="874"/>
      <c r="ME88" s="793">
        <f>KU57</f>
        <v>0</v>
      </c>
      <c r="MF88" s="874"/>
      <c r="MG88" s="874"/>
      <c r="MH88" s="874"/>
      <c r="MI88" s="793"/>
      <c r="MJ88" s="874"/>
      <c r="MK88" s="874"/>
      <c r="ML88" s="874"/>
      <c r="MM88" s="793"/>
      <c r="MN88" s="874"/>
      <c r="MO88" s="874"/>
      <c r="MP88" s="874"/>
      <c r="MQ88" s="793"/>
      <c r="MR88" s="874"/>
      <c r="MS88" s="874"/>
      <c r="MT88" s="874"/>
      <c r="MU88" s="793"/>
      <c r="MV88" s="874"/>
      <c r="MW88" s="874"/>
      <c r="MX88" s="874"/>
      <c r="MY88" s="793">
        <f>LS57</f>
        <v>0</v>
      </c>
      <c r="MZ88" s="874"/>
      <c r="NA88" s="874"/>
      <c r="NB88" s="874"/>
      <c r="NC88" s="793"/>
      <c r="ND88" s="874"/>
      <c r="NE88" s="874"/>
      <c r="NF88" s="874"/>
      <c r="NG88" s="793"/>
      <c r="NH88" s="874"/>
      <c r="NI88" s="874"/>
      <c r="NJ88" s="874"/>
      <c r="NK88" s="874"/>
      <c r="NL88" s="874"/>
      <c r="NM88" s="874"/>
      <c r="NN88" s="874"/>
      <c r="NO88" s="874"/>
      <c r="NP88" s="874"/>
      <c r="NQ88" s="874"/>
    </row>
    <row r="89" spans="1:381">
      <c r="A89" s="874" t="s">
        <v>633</v>
      </c>
      <c r="B89" s="874" t="s">
        <v>474</v>
      </c>
      <c r="C89" s="938"/>
      <c r="D89" s="874"/>
      <c r="E89" s="874"/>
      <c r="F89" s="874"/>
      <c r="G89" s="793">
        <v>284279.90695593524</v>
      </c>
      <c r="H89" s="874"/>
      <c r="I89" s="874"/>
      <c r="J89" s="874"/>
      <c r="K89" s="793">
        <v>156362.90973033541</v>
      </c>
      <c r="L89" s="874"/>
      <c r="M89" s="874"/>
      <c r="N89" s="874"/>
      <c r="O89" s="793">
        <v>68791.467653197658</v>
      </c>
      <c r="P89" s="874"/>
      <c r="Q89" s="874"/>
      <c r="R89" s="874"/>
      <c r="S89" s="793">
        <v>1214919.8516143684</v>
      </c>
      <c r="T89" s="874"/>
      <c r="U89" s="874"/>
      <c r="V89" s="874"/>
      <c r="W89" s="793">
        <v>1066617.9150159745</v>
      </c>
      <c r="X89" s="874"/>
      <c r="Y89" s="874"/>
      <c r="Z89" s="874"/>
      <c r="AA89" s="793">
        <v>367937.02809701482</v>
      </c>
      <c r="AB89" s="874"/>
      <c r="AC89" s="874"/>
      <c r="AD89" s="874"/>
      <c r="AE89" s="793">
        <v>3567749.054778201</v>
      </c>
      <c r="AF89" s="874"/>
      <c r="AG89" s="874"/>
      <c r="AH89" s="874"/>
      <c r="AI89" s="793">
        <v>7429989.9844323229</v>
      </c>
      <c r="AJ89" s="837"/>
      <c r="AK89" s="837"/>
      <c r="AL89" s="837"/>
      <c r="AM89" s="793">
        <v>2261747.1193012372</v>
      </c>
      <c r="AN89" s="874"/>
      <c r="AO89" s="874"/>
      <c r="AP89" s="874"/>
      <c r="AQ89" s="793">
        <v>1860830.4320845401</v>
      </c>
      <c r="AR89" s="874"/>
      <c r="AS89" s="874"/>
      <c r="AT89" s="874"/>
      <c r="AU89" s="793">
        <v>2437030.6248879316</v>
      </c>
      <c r="AV89" s="874"/>
      <c r="AW89" s="874"/>
      <c r="AX89" s="874"/>
      <c r="AY89" s="793">
        <v>2823085.3655225467</v>
      </c>
      <c r="AZ89" s="874"/>
      <c r="BA89" s="874"/>
      <c r="BB89" s="874"/>
      <c r="BC89" s="793">
        <v>1906559.3300949773</v>
      </c>
      <c r="BD89" s="874"/>
      <c r="BE89" s="874"/>
      <c r="BF89" s="874"/>
      <c r="BG89" s="793">
        <v>15487161.307696249</v>
      </c>
      <c r="BH89" s="874"/>
      <c r="BI89" s="874"/>
      <c r="BJ89" s="874"/>
      <c r="BK89" s="793">
        <v>2320415.835713808</v>
      </c>
      <c r="BL89" s="874"/>
      <c r="BM89" s="874"/>
      <c r="BN89" s="874"/>
      <c r="BO89" s="793">
        <v>528076.03797659639</v>
      </c>
      <c r="BP89" s="874"/>
      <c r="BQ89" s="874"/>
      <c r="BR89" s="874"/>
      <c r="BS89" s="793">
        <v>401224.8499102089</v>
      </c>
      <c r="BT89" s="874"/>
      <c r="BU89" s="874"/>
      <c r="BV89" s="874"/>
      <c r="BW89" s="793">
        <v>6599497.159553593</v>
      </c>
      <c r="BX89" s="874"/>
      <c r="BY89" s="874"/>
      <c r="BZ89" s="874"/>
      <c r="CA89" s="793">
        <v>27622096.260542162</v>
      </c>
      <c r="CB89" s="874"/>
      <c r="CC89" s="874"/>
      <c r="CD89" s="874"/>
      <c r="CE89" s="793">
        <v>0</v>
      </c>
      <c r="CF89" s="874"/>
      <c r="CG89" s="874"/>
      <c r="CH89" s="874"/>
      <c r="CI89" s="793">
        <v>2252930.7987438547</v>
      </c>
      <c r="CJ89" s="812"/>
      <c r="CK89" s="812"/>
      <c r="CL89" s="812"/>
      <c r="CM89" s="793">
        <v>2428792.3199654878</v>
      </c>
      <c r="CN89" s="812"/>
      <c r="CO89" s="812"/>
      <c r="CP89" s="812"/>
      <c r="CQ89" s="793">
        <v>1752145.7865605864</v>
      </c>
      <c r="CR89" s="874"/>
      <c r="CS89" s="874"/>
      <c r="CT89" s="874"/>
      <c r="CU89" s="793">
        <v>506247.59862882533</v>
      </c>
      <c r="CV89" s="874"/>
      <c r="CW89" s="874"/>
      <c r="CX89" s="874"/>
      <c r="CY89" s="793">
        <v>1869343.465798422</v>
      </c>
      <c r="CZ89" s="874"/>
      <c r="DA89" s="874"/>
      <c r="DB89" s="874"/>
      <c r="DC89" s="793">
        <v>2753626.6585903396</v>
      </c>
      <c r="DD89" s="874"/>
      <c r="DE89" s="874"/>
      <c r="DF89" s="874"/>
      <c r="DG89" s="793">
        <v>3135963.7541464521</v>
      </c>
      <c r="DH89" s="874"/>
      <c r="DI89" s="874"/>
      <c r="DJ89" s="874"/>
      <c r="DK89" s="793">
        <v>1788454.8491479831</v>
      </c>
      <c r="DL89" s="874"/>
      <c r="DM89" s="874"/>
      <c r="DN89" s="874"/>
      <c r="DO89" s="793">
        <v>3208705.614992836</v>
      </c>
      <c r="DP89" s="874"/>
      <c r="DQ89" s="874"/>
      <c r="DR89" s="874"/>
      <c r="DS89" s="793">
        <v>2022945.8661213508</v>
      </c>
      <c r="DT89" s="874"/>
      <c r="DU89" s="874"/>
      <c r="DV89" s="874"/>
      <c r="DW89" s="793">
        <v>15017854.122458605</v>
      </c>
      <c r="EA89" s="793">
        <v>5393718.421460472</v>
      </c>
      <c r="EE89" s="793">
        <v>2275330.5770303258</v>
      </c>
      <c r="EF89" s="874"/>
      <c r="EG89" s="874"/>
      <c r="EH89" s="874"/>
      <c r="EI89" s="793">
        <v>14016507.926093157</v>
      </c>
      <c r="EJ89" s="874"/>
      <c r="EK89" s="874"/>
      <c r="EL89" s="874"/>
      <c r="EM89" s="793">
        <v>216771.80438102255</v>
      </c>
      <c r="EN89" s="874"/>
      <c r="EO89" s="874"/>
      <c r="EP89" s="874"/>
      <c r="EQ89" s="793">
        <v>33820.409445473102</v>
      </c>
      <c r="ER89" s="874"/>
      <c r="ES89" s="874"/>
      <c r="ET89" s="874"/>
      <c r="EU89" s="793">
        <v>3933089.7608183702</v>
      </c>
      <c r="EV89" s="874"/>
      <c r="EW89" s="874"/>
      <c r="EX89" s="874"/>
      <c r="EY89" s="793">
        <v>243356.73818492622</v>
      </c>
      <c r="EZ89" s="874"/>
      <c r="FA89" s="874"/>
      <c r="FB89" s="874"/>
      <c r="FC89" s="793">
        <v>2293609.111628097</v>
      </c>
      <c r="FD89" s="874"/>
      <c r="FE89" s="874"/>
      <c r="FF89" s="874"/>
      <c r="FG89" s="793">
        <v>1030305.0346446285</v>
      </c>
      <c r="FH89" s="874"/>
      <c r="FI89" s="874"/>
      <c r="FJ89" s="874"/>
      <c r="FK89" s="793">
        <v>878734.57990801497</v>
      </c>
      <c r="FL89" s="874"/>
      <c r="FM89" s="874"/>
      <c r="FN89" s="874"/>
      <c r="FO89" s="793">
        <v>517977.67941651458</v>
      </c>
      <c r="FP89" s="874"/>
      <c r="FQ89" s="874"/>
      <c r="FR89" s="874"/>
      <c r="FS89" s="793">
        <v>3374847.2154682055</v>
      </c>
      <c r="FT89" s="874"/>
      <c r="FU89" s="874"/>
      <c r="FV89" s="874"/>
      <c r="FW89" s="793">
        <v>745469.99079871119</v>
      </c>
      <c r="FX89" s="874"/>
      <c r="FY89" s="874"/>
      <c r="FZ89" s="874"/>
      <c r="GA89" s="793">
        <v>3271838.2351960372</v>
      </c>
      <c r="GB89" s="874"/>
      <c r="GC89" s="874"/>
      <c r="GD89" s="874"/>
      <c r="GE89" s="793">
        <v>542554.7060448078</v>
      </c>
      <c r="GF89" s="874"/>
      <c r="GG89" s="874"/>
      <c r="GH89" s="874"/>
      <c r="GI89" s="793">
        <v>544556.75612508738</v>
      </c>
      <c r="GJ89" s="874"/>
      <c r="GK89" s="874"/>
      <c r="GL89" s="874"/>
      <c r="GM89" s="793">
        <v>119106.85356947371</v>
      </c>
      <c r="GN89" s="874"/>
      <c r="GO89" s="874"/>
      <c r="GP89" s="874"/>
      <c r="GQ89" s="793">
        <v>968224.44388212659</v>
      </c>
      <c r="GU89" s="793">
        <v>3827369.4509963905</v>
      </c>
      <c r="GV89" s="874"/>
      <c r="GW89" s="874"/>
      <c r="GX89" s="874"/>
      <c r="GY89" s="793">
        <v>3507965.4066150682</v>
      </c>
      <c r="GZ89" s="874"/>
      <c r="HA89" s="874"/>
      <c r="HB89" s="874"/>
      <c r="HC89" s="793">
        <v>12353231.543775512</v>
      </c>
      <c r="HD89" s="874"/>
      <c r="HE89" s="874"/>
      <c r="HF89" s="874"/>
      <c r="HG89" s="793"/>
      <c r="HH89" s="874"/>
      <c r="HI89" s="874"/>
      <c r="HJ89" s="874"/>
      <c r="HK89" s="793"/>
      <c r="HL89" s="874"/>
      <c r="HM89" s="874"/>
      <c r="HN89" s="874"/>
      <c r="HO89" s="793"/>
      <c r="HP89" s="874"/>
      <c r="HQ89" s="874"/>
      <c r="HR89" s="874"/>
      <c r="HS89" s="793"/>
      <c r="HT89" s="874"/>
      <c r="HU89" s="874"/>
      <c r="HV89" s="874"/>
      <c r="HW89" s="793">
        <v>17382.762929173587</v>
      </c>
      <c r="HX89" s="874"/>
      <c r="HY89" s="874"/>
      <c r="HZ89" s="874"/>
      <c r="IA89" s="793">
        <v>12062.63846101399</v>
      </c>
      <c r="IB89" s="874"/>
      <c r="IC89" s="874"/>
      <c r="ID89" s="874"/>
      <c r="IE89" s="793">
        <v>1644020.6281051305</v>
      </c>
      <c r="IF89" s="874"/>
      <c r="IG89" s="874"/>
      <c r="IH89" s="874"/>
      <c r="II89" s="793">
        <v>82500.443980170428</v>
      </c>
      <c r="IJ89" s="874"/>
      <c r="IK89" s="874"/>
      <c r="IL89" s="874"/>
      <c r="IM89" s="793">
        <v>121022.26868347084</v>
      </c>
      <c r="IN89" s="874"/>
      <c r="IO89" s="874"/>
      <c r="IP89" s="874"/>
      <c r="IQ89" s="793">
        <v>2541.1826707084738</v>
      </c>
      <c r="IR89" s="874"/>
      <c r="IS89" s="874"/>
      <c r="IT89" s="874"/>
      <c r="IU89" s="793">
        <v>2541.1826707084738</v>
      </c>
      <c r="IV89" s="874"/>
      <c r="IW89" s="874"/>
      <c r="IX89" s="874"/>
      <c r="IY89" s="793">
        <v>134080.55956936243</v>
      </c>
      <c r="IZ89" s="874"/>
      <c r="JA89" s="874"/>
      <c r="JB89" s="874"/>
      <c r="JC89" s="793">
        <v>134080.55956936243</v>
      </c>
      <c r="JD89" s="874"/>
      <c r="JE89" s="874"/>
      <c r="JF89" s="874"/>
      <c r="JG89" s="793">
        <v>38029.139750370909</v>
      </c>
      <c r="JH89" s="874"/>
      <c r="JI89" s="874"/>
      <c r="JJ89" s="874"/>
      <c r="JK89" s="793">
        <v>115040.2115797752</v>
      </c>
      <c r="JL89" s="874"/>
      <c r="JM89" s="874"/>
      <c r="JN89" s="874"/>
      <c r="JO89" s="793">
        <v>60272.828969099501</v>
      </c>
      <c r="JP89" s="874"/>
      <c r="JQ89" s="874"/>
      <c r="JR89" s="874"/>
      <c r="JS89" s="793"/>
      <c r="JT89" s="874"/>
      <c r="JU89" s="874"/>
      <c r="JV89" s="874"/>
      <c r="JW89" s="793"/>
      <c r="JX89" s="874"/>
      <c r="JY89" s="874"/>
      <c r="JZ89" s="874"/>
      <c r="KA89" s="793"/>
      <c r="KB89" s="874"/>
      <c r="KC89" s="874"/>
      <c r="KD89" s="874"/>
      <c r="KE89" s="793"/>
      <c r="KF89" s="874"/>
      <c r="KG89" s="874"/>
      <c r="KH89" s="874"/>
      <c r="KI89" s="793">
        <v>416769.56679325859</v>
      </c>
      <c r="KJ89" s="874"/>
      <c r="KK89" s="874"/>
      <c r="KL89" s="874"/>
      <c r="KM89" s="793">
        <v>601570.66752285673</v>
      </c>
      <c r="KN89" s="874"/>
      <c r="KO89" s="874"/>
      <c r="KP89" s="874"/>
      <c r="KQ89" s="793"/>
      <c r="KR89" s="874"/>
      <c r="KS89" s="874"/>
      <c r="KT89" s="874"/>
      <c r="KU89" s="793">
        <v>21838.55016525602</v>
      </c>
      <c r="KV89" s="874"/>
      <c r="KW89" s="874"/>
      <c r="KX89" s="874"/>
      <c r="KY89" s="793"/>
      <c r="KZ89" s="874"/>
      <c r="LA89" s="874"/>
      <c r="LB89" s="874"/>
      <c r="LC89" s="793"/>
      <c r="LD89" s="874"/>
      <c r="LE89" s="874"/>
      <c r="LF89" s="874"/>
      <c r="LG89" s="793"/>
      <c r="LH89" s="874"/>
      <c r="LI89" s="874"/>
      <c r="LJ89" s="874"/>
      <c r="LK89" s="793"/>
      <c r="LL89" s="874"/>
      <c r="LM89" s="874"/>
      <c r="LN89" s="874"/>
      <c r="LO89" s="793"/>
      <c r="LP89" s="874"/>
      <c r="LQ89" s="874"/>
      <c r="LR89" s="874"/>
      <c r="LS89" s="793">
        <v>144841.61536635674</v>
      </c>
      <c r="LT89" s="874"/>
      <c r="LU89" s="874"/>
      <c r="LV89" s="874"/>
      <c r="LW89" s="793">
        <f>KM58</f>
        <v>0</v>
      </c>
      <c r="LX89" s="874"/>
      <c r="LY89" s="874"/>
      <c r="LZ89" s="874"/>
      <c r="MA89" s="793"/>
      <c r="MB89" s="874"/>
      <c r="MC89" s="874"/>
      <c r="MD89" s="874"/>
      <c r="ME89" s="793">
        <f>KU58</f>
        <v>0</v>
      </c>
      <c r="MF89" s="874"/>
      <c r="MG89" s="874"/>
      <c r="MH89" s="874"/>
      <c r="MI89" s="793"/>
      <c r="MJ89" s="874"/>
      <c r="MK89" s="874"/>
      <c r="ML89" s="874"/>
      <c r="MM89" s="793"/>
      <c r="MN89" s="874"/>
      <c r="MO89" s="874"/>
      <c r="MP89" s="874"/>
      <c r="MQ89" s="793"/>
      <c r="MR89" s="874"/>
      <c r="MS89" s="874"/>
      <c r="MT89" s="874"/>
      <c r="MU89" s="793"/>
      <c r="MV89" s="874"/>
      <c r="MW89" s="874"/>
      <c r="MX89" s="874"/>
      <c r="MY89" s="793">
        <f>LS58</f>
        <v>0</v>
      </c>
      <c r="MZ89" s="874"/>
      <c r="NA89" s="874"/>
      <c r="NB89" s="874"/>
      <c r="NC89" s="793"/>
      <c r="ND89" s="874"/>
      <c r="NE89" s="874"/>
      <c r="NF89" s="874"/>
      <c r="NG89" s="793"/>
      <c r="NH89" s="874"/>
      <c r="NI89" s="874"/>
      <c r="NJ89" s="874"/>
      <c r="NK89" s="874"/>
      <c r="NL89" s="874"/>
      <c r="NM89" s="874"/>
      <c r="NN89" s="874"/>
      <c r="NO89" s="874"/>
      <c r="NP89" s="874"/>
      <c r="NQ89" s="874"/>
    </row>
    <row r="90" spans="1:381">
      <c r="A90" s="874" t="s">
        <v>631</v>
      </c>
      <c r="B90" s="874" t="s">
        <v>1009</v>
      </c>
      <c r="C90" s="938"/>
      <c r="D90" s="874"/>
      <c r="E90" s="874"/>
      <c r="F90" s="874"/>
      <c r="G90" s="1026">
        <f>G88-G86</f>
        <v>13930.292071063304</v>
      </c>
      <c r="H90" s="1027"/>
      <c r="I90" s="1027"/>
      <c r="J90" s="1027"/>
      <c r="K90" s="1026">
        <f>K88-K86</f>
        <v>-74454.047674106754</v>
      </c>
      <c r="L90" s="1027"/>
      <c r="M90" s="1027"/>
      <c r="N90" s="1027"/>
      <c r="O90" s="1026">
        <f>O88-O86</f>
        <v>68791.467653197658</v>
      </c>
      <c r="P90" s="1027"/>
      <c r="Q90" s="1027"/>
      <c r="R90" s="1027"/>
      <c r="S90" s="1026">
        <f>S88-S86</f>
        <v>56957.999990839278</v>
      </c>
      <c r="T90" s="1027"/>
      <c r="U90" s="1027"/>
      <c r="V90" s="1027"/>
      <c r="W90" s="1026">
        <f>W88-W86</f>
        <v>53855.389036138076</v>
      </c>
      <c r="X90" s="1027"/>
      <c r="Y90" s="1027"/>
      <c r="Z90" s="1027"/>
      <c r="AA90" s="1026">
        <f t="shared" ref="AA90:AA91" si="880">AA88-AA86</f>
        <v>17926.528318666038</v>
      </c>
      <c r="AB90" s="1027"/>
      <c r="AC90" s="1027"/>
      <c r="AD90" s="1027"/>
      <c r="AE90" s="1026">
        <f t="shared" ref="AE90:AE91" si="881">AE88-AE86</f>
        <v>162622.27070133248</v>
      </c>
      <c r="AF90" s="1027"/>
      <c r="AG90" s="1027"/>
      <c r="AH90" s="1027"/>
      <c r="AI90" s="1026">
        <f t="shared" ref="AI90:AI91" si="882">AI88-AI86</f>
        <v>337849.86487135757</v>
      </c>
      <c r="AJ90" s="1027"/>
      <c r="AK90" s="1027"/>
      <c r="AL90" s="1027"/>
      <c r="AM90" s="1026">
        <f t="shared" ref="AM90:AM91" si="883">AM88-AM86</f>
        <v>89454.363983196905</v>
      </c>
      <c r="AN90" s="1027"/>
      <c r="AO90" s="1027"/>
      <c r="AP90" s="1027"/>
      <c r="AQ90" s="1026">
        <f t="shared" ref="AQ90:AQ91" si="884">AQ88-AQ86</f>
        <v>70749.532726688311</v>
      </c>
      <c r="AR90" s="1027"/>
      <c r="AS90" s="1027"/>
      <c r="AT90" s="1027"/>
      <c r="AU90" s="1026">
        <f t="shared" ref="AU90:AU91" si="885">AU88-AU86</f>
        <v>106604.03594930051</v>
      </c>
      <c r="AV90" s="1027"/>
      <c r="AW90" s="1027"/>
      <c r="AX90" s="1027"/>
      <c r="AY90" s="1026">
        <f t="shared" ref="AY90:AY91" si="886">AY88-AY86</f>
        <v>127989.98717616079</v>
      </c>
      <c r="AZ90" s="1027"/>
      <c r="BA90" s="1027"/>
      <c r="BB90" s="1027"/>
      <c r="BC90" s="1026">
        <f t="shared" ref="BC90:BC91" si="887">BC88-BC86</f>
        <v>86346.878606815357</v>
      </c>
      <c r="BD90" s="1027"/>
      <c r="BE90" s="1027"/>
      <c r="BF90" s="1027"/>
      <c r="BG90" s="1026">
        <f t="shared" ref="BG90:BG91" si="888">BG88-BG86</f>
        <v>1316095.4572793543</v>
      </c>
      <c r="BH90" s="1027"/>
      <c r="BI90" s="1027"/>
      <c r="BJ90" s="1027"/>
      <c r="BK90" s="1026">
        <f t="shared" ref="BK90:BK91" si="889">BK88-BK86</f>
        <v>104908.49411811307</v>
      </c>
      <c r="BL90" s="1027"/>
      <c r="BM90" s="1027"/>
      <c r="BN90" s="1027"/>
      <c r="BO90" s="1026">
        <f t="shared" ref="BO90:BO91" si="890">BO88-BO86</f>
        <v>23874.885299143847</v>
      </c>
      <c r="BP90" s="1027"/>
      <c r="BQ90" s="1027"/>
      <c r="BR90" s="1027"/>
      <c r="BS90" s="1026">
        <f t="shared" ref="BS90:BS91" si="891">BS88-BS86</f>
        <v>18248.567996327765</v>
      </c>
      <c r="BT90" s="1027"/>
      <c r="BU90" s="1027"/>
      <c r="BV90" s="1027"/>
      <c r="BW90" s="1026">
        <f t="shared" ref="BW90:BW91" si="892">BW88-BW86</f>
        <v>353767.83111039642</v>
      </c>
      <c r="BX90" s="1027"/>
      <c r="BY90" s="1027"/>
      <c r="BZ90" s="1027"/>
      <c r="CA90" s="1026">
        <f t="shared" ref="CA90:CA91" si="893">CA88-CA86</f>
        <v>1291055.9300545007</v>
      </c>
      <c r="CB90" s="1027"/>
      <c r="CC90" s="1027"/>
      <c r="CD90" s="1027"/>
      <c r="CE90" s="1026">
        <f t="shared" ref="CE90:CE91" si="894">CE88-CE86</f>
        <v>0</v>
      </c>
      <c r="CF90" s="1027"/>
      <c r="CG90" s="1027"/>
      <c r="CH90" s="1027"/>
      <c r="CI90" s="1026">
        <f t="shared" ref="CI90:CI91" si="895">CI88-CI86</f>
        <v>102468.13197412621</v>
      </c>
      <c r="CJ90" s="1027"/>
      <c r="CK90" s="1027"/>
      <c r="CL90" s="1027"/>
      <c r="CM90" s="1026">
        <f t="shared" ref="CM90:CM91" si="896">CM88-CM86</f>
        <v>110269.54492932046</v>
      </c>
      <c r="CN90" s="1027"/>
      <c r="CO90" s="1027"/>
      <c r="CP90" s="1027"/>
      <c r="CQ90" s="1026">
        <f t="shared" ref="CQ90:CQ91" si="897">CQ88-CQ86</f>
        <v>79835.755287764361</v>
      </c>
      <c r="CR90" s="1027"/>
      <c r="CS90" s="1027"/>
      <c r="CT90" s="1027"/>
      <c r="CU90" s="1026">
        <f t="shared" ref="CU90:CU91" si="898">CU88-CU86</f>
        <v>23025.228194672498</v>
      </c>
      <c r="CV90" s="1027"/>
      <c r="CW90" s="1027"/>
      <c r="CX90" s="1027"/>
      <c r="CY90" s="1026">
        <f t="shared" ref="CY90:CY91" si="899">CY88-CY86</f>
        <v>85300.773760162061</v>
      </c>
      <c r="CZ90" s="1027"/>
      <c r="DA90" s="1027"/>
      <c r="DB90" s="1027"/>
      <c r="DC90" s="1026">
        <f t="shared" ref="DC90:DC91" si="900">DC88-DC86</f>
        <v>124973.04261675477</v>
      </c>
      <c r="DD90" s="1027"/>
      <c r="DE90" s="1027"/>
      <c r="DF90" s="1027"/>
      <c r="DG90" s="1026">
        <f t="shared" ref="DG90:DG91" si="901">DG88-DG86</f>
        <v>124972.64417921286</v>
      </c>
      <c r="DH90" s="1027"/>
      <c r="DI90" s="1027"/>
      <c r="DJ90" s="1027"/>
      <c r="DK90" s="1026">
        <f t="shared" ref="DK90:DK91" si="902">DK88-DK86</f>
        <v>125407.95498850383</v>
      </c>
      <c r="DL90" s="1027"/>
      <c r="DM90" s="1027"/>
      <c r="DN90" s="1027"/>
      <c r="DO90" s="1026">
        <f t="shared" ref="DO90:DO91" si="903">DO88-DO86</f>
        <v>144920.06555045769</v>
      </c>
      <c r="DP90" s="1027"/>
      <c r="DQ90" s="1027"/>
      <c r="DR90" s="1027"/>
      <c r="DS90" s="1026">
        <f t="shared" ref="DS90:DS91" si="904">DS88-DS86</f>
        <v>91617.951968711102</v>
      </c>
      <c r="DT90" s="1027"/>
      <c r="DU90" s="1027"/>
      <c r="DV90" s="1027"/>
      <c r="DW90" s="1026">
        <f t="shared" ref="DW90:DW91" si="905">DW88-DW86</f>
        <v>697757.61656434834</v>
      </c>
      <c r="DX90" s="1027"/>
      <c r="DY90" s="1027"/>
      <c r="DZ90" s="1027"/>
      <c r="EA90" s="1026">
        <f t="shared" ref="EA90:EA91" si="906">EA88-EA86</f>
        <v>246407.12528283428</v>
      </c>
      <c r="EB90" s="1027"/>
      <c r="EC90" s="1027"/>
      <c r="ED90" s="1027"/>
      <c r="EE90" s="1026">
        <f t="shared" ref="EE90:EE91" si="907">EE88-EE86</f>
        <v>118456.13148061209</v>
      </c>
      <c r="EF90" s="1027"/>
      <c r="EG90" s="1027"/>
      <c r="EH90" s="1027"/>
      <c r="EI90" s="1026">
        <f t="shared" ref="EI90:EI91" si="908">EI88-EI86</f>
        <v>646177.78770345077</v>
      </c>
      <c r="EJ90" s="1027"/>
      <c r="EK90" s="1027"/>
      <c r="EL90" s="1027"/>
      <c r="EM90" s="1026">
        <f t="shared" ref="EM90:EM91" si="909">EM88-EM86</f>
        <v>10445.088798210287</v>
      </c>
      <c r="EN90" s="1027"/>
      <c r="EO90" s="1027"/>
      <c r="EP90" s="1027"/>
      <c r="EQ90" s="1026">
        <f t="shared" ref="EQ90:EQ91" si="910">EQ88-EQ86</f>
        <v>1551.481213081468</v>
      </c>
      <c r="ER90" s="1027"/>
      <c r="ES90" s="1027"/>
      <c r="ET90" s="1027"/>
      <c r="EU90" s="1026">
        <f t="shared" ref="EU90:EU91" si="911">EU88-EU86</f>
        <v>179758.33886209223</v>
      </c>
      <c r="EV90" s="1027"/>
      <c r="EW90" s="1027"/>
      <c r="EX90" s="1027"/>
      <c r="EY90" s="1026">
        <f t="shared" ref="EY90:EY91" si="912">EY88-EY86</f>
        <v>11152.057598785264</v>
      </c>
      <c r="EZ90" s="1027"/>
      <c r="FA90" s="1027"/>
      <c r="FB90" s="1027"/>
      <c r="FC90" s="1026">
        <f t="shared" ref="FC90:FC91" si="913">FC88-FC86</f>
        <v>275852.23623587214</v>
      </c>
      <c r="FD90" s="1027"/>
      <c r="FE90" s="1027"/>
      <c r="FF90" s="1027"/>
      <c r="FG90" s="1026">
        <f t="shared" ref="FG90:FG91" si="914">FG88-FG86</f>
        <v>47519.215698021464</v>
      </c>
      <c r="FH90" s="1027"/>
      <c r="FI90" s="1027"/>
      <c r="FJ90" s="1027"/>
      <c r="FK90" s="1026">
        <f t="shared" ref="FK90:FK91" si="915">FK88-FK86</f>
        <v>40144.190853612265</v>
      </c>
      <c r="FL90" s="1027"/>
      <c r="FM90" s="1027"/>
      <c r="FN90" s="1027"/>
      <c r="FO90" s="1026">
        <f t="shared" ref="FO90:FO91" si="916">FO88-FO86</f>
        <v>23846.542063530593</v>
      </c>
      <c r="FP90" s="1027"/>
      <c r="FQ90" s="1027"/>
      <c r="FR90" s="1027"/>
      <c r="FS90" s="1026">
        <f t="shared" ref="FS90:FS91" si="917">FS88-FS86</f>
        <v>186670.91106246179</v>
      </c>
      <c r="FT90" s="1027"/>
      <c r="FU90" s="1027"/>
      <c r="FV90" s="1027"/>
      <c r="FW90" s="1026">
        <f t="shared" ref="FW90:FW91" si="918">FW88-FW86</f>
        <v>36232.336219669669</v>
      </c>
      <c r="FX90" s="1027"/>
      <c r="FY90" s="1027"/>
      <c r="FZ90" s="1027"/>
      <c r="GA90" s="1026">
        <f t="shared" ref="GA90:GA91" si="919">GA88-GA86</f>
        <v>159298.11177685903</v>
      </c>
      <c r="GB90" s="1027"/>
      <c r="GC90" s="1027"/>
      <c r="GD90" s="1027"/>
      <c r="GE90" s="1026">
        <f t="shared" ref="GE90:GE91" si="920">GE88-GE86</f>
        <v>26424.944297055015</v>
      </c>
      <c r="GF90" s="1027"/>
      <c r="GG90" s="1027"/>
      <c r="GH90" s="1027"/>
      <c r="GI90" s="1026">
        <f t="shared" ref="GI90:GI91" si="921">GI88-GI86</f>
        <v>25061.148776672198</v>
      </c>
      <c r="GJ90" s="1027"/>
      <c r="GK90" s="1027"/>
      <c r="GL90" s="1027"/>
      <c r="GM90" s="1026">
        <f t="shared" ref="GM90:GM91" si="922">GM88-GM86</f>
        <v>5799.0326872511796</v>
      </c>
      <c r="GN90" s="1027"/>
      <c r="GO90" s="1027"/>
      <c r="GP90" s="1027"/>
      <c r="GQ90" s="1026">
        <f t="shared" ref="GQ90:GQ91" si="923">GQ88-GQ86</f>
        <v>46930.87639921566</v>
      </c>
      <c r="GR90" s="1027"/>
      <c r="GS90" s="1027"/>
      <c r="GT90" s="1027"/>
      <c r="GU90" s="1026">
        <f t="shared" ref="GU90:GU91" si="924">GU88-GU86</f>
        <v>184479.92304000864</v>
      </c>
      <c r="GV90" s="1027"/>
      <c r="GW90" s="1027"/>
      <c r="GX90" s="1027"/>
      <c r="GY90" s="1026">
        <f t="shared" ref="GY90:GY91" si="925">GY88-GY86</f>
        <v>168813.96184466733</v>
      </c>
      <c r="GZ90" s="1027"/>
      <c r="HA90" s="1027"/>
      <c r="HB90" s="1027"/>
      <c r="HC90" s="1026">
        <f t="shared" ref="HC90:HC91" si="926">HC88-HC86</f>
        <v>4835873.5297807828</v>
      </c>
      <c r="HD90" s="1027"/>
      <c r="HE90" s="1027"/>
      <c r="HF90" s="1027"/>
      <c r="HG90" s="1026">
        <f t="shared" ref="HG90:HG91" si="927">HG88-HG86</f>
        <v>0</v>
      </c>
      <c r="HH90" s="1027"/>
      <c r="HI90" s="1027"/>
      <c r="HJ90" s="1027"/>
      <c r="HK90" s="1026">
        <f t="shared" ref="HK90:HK91" si="928">HK88-HK86</f>
        <v>0</v>
      </c>
      <c r="HL90" s="1027"/>
      <c r="HM90" s="1027"/>
      <c r="HN90" s="1027"/>
      <c r="HO90" s="1026">
        <f t="shared" ref="HO90:HO91" si="929">HO88-HO86</f>
        <v>0</v>
      </c>
      <c r="HP90" s="1027"/>
      <c r="HQ90" s="1027"/>
      <c r="HR90" s="1027"/>
      <c r="HS90" s="1026">
        <f t="shared" ref="HS90:HS91" si="930">HS88-HS86</f>
        <v>0</v>
      </c>
      <c r="HT90" s="1027"/>
      <c r="HU90" s="1027"/>
      <c r="HV90" s="1027"/>
      <c r="HW90" s="1026">
        <f t="shared" ref="HW90:HW91" si="931">HW88-HW86</f>
        <v>837.85242278135047</v>
      </c>
      <c r="HX90" s="1027"/>
      <c r="HY90" s="1027"/>
      <c r="HZ90" s="1027"/>
      <c r="IA90" s="1026">
        <f t="shared" ref="IA90:IA91" si="932">IA88-IA86</f>
        <v>581.79745688256844</v>
      </c>
      <c r="IB90" s="1027"/>
      <c r="IC90" s="1027"/>
      <c r="ID90" s="1027"/>
      <c r="IE90" s="1026">
        <f t="shared" ref="IE90:IE91" si="933">IE88-IE86</f>
        <v>-392587.04846227495</v>
      </c>
      <c r="IF90" s="1027"/>
      <c r="IG90" s="1027"/>
      <c r="IH90" s="1027"/>
      <c r="II90" s="1026">
        <f t="shared" ref="II90:II91" si="934">II88-II86</f>
        <v>6380.8341691371461</v>
      </c>
      <c r="IJ90" s="1027"/>
      <c r="IK90" s="1027"/>
      <c r="IL90" s="1027"/>
      <c r="IM90" s="1026">
        <f t="shared" ref="IM90:IM91" si="935">IM88-IM86</f>
        <v>5829.5451927715912</v>
      </c>
      <c r="IN90" s="1027"/>
      <c r="IO90" s="1027"/>
      <c r="IP90" s="1027"/>
      <c r="IQ90" s="1026">
        <f t="shared" ref="IQ90:IQ91" si="936">IQ88-IQ86</f>
        <v>1862.7196636037925</v>
      </c>
      <c r="IR90" s="1027"/>
      <c r="IS90" s="1027"/>
      <c r="IT90" s="1027"/>
      <c r="IU90" s="1026">
        <f t="shared" ref="IU90:IU91" si="937">IU88-IU86</f>
        <v>1862.7196636037925</v>
      </c>
      <c r="IV90" s="1027"/>
      <c r="IW90" s="1027"/>
      <c r="IX90" s="1027"/>
      <c r="IY90" s="1026">
        <f t="shared" ref="IY90:IY91" si="938">IY88-IY86</f>
        <v>15705.590712171732</v>
      </c>
      <c r="IZ90" s="1027"/>
      <c r="JA90" s="1027"/>
      <c r="JB90" s="1027"/>
      <c r="JC90" s="1026">
        <f t="shared" ref="JC90:JC91" si="939">JC88-JC86</f>
        <v>15705.590712171732</v>
      </c>
      <c r="JD90" s="1027"/>
      <c r="JE90" s="1027"/>
      <c r="JF90" s="1027"/>
      <c r="JG90" s="1026">
        <f t="shared" ref="JG90:JG91" si="940">JG88-JG86</f>
        <v>38029.139750370909</v>
      </c>
      <c r="JH90" s="1027"/>
      <c r="JI90" s="1027"/>
      <c r="JJ90" s="1027"/>
      <c r="JK90" s="1026">
        <f t="shared" ref="JK90:JK91" si="941">JK88-JK86</f>
        <v>115040.2115797752</v>
      </c>
      <c r="JL90" s="1027"/>
      <c r="JM90" s="1027"/>
      <c r="JN90" s="1027"/>
      <c r="JO90" s="1026">
        <f t="shared" ref="JO90:JO91" si="942">JO88-JO86</f>
        <v>60272.828969099501</v>
      </c>
      <c r="JP90" s="1027"/>
      <c r="JQ90" s="1027"/>
      <c r="JR90" s="1027"/>
      <c r="JS90" s="1026">
        <f t="shared" ref="JS90:JS91" si="943">JS88-JS86</f>
        <v>0</v>
      </c>
      <c r="JT90" s="1027"/>
      <c r="JU90" s="1027"/>
      <c r="JV90" s="1027"/>
      <c r="JW90" s="1026">
        <f t="shared" ref="JW90:JW91" si="944">JW88-JW86</f>
        <v>0</v>
      </c>
      <c r="JX90" s="1027"/>
      <c r="JY90" s="1027"/>
      <c r="JZ90" s="1027"/>
      <c r="KA90" s="1026">
        <f t="shared" ref="KA90:KA91" si="945">KA88-KA86</f>
        <v>0</v>
      </c>
      <c r="KB90" s="1027"/>
      <c r="KC90" s="1027"/>
      <c r="KD90" s="1027"/>
      <c r="KE90" s="1026">
        <f t="shared" ref="KE90:KE91" si="946">KE88-KE86</f>
        <v>0</v>
      </c>
      <c r="KF90" s="1027"/>
      <c r="KG90" s="1027"/>
      <c r="KH90" s="1027"/>
      <c r="KI90" s="1026">
        <f t="shared" ref="KI90:KI91" si="947">KI88-KI86</f>
        <v>416769.56679325859</v>
      </c>
      <c r="KJ90" s="1027"/>
      <c r="KK90" s="1027"/>
      <c r="KL90" s="1027"/>
      <c r="KM90" s="1026">
        <f t="shared" ref="KM90:KM91" si="948">KM88-KM86</f>
        <v>601570.66752285673</v>
      </c>
      <c r="KN90" s="1027"/>
      <c r="KO90" s="1027"/>
      <c r="KP90" s="1027"/>
      <c r="KQ90" s="1026">
        <f t="shared" ref="KQ90:KQ91" si="949">KQ88-KQ86</f>
        <v>0</v>
      </c>
      <c r="KR90" s="1027"/>
      <c r="KS90" s="1027"/>
      <c r="KT90" s="1027"/>
      <c r="KU90" s="1026">
        <f t="shared" ref="KU90:KU91" si="950">KU88-KU86</f>
        <v>21838.55016525602</v>
      </c>
      <c r="KV90" s="1027"/>
      <c r="KW90" s="1027"/>
      <c r="KX90" s="1027"/>
      <c r="KY90" s="1026">
        <f t="shared" ref="KY90:KY91" si="951">KY88-KY86</f>
        <v>0</v>
      </c>
      <c r="KZ90" s="1027"/>
      <c r="LA90" s="1027"/>
      <c r="LB90" s="1027"/>
      <c r="LC90" s="1026">
        <f t="shared" ref="LC90:LC91" si="952">LC88-LC86</f>
        <v>0</v>
      </c>
      <c r="LD90" s="1027"/>
      <c r="LE90" s="1027"/>
      <c r="LF90" s="1027"/>
      <c r="LG90" s="1026">
        <f t="shared" ref="LG90:LG91" si="953">LG88-LG86</f>
        <v>0</v>
      </c>
      <c r="LH90" s="1027"/>
      <c r="LI90" s="1027"/>
      <c r="LJ90" s="1027"/>
      <c r="LK90" s="1026">
        <f t="shared" ref="LK90:LK91" si="954">LK88-LK86</f>
        <v>0</v>
      </c>
      <c r="LL90" s="1027"/>
      <c r="LM90" s="1027"/>
      <c r="LN90" s="1027"/>
      <c r="LO90" s="1026">
        <f t="shared" ref="LO90:LO91" si="955">LO88-LO86</f>
        <v>0</v>
      </c>
      <c r="LP90" s="1027"/>
      <c r="LQ90" s="1027"/>
      <c r="LR90" s="1027"/>
      <c r="LS90" s="1026">
        <f t="shared" ref="LS90:LS91" si="956">LS88-LS86</f>
        <v>144841.61536635674</v>
      </c>
      <c r="LT90" s="1027"/>
      <c r="LU90" s="1027"/>
      <c r="LV90" s="1027"/>
      <c r="LW90" s="1026">
        <f t="shared" ref="LW90:LW91" si="957">LW88-LW86</f>
        <v>0</v>
      </c>
      <c r="LX90" s="1027"/>
      <c r="LY90" s="1027"/>
      <c r="LZ90" s="1027"/>
      <c r="MA90" s="1026">
        <f t="shared" ref="MA90:MA91" si="958">MA88-MA86</f>
        <v>0</v>
      </c>
      <c r="MB90" s="1027"/>
      <c r="MC90" s="1027"/>
      <c r="MD90" s="1027"/>
      <c r="ME90" s="1026">
        <f t="shared" ref="ME90:ME91" si="959">ME88-ME86</f>
        <v>0</v>
      </c>
      <c r="MF90" s="1027"/>
      <c r="MG90" s="1027"/>
      <c r="MH90" s="1027"/>
      <c r="MI90" s="1026">
        <f t="shared" ref="MI90:MI91" si="960">MI88-MI86</f>
        <v>0</v>
      </c>
      <c r="MJ90" s="1027"/>
      <c r="MK90" s="1027"/>
      <c r="ML90" s="1027"/>
      <c r="MM90" s="1026">
        <f t="shared" ref="MM90:MM91" si="961">MM88-MM86</f>
        <v>0</v>
      </c>
      <c r="MN90" s="1027"/>
      <c r="MO90" s="1027"/>
      <c r="MP90" s="1027"/>
      <c r="MQ90" s="1026">
        <f t="shared" ref="MQ90:MQ91" si="962">MQ88-MQ86</f>
        <v>0</v>
      </c>
      <c r="MR90" s="1027"/>
      <c r="MS90" s="1027"/>
      <c r="MT90" s="1027"/>
      <c r="MU90" s="1026">
        <f t="shared" ref="MU90:MU91" si="963">MU88-MU86</f>
        <v>0</v>
      </c>
      <c r="MV90" s="1027"/>
      <c r="MW90" s="1027"/>
      <c r="MX90" s="1027"/>
      <c r="MY90" s="1026">
        <f t="shared" ref="MY90:MY91" si="964">MY88-MY86</f>
        <v>0</v>
      </c>
      <c r="MZ90" s="1027"/>
      <c r="NA90" s="1027"/>
      <c r="NB90" s="1027"/>
      <c r="NC90" s="1026">
        <f t="shared" ref="NC90:NC91" si="965">NC88-NC86</f>
        <v>0</v>
      </c>
      <c r="ND90" s="1027"/>
      <c r="NE90" s="1027"/>
      <c r="NF90" s="1027"/>
      <c r="NG90" s="1026">
        <f t="shared" ref="NG90:NG91" si="966">NG88-NG86</f>
        <v>0</v>
      </c>
      <c r="NH90" s="874"/>
      <c r="NI90" s="874"/>
      <c r="NJ90" s="874"/>
      <c r="NK90" s="874"/>
      <c r="NL90" s="977"/>
      <c r="NM90" s="1023"/>
      <c r="NN90" s="874"/>
      <c r="NO90" s="874"/>
      <c r="NP90" s="874"/>
      <c r="NQ90" s="874"/>
    </row>
    <row r="91" spans="1:381">
      <c r="A91" s="874" t="s">
        <v>419</v>
      </c>
      <c r="B91" s="877" t="s">
        <v>497</v>
      </c>
      <c r="G91" s="1030">
        <f>G89-G87</f>
        <v>13930.292071063304</v>
      </c>
      <c r="H91" s="1028"/>
      <c r="I91" s="1028"/>
      <c r="J91" s="1028"/>
      <c r="K91" s="1030">
        <f>K89-K87</f>
        <v>-74454.047674106754</v>
      </c>
      <c r="L91" s="1028"/>
      <c r="M91" s="1028"/>
      <c r="N91" s="1028"/>
      <c r="O91" s="1030">
        <f>O89-O87</f>
        <v>68791.467653197658</v>
      </c>
      <c r="P91" s="1028"/>
      <c r="Q91" s="1028"/>
      <c r="R91" s="1028"/>
      <c r="S91" s="1030">
        <f>S89-S87</f>
        <v>56957.999990839278</v>
      </c>
      <c r="T91" s="1028"/>
      <c r="U91" s="1028"/>
      <c r="V91" s="1028"/>
      <c r="W91" s="1030">
        <f>W89-W87</f>
        <v>53855.389036138076</v>
      </c>
      <c r="X91" s="1028"/>
      <c r="Y91" s="1028"/>
      <c r="Z91" s="1028"/>
      <c r="AA91" s="1030">
        <f t="shared" si="880"/>
        <v>17926.528318666038</v>
      </c>
      <c r="AB91" s="1028"/>
      <c r="AC91" s="1028"/>
      <c r="AD91" s="1028"/>
      <c r="AE91" s="1030">
        <f t="shared" si="881"/>
        <v>167112.15049737506</v>
      </c>
      <c r="AF91" s="1028"/>
      <c r="AG91" s="1028"/>
      <c r="AH91" s="1028"/>
      <c r="AI91" s="1030">
        <f t="shared" si="882"/>
        <v>347215.27726336569</v>
      </c>
      <c r="AJ91" s="1028"/>
      <c r="AK91" s="1028"/>
      <c r="AL91" s="1028"/>
      <c r="AM91" s="1030">
        <f t="shared" si="883"/>
        <v>91387.372192412615</v>
      </c>
      <c r="AN91" s="1028"/>
      <c r="AO91" s="1028"/>
      <c r="AP91" s="1028"/>
      <c r="AQ91" s="1030">
        <f t="shared" si="884"/>
        <v>72131.071217366029</v>
      </c>
      <c r="AR91" s="1028"/>
      <c r="AS91" s="1028"/>
      <c r="AT91" s="1028"/>
      <c r="AU91" s="1030">
        <f t="shared" si="885"/>
        <v>109402.7565563852</v>
      </c>
      <c r="AV91" s="1028"/>
      <c r="AW91" s="1028"/>
      <c r="AX91" s="1028"/>
      <c r="AY91" s="1030">
        <f t="shared" si="886"/>
        <v>131562.24082459556</v>
      </c>
      <c r="AZ91" s="1028"/>
      <c r="BA91" s="1028"/>
      <c r="BB91" s="1028"/>
      <c r="BC91" s="1030">
        <f t="shared" si="887"/>
        <v>88761.949513423722</v>
      </c>
      <c r="BD91" s="1028"/>
      <c r="BE91" s="1028"/>
      <c r="BF91" s="1028"/>
      <c r="BG91" s="1030">
        <f t="shared" si="888"/>
        <v>1379197.1428082269</v>
      </c>
      <c r="BH91" s="1028"/>
      <c r="BI91" s="1028"/>
      <c r="BJ91" s="1028"/>
      <c r="BK91" s="1030">
        <f t="shared" si="889"/>
        <v>107852.94293045113</v>
      </c>
      <c r="BL91" s="1028"/>
      <c r="BM91" s="1028"/>
      <c r="BN91" s="1028"/>
      <c r="BO91" s="1030">
        <f t="shared" si="890"/>
        <v>24544.977632988826</v>
      </c>
      <c r="BP91" s="1028"/>
      <c r="BQ91" s="1028"/>
      <c r="BR91" s="1028"/>
      <c r="BS91" s="1030">
        <f t="shared" si="891"/>
        <v>18754.618620699039</v>
      </c>
      <c r="BT91" s="1028"/>
      <c r="BU91" s="1028"/>
      <c r="BV91" s="1028"/>
      <c r="BW91" s="1030">
        <f t="shared" si="892"/>
        <v>366064.21845641918</v>
      </c>
      <c r="BX91" s="1028"/>
      <c r="BY91" s="1028"/>
      <c r="BZ91" s="1028"/>
      <c r="CA91" s="1030">
        <f t="shared" si="893"/>
        <v>1329088.0203722306</v>
      </c>
      <c r="CB91" s="1028"/>
      <c r="CC91" s="1028"/>
      <c r="CD91" s="1028"/>
      <c r="CE91" s="1030">
        <f t="shared" si="894"/>
        <v>0</v>
      </c>
      <c r="CF91" s="1028"/>
      <c r="CG91" s="1028"/>
      <c r="CH91" s="1028"/>
      <c r="CI91" s="1030">
        <f t="shared" si="895"/>
        <v>105309.6734131095</v>
      </c>
      <c r="CJ91" s="1028"/>
      <c r="CK91" s="1028"/>
      <c r="CL91" s="1028"/>
      <c r="CM91" s="1030">
        <f t="shared" si="896"/>
        <v>113338.47040762892</v>
      </c>
      <c r="CN91" s="1028"/>
      <c r="CO91" s="1028"/>
      <c r="CP91" s="1028"/>
      <c r="CQ91" s="1030">
        <f t="shared" si="897"/>
        <v>82041.590120035456</v>
      </c>
      <c r="CR91" s="1028"/>
      <c r="CS91" s="1028"/>
      <c r="CT91" s="1028"/>
      <c r="CU91" s="1030">
        <f t="shared" si="898"/>
        <v>23663.740274445037</v>
      </c>
      <c r="CV91" s="1028"/>
      <c r="CW91" s="1028"/>
      <c r="CX91" s="1028"/>
      <c r="CY91" s="1030">
        <f t="shared" si="899"/>
        <v>87650.618325317977</v>
      </c>
      <c r="CZ91" s="1028"/>
      <c r="DA91" s="1028"/>
      <c r="DB91" s="1028"/>
      <c r="DC91" s="1030">
        <f t="shared" si="900"/>
        <v>128453.66881892644</v>
      </c>
      <c r="DD91" s="1028"/>
      <c r="DE91" s="1028"/>
      <c r="DF91" s="1028"/>
      <c r="DG91" s="1030">
        <f t="shared" si="901"/>
        <v>127709.7867870871</v>
      </c>
      <c r="DH91" s="1028"/>
      <c r="DI91" s="1028"/>
      <c r="DJ91" s="1028"/>
      <c r="DK91" s="1030">
        <f t="shared" si="902"/>
        <v>130846.53036721819</v>
      </c>
      <c r="DL91" s="1028"/>
      <c r="DM91" s="1028"/>
      <c r="DN91" s="1028"/>
      <c r="DO91" s="1030">
        <f t="shared" si="903"/>
        <v>148995.9066227749</v>
      </c>
      <c r="DP91" s="1028"/>
      <c r="DQ91" s="1028"/>
      <c r="DR91" s="1028"/>
      <c r="DS91" s="1030">
        <f t="shared" si="904"/>
        <v>94180.451666356996</v>
      </c>
      <c r="DT91" s="1028"/>
      <c r="DU91" s="1028"/>
      <c r="DV91" s="1028"/>
      <c r="DW91" s="1030">
        <f t="shared" si="905"/>
        <v>714265.16279637255</v>
      </c>
      <c r="DX91" s="1028"/>
      <c r="DY91" s="1028"/>
      <c r="DZ91" s="1028"/>
      <c r="EA91" s="1030">
        <f t="shared" si="906"/>
        <v>252174.32126767375</v>
      </c>
      <c r="EB91" s="1028"/>
      <c r="EC91" s="1028"/>
      <c r="ED91" s="1028"/>
      <c r="EE91" s="1030">
        <f t="shared" si="907"/>
        <v>121767.54055653512</v>
      </c>
      <c r="EF91" s="1028"/>
      <c r="EG91" s="1028"/>
      <c r="EH91" s="1028"/>
      <c r="EI91" s="1030">
        <f t="shared" si="908"/>
        <v>661362.39256958291</v>
      </c>
      <c r="EJ91" s="1028"/>
      <c r="EK91" s="1028"/>
      <c r="EL91" s="1028"/>
      <c r="EM91" s="1030">
        <f t="shared" si="909"/>
        <v>10707.618900432833</v>
      </c>
      <c r="EN91" s="1028"/>
      <c r="EO91" s="1028"/>
      <c r="EP91" s="1028"/>
      <c r="EQ91" s="1030">
        <f t="shared" si="910"/>
        <v>1587.4898197467992</v>
      </c>
      <c r="ER91" s="1028"/>
      <c r="ES91" s="1028"/>
      <c r="ET91" s="1028"/>
      <c r="EU91" s="1030">
        <f t="shared" si="911"/>
        <v>183968.39942122623</v>
      </c>
      <c r="EV91" s="1028"/>
      <c r="EW91" s="1028"/>
      <c r="EX91" s="1028"/>
      <c r="EY91" s="1030">
        <f t="shared" si="912"/>
        <v>11411.439727834048</v>
      </c>
      <c r="EZ91" s="1028"/>
      <c r="FA91" s="1028"/>
      <c r="FB91" s="1028"/>
      <c r="FC91" s="1030">
        <f t="shared" si="913"/>
        <v>288427.73388405656</v>
      </c>
      <c r="FD91" s="1028"/>
      <c r="FE91" s="1028"/>
      <c r="FF91" s="1028"/>
      <c r="FG91" s="1030">
        <f t="shared" si="914"/>
        <v>48610.088674375438</v>
      </c>
      <c r="FH91" s="1028"/>
      <c r="FI91" s="1028"/>
      <c r="FJ91" s="1028"/>
      <c r="FK91" s="1030">
        <f t="shared" si="915"/>
        <v>41083.771703962353</v>
      </c>
      <c r="FL91" s="1028"/>
      <c r="FM91" s="1028"/>
      <c r="FN91" s="1028"/>
      <c r="FO91" s="1030">
        <f t="shared" si="916"/>
        <v>24396.006505111</v>
      </c>
      <c r="FP91" s="1028"/>
      <c r="FQ91" s="1028"/>
      <c r="FR91" s="1028"/>
      <c r="FS91" s="1030">
        <f t="shared" si="917"/>
        <v>186670.91106246179</v>
      </c>
      <c r="FT91" s="1028"/>
      <c r="FU91" s="1028"/>
      <c r="FV91" s="1028"/>
      <c r="FW91" s="1030">
        <f t="shared" si="918"/>
        <v>36232.336219669669</v>
      </c>
      <c r="FX91" s="1028"/>
      <c r="FY91" s="1028"/>
      <c r="FZ91" s="1028"/>
      <c r="GA91" s="1030">
        <f t="shared" si="919"/>
        <v>159298.11177685903</v>
      </c>
      <c r="GB91" s="1028"/>
      <c r="GC91" s="1028"/>
      <c r="GD91" s="1028"/>
      <c r="GE91" s="1030">
        <f t="shared" si="920"/>
        <v>26424.944297055015</v>
      </c>
      <c r="GF91" s="1028"/>
      <c r="GG91" s="1028"/>
      <c r="GH91" s="1028"/>
      <c r="GI91" s="1030">
        <f t="shared" si="921"/>
        <v>25639.023968149326</v>
      </c>
      <c r="GJ91" s="1028"/>
      <c r="GK91" s="1028"/>
      <c r="GL91" s="1028"/>
      <c r="GM91" s="1030">
        <f t="shared" si="922"/>
        <v>5799.0326872511796</v>
      </c>
      <c r="GN91" s="1028"/>
      <c r="GO91" s="1028"/>
      <c r="GP91" s="1028"/>
      <c r="GQ91" s="1030">
        <f t="shared" si="923"/>
        <v>46930.87639921566</v>
      </c>
      <c r="GR91" s="1028"/>
      <c r="GS91" s="1028"/>
      <c r="GT91" s="1028"/>
      <c r="GU91" s="1030">
        <f t="shared" si="924"/>
        <v>184479.92304000864</v>
      </c>
      <c r="GV91" s="1028"/>
      <c r="GW91" s="1028"/>
      <c r="GX91" s="1028"/>
      <c r="GY91" s="1030">
        <f t="shared" si="925"/>
        <v>168813.96184466733</v>
      </c>
      <c r="GZ91" s="1028"/>
      <c r="HA91" s="1028"/>
      <c r="HB91" s="1028"/>
      <c r="HC91" s="1030">
        <f t="shared" si="926"/>
        <v>4835873.5297807828</v>
      </c>
      <c r="HD91" s="1028"/>
      <c r="HE91" s="1028"/>
      <c r="HF91" s="1028"/>
      <c r="HG91" s="1030">
        <f t="shared" si="927"/>
        <v>0</v>
      </c>
      <c r="HH91" s="1028"/>
      <c r="HI91" s="1028"/>
      <c r="HJ91" s="1028"/>
      <c r="HK91" s="1030">
        <f t="shared" si="928"/>
        <v>0</v>
      </c>
      <c r="HL91" s="1028"/>
      <c r="HM91" s="1028"/>
      <c r="HN91" s="1028"/>
      <c r="HO91" s="1030">
        <f t="shared" si="929"/>
        <v>0</v>
      </c>
      <c r="HP91" s="1028"/>
      <c r="HQ91" s="1028"/>
      <c r="HR91" s="1028"/>
      <c r="HS91" s="1030">
        <f t="shared" si="930"/>
        <v>0</v>
      </c>
      <c r="HT91" s="1028"/>
      <c r="HU91" s="1028"/>
      <c r="HV91" s="1028"/>
      <c r="HW91" s="1030">
        <f t="shared" si="931"/>
        <v>837.85242278135047</v>
      </c>
      <c r="HX91" s="1028"/>
      <c r="HY91" s="1028"/>
      <c r="HZ91" s="1028"/>
      <c r="IA91" s="1030">
        <f t="shared" si="932"/>
        <v>581.79745688256844</v>
      </c>
      <c r="IB91" s="1028"/>
      <c r="IC91" s="1028"/>
      <c r="ID91" s="1028"/>
      <c r="IE91" s="1030">
        <f t="shared" si="933"/>
        <v>-392587.04846227495</v>
      </c>
      <c r="IF91" s="1028"/>
      <c r="IG91" s="1028"/>
      <c r="IH91" s="1028"/>
      <c r="II91" s="1030">
        <f t="shared" si="934"/>
        <v>6380.8341691371461</v>
      </c>
      <c r="IJ91" s="1028"/>
      <c r="IK91" s="1028"/>
      <c r="IL91" s="1028"/>
      <c r="IM91" s="1030">
        <f t="shared" si="935"/>
        <v>5829.5451927715912</v>
      </c>
      <c r="IN91" s="1028"/>
      <c r="IO91" s="1028"/>
      <c r="IP91" s="1028"/>
      <c r="IQ91" s="1030">
        <f t="shared" si="936"/>
        <v>1862.7196636037925</v>
      </c>
      <c r="IR91" s="1028"/>
      <c r="IS91" s="1028"/>
      <c r="IT91" s="1028"/>
      <c r="IU91" s="1030">
        <f t="shared" si="937"/>
        <v>1862.7196636037925</v>
      </c>
      <c r="IV91" s="1028"/>
      <c r="IW91" s="1028"/>
      <c r="IX91" s="1028"/>
      <c r="IY91" s="1030">
        <f t="shared" si="938"/>
        <v>15705.590712171732</v>
      </c>
      <c r="IZ91" s="1028"/>
      <c r="JA91" s="1028"/>
      <c r="JB91" s="1028"/>
      <c r="JC91" s="1030">
        <f t="shared" si="939"/>
        <v>15705.590712171732</v>
      </c>
      <c r="JD91" s="1028"/>
      <c r="JE91" s="1028"/>
      <c r="JF91" s="1028"/>
      <c r="JG91" s="1030">
        <f t="shared" si="940"/>
        <v>38029.139750370909</v>
      </c>
      <c r="JH91" s="1028"/>
      <c r="JI91" s="1028"/>
      <c r="JJ91" s="1028"/>
      <c r="JK91" s="1030">
        <f t="shared" si="941"/>
        <v>115040.2115797752</v>
      </c>
      <c r="JL91" s="1028"/>
      <c r="JM91" s="1028"/>
      <c r="JN91" s="1028"/>
      <c r="JO91" s="1030">
        <f t="shared" si="942"/>
        <v>60272.828969099501</v>
      </c>
      <c r="JP91" s="1028"/>
      <c r="JQ91" s="1028"/>
      <c r="JR91" s="1028"/>
      <c r="JS91" s="1030">
        <f t="shared" si="943"/>
        <v>0</v>
      </c>
      <c r="JT91" s="1028"/>
      <c r="JU91" s="1028"/>
      <c r="JV91" s="1028"/>
      <c r="JW91" s="1030">
        <f t="shared" si="944"/>
        <v>0</v>
      </c>
      <c r="JX91" s="1028"/>
      <c r="JY91" s="1028"/>
      <c r="JZ91" s="1028"/>
      <c r="KA91" s="1030">
        <f t="shared" si="945"/>
        <v>0</v>
      </c>
      <c r="KB91" s="1028"/>
      <c r="KC91" s="1028"/>
      <c r="KD91" s="1028"/>
      <c r="KE91" s="1030">
        <f t="shared" si="946"/>
        <v>0</v>
      </c>
      <c r="KF91" s="1028"/>
      <c r="KG91" s="1028"/>
      <c r="KH91" s="1028"/>
      <c r="KI91" s="1030">
        <f t="shared" si="947"/>
        <v>416769.56679325859</v>
      </c>
      <c r="KJ91" s="1028"/>
      <c r="KK91" s="1028"/>
      <c r="KL91" s="1028"/>
      <c r="KM91" s="1030">
        <f t="shared" si="948"/>
        <v>601570.66752285673</v>
      </c>
      <c r="KN91" s="1028"/>
      <c r="KO91" s="1028"/>
      <c r="KP91" s="1028"/>
      <c r="KQ91" s="1030">
        <f t="shared" si="949"/>
        <v>0</v>
      </c>
      <c r="KR91" s="1028"/>
      <c r="KS91" s="1028"/>
      <c r="KT91" s="1028"/>
      <c r="KU91" s="1030">
        <f t="shared" si="950"/>
        <v>21838.55016525602</v>
      </c>
      <c r="KV91" s="1028"/>
      <c r="KW91" s="1028"/>
      <c r="KX91" s="1028"/>
      <c r="KY91" s="1030">
        <f t="shared" si="951"/>
        <v>0</v>
      </c>
      <c r="KZ91" s="1028"/>
      <c r="LA91" s="1028"/>
      <c r="LB91" s="1028"/>
      <c r="LC91" s="1030">
        <f t="shared" si="952"/>
        <v>0</v>
      </c>
      <c r="LD91" s="1028"/>
      <c r="LE91" s="1028"/>
      <c r="LF91" s="1028"/>
      <c r="LG91" s="1030">
        <f t="shared" si="953"/>
        <v>0</v>
      </c>
      <c r="LH91" s="1028"/>
      <c r="LI91" s="1028"/>
      <c r="LJ91" s="1028"/>
      <c r="LK91" s="1030">
        <f t="shared" si="954"/>
        <v>0</v>
      </c>
      <c r="LL91" s="1028"/>
      <c r="LM91" s="1028"/>
      <c r="LN91" s="1028"/>
      <c r="LO91" s="1030">
        <f t="shared" si="955"/>
        <v>0</v>
      </c>
      <c r="LP91" s="1028"/>
      <c r="LQ91" s="1028"/>
      <c r="LR91" s="1028"/>
      <c r="LS91" s="1030">
        <f t="shared" si="956"/>
        <v>144841.61536635674</v>
      </c>
      <c r="LT91" s="1028"/>
      <c r="LU91" s="1028"/>
      <c r="LV91" s="1028"/>
      <c r="LW91" s="1030">
        <f t="shared" si="957"/>
        <v>0</v>
      </c>
      <c r="LX91" s="1028"/>
      <c r="LY91" s="1028"/>
      <c r="LZ91" s="1028"/>
      <c r="MA91" s="1030">
        <f t="shared" si="958"/>
        <v>0</v>
      </c>
      <c r="MB91" s="1028"/>
      <c r="MC91" s="1028"/>
      <c r="MD91" s="1028"/>
      <c r="ME91" s="1030">
        <f t="shared" si="959"/>
        <v>0</v>
      </c>
      <c r="MF91" s="1028"/>
      <c r="MG91" s="1028"/>
      <c r="MH91" s="1028"/>
      <c r="MI91" s="1030">
        <f t="shared" si="960"/>
        <v>0</v>
      </c>
      <c r="MJ91" s="1028"/>
      <c r="MK91" s="1028"/>
      <c r="ML91" s="1028"/>
      <c r="MM91" s="1030">
        <f t="shared" si="961"/>
        <v>0</v>
      </c>
      <c r="MN91" s="1028"/>
      <c r="MO91" s="1028"/>
      <c r="MP91" s="1028"/>
      <c r="MQ91" s="1030">
        <f t="shared" si="962"/>
        <v>0</v>
      </c>
      <c r="MR91" s="1028"/>
      <c r="MS91" s="1028"/>
      <c r="MT91" s="1028"/>
      <c r="MU91" s="1030">
        <f t="shared" si="963"/>
        <v>0</v>
      </c>
      <c r="MV91" s="1028"/>
      <c r="MW91" s="1028"/>
      <c r="MX91" s="1028"/>
      <c r="MY91" s="1030">
        <f t="shared" si="964"/>
        <v>0</v>
      </c>
      <c r="MZ91" s="1028"/>
      <c r="NA91" s="1028"/>
      <c r="NB91" s="1028"/>
      <c r="NC91" s="1030">
        <f t="shared" si="965"/>
        <v>0</v>
      </c>
      <c r="ND91" s="1028"/>
      <c r="NE91" s="1028"/>
      <c r="NF91" s="1028"/>
      <c r="NG91" s="1030">
        <f t="shared" si="966"/>
        <v>0</v>
      </c>
      <c r="NH91" s="874"/>
      <c r="NI91" s="874"/>
      <c r="NJ91" s="874"/>
      <c r="NK91" s="874"/>
      <c r="NL91" s="977"/>
      <c r="NM91" s="1023"/>
      <c r="NN91" s="874"/>
      <c r="NO91" s="874"/>
      <c r="NP91" s="874"/>
      <c r="NQ91" s="874"/>
    </row>
    <row r="92" spans="1:381">
      <c r="A92" s="874" t="s">
        <v>634</v>
      </c>
      <c r="B92" s="877" t="s">
        <v>212</v>
      </c>
      <c r="G92" s="837">
        <f>'ATT6- True-Up Adjustment NITS '!I61</f>
        <v>1.0668524492525753</v>
      </c>
      <c r="I92" s="837"/>
      <c r="K92" s="837">
        <f>G92</f>
        <v>1.0668524492525753</v>
      </c>
      <c r="L92" s="877"/>
      <c r="M92" s="837"/>
      <c r="N92" s="877"/>
      <c r="O92" s="837">
        <f>K92</f>
        <v>1.0668524492525753</v>
      </c>
      <c r="Q92" s="837"/>
      <c r="S92" s="837">
        <f>O92</f>
        <v>1.0668524492525753</v>
      </c>
      <c r="U92" s="837"/>
      <c r="W92" s="837">
        <f>S92</f>
        <v>1.0668524492525753</v>
      </c>
      <c r="Y92" s="837"/>
      <c r="AA92" s="837">
        <f t="shared" ref="AA92" si="967">W92</f>
        <v>1.0668524492525753</v>
      </c>
      <c r="AC92" s="837"/>
      <c r="AE92" s="837">
        <f t="shared" ref="AE92" si="968">AA92</f>
        <v>1.0668524492525753</v>
      </c>
      <c r="AG92" s="837"/>
      <c r="AI92" s="837">
        <f t="shared" ref="AI92" si="969">AE92</f>
        <v>1.0668524492525753</v>
      </c>
      <c r="AK92" s="837"/>
      <c r="AM92" s="837">
        <f t="shared" ref="AM92" si="970">AI92</f>
        <v>1.0668524492525753</v>
      </c>
      <c r="AO92" s="837"/>
      <c r="AQ92" s="837">
        <f t="shared" ref="AQ92" si="971">AM92</f>
        <v>1.0668524492525753</v>
      </c>
      <c r="AS92" s="837"/>
      <c r="AU92" s="837">
        <f t="shared" ref="AU92" si="972">AQ92</f>
        <v>1.0668524492525753</v>
      </c>
      <c r="AW92" s="837"/>
      <c r="AY92" s="837">
        <f t="shared" ref="AY92" si="973">AU92</f>
        <v>1.0668524492525753</v>
      </c>
      <c r="BA92" s="837"/>
      <c r="BC92" s="837">
        <f t="shared" ref="BC92" si="974">AY92</f>
        <v>1.0668524492525753</v>
      </c>
      <c r="BE92" s="837"/>
      <c r="BG92" s="837">
        <f t="shared" ref="BG92" si="975">BC92</f>
        <v>1.0668524492525753</v>
      </c>
      <c r="BI92" s="837"/>
      <c r="BK92" s="837">
        <f t="shared" ref="BK92" si="976">BG92</f>
        <v>1.0668524492525753</v>
      </c>
      <c r="BM92" s="837"/>
      <c r="BO92" s="837">
        <f t="shared" ref="BO92" si="977">BK92</f>
        <v>1.0668524492525753</v>
      </c>
      <c r="BQ92" s="837"/>
      <c r="BS92" s="837">
        <f t="shared" ref="BS92" si="978">BO92</f>
        <v>1.0668524492525753</v>
      </c>
      <c r="BU92" s="837"/>
      <c r="BW92" s="837">
        <f t="shared" ref="BW92" si="979">BS92</f>
        <v>1.0668524492525753</v>
      </c>
      <c r="BY92" s="837"/>
      <c r="CA92" s="837">
        <f t="shared" ref="CA92" si="980">BW92</f>
        <v>1.0668524492525753</v>
      </c>
      <c r="CC92" s="837"/>
      <c r="CE92" s="837">
        <f t="shared" ref="CE92" si="981">CA92</f>
        <v>1.0668524492525753</v>
      </c>
      <c r="CG92" s="837"/>
      <c r="CI92" s="837">
        <f t="shared" ref="CI92" si="982">CE92</f>
        <v>1.0668524492525753</v>
      </c>
      <c r="CK92" s="837"/>
      <c r="CM92" s="837">
        <f t="shared" ref="CM92" si="983">CI92</f>
        <v>1.0668524492525753</v>
      </c>
      <c r="CO92" s="837"/>
      <c r="CQ92" s="837">
        <f t="shared" ref="CQ92" si="984">CM92</f>
        <v>1.0668524492525753</v>
      </c>
      <c r="CS92" s="837"/>
      <c r="CU92" s="837">
        <f t="shared" ref="CU92" si="985">CQ92</f>
        <v>1.0668524492525753</v>
      </c>
      <c r="CW92" s="837"/>
      <c r="CY92" s="837">
        <f t="shared" ref="CY92" si="986">CU92</f>
        <v>1.0668524492525753</v>
      </c>
      <c r="DA92" s="837"/>
      <c r="DC92" s="837">
        <f t="shared" ref="DC92" si="987">CY92</f>
        <v>1.0668524492525753</v>
      </c>
      <c r="DE92" s="837"/>
      <c r="DG92" s="837">
        <f t="shared" ref="DG92" si="988">DC92</f>
        <v>1.0668524492525753</v>
      </c>
      <c r="DI92" s="837"/>
      <c r="DK92" s="837">
        <f t="shared" ref="DK92" si="989">DG92</f>
        <v>1.0668524492525753</v>
      </c>
      <c r="DM92" s="837"/>
      <c r="DO92" s="837">
        <f t="shared" ref="DO92" si="990">DK92</f>
        <v>1.0668524492525753</v>
      </c>
      <c r="DQ92" s="837"/>
      <c r="DS92" s="837">
        <f t="shared" ref="DS92" si="991">DO92</f>
        <v>1.0668524492525753</v>
      </c>
      <c r="DU92" s="837"/>
      <c r="DW92" s="837">
        <f t="shared" ref="DW92" si="992">DS92</f>
        <v>1.0668524492525753</v>
      </c>
      <c r="DY92" s="837"/>
      <c r="EA92" s="837">
        <f t="shared" ref="EA92" si="993">DW92</f>
        <v>1.0668524492525753</v>
      </c>
      <c r="EC92" s="837"/>
      <c r="EE92" s="837">
        <f t="shared" ref="EE92" si="994">EA92</f>
        <v>1.0668524492525753</v>
      </c>
      <c r="EG92" s="837"/>
      <c r="EI92" s="837">
        <f t="shared" ref="EI92" si="995">EE92</f>
        <v>1.0668524492525753</v>
      </c>
      <c r="EK92" s="837"/>
      <c r="EM92" s="837">
        <f t="shared" ref="EM92" si="996">EI92</f>
        <v>1.0668524492525753</v>
      </c>
      <c r="EO92" s="837"/>
      <c r="EQ92" s="837">
        <f t="shared" ref="EQ92" si="997">EM92</f>
        <v>1.0668524492525753</v>
      </c>
      <c r="ES92" s="837"/>
      <c r="EU92" s="837">
        <f t="shared" ref="EU92" si="998">EQ92</f>
        <v>1.0668524492525753</v>
      </c>
      <c r="EW92" s="837"/>
      <c r="EY92" s="837">
        <f t="shared" ref="EY92" si="999">EU92</f>
        <v>1.0668524492525753</v>
      </c>
      <c r="FA92" s="837"/>
      <c r="FC92" s="837">
        <f t="shared" ref="FC92" si="1000">EY92</f>
        <v>1.0668524492525753</v>
      </c>
      <c r="FE92" s="837"/>
      <c r="FG92" s="837">
        <f t="shared" ref="FG92" si="1001">FC92</f>
        <v>1.0668524492525753</v>
      </c>
      <c r="FI92" s="837"/>
      <c r="FK92" s="837">
        <f t="shared" ref="FK92" si="1002">FG92</f>
        <v>1.0668524492525753</v>
      </c>
      <c r="FM92" s="837"/>
      <c r="FO92" s="837">
        <f t="shared" ref="FO92" si="1003">FK92</f>
        <v>1.0668524492525753</v>
      </c>
      <c r="FQ92" s="837"/>
      <c r="FS92" s="837">
        <f t="shared" ref="FS92" si="1004">FO92</f>
        <v>1.0668524492525753</v>
      </c>
      <c r="FU92" s="837"/>
      <c r="FW92" s="837">
        <f t="shared" ref="FW92" si="1005">FS92</f>
        <v>1.0668524492525753</v>
      </c>
      <c r="FY92" s="837"/>
      <c r="GA92" s="837">
        <f t="shared" ref="GA92" si="1006">FW92</f>
        <v>1.0668524492525753</v>
      </c>
      <c r="GC92" s="837"/>
      <c r="GE92" s="837">
        <f t="shared" ref="GE92" si="1007">GA92</f>
        <v>1.0668524492525753</v>
      </c>
      <c r="GG92" s="837"/>
      <c r="GI92" s="837">
        <f t="shared" ref="GI92" si="1008">GE92</f>
        <v>1.0668524492525753</v>
      </c>
      <c r="GK92" s="837"/>
      <c r="GM92" s="837">
        <f t="shared" ref="GM92" si="1009">GI92</f>
        <v>1.0668524492525753</v>
      </c>
      <c r="GO92" s="837"/>
      <c r="GQ92" s="837">
        <f t="shared" ref="GQ92" si="1010">GM92</f>
        <v>1.0668524492525753</v>
      </c>
      <c r="GS92" s="837"/>
      <c r="GU92" s="837">
        <f t="shared" ref="GU92" si="1011">GQ92</f>
        <v>1.0668524492525753</v>
      </c>
      <c r="GW92" s="837"/>
      <c r="GY92" s="837">
        <f t="shared" ref="GY92" si="1012">GU92</f>
        <v>1.0668524492525753</v>
      </c>
      <c r="HA92" s="837"/>
      <c r="HC92" s="837">
        <f t="shared" ref="HC92" si="1013">GY92</f>
        <v>1.0668524492525753</v>
      </c>
      <c r="HE92" s="837"/>
      <c r="HG92" s="837">
        <f t="shared" ref="HG92" si="1014">HC92</f>
        <v>1.0668524492525753</v>
      </c>
      <c r="HI92" s="837"/>
      <c r="HK92" s="837">
        <f t="shared" ref="HK92" si="1015">HG92</f>
        <v>1.0668524492525753</v>
      </c>
      <c r="HM92" s="837"/>
      <c r="HO92" s="837">
        <f t="shared" ref="HO92" si="1016">HK92</f>
        <v>1.0668524492525753</v>
      </c>
      <c r="HQ92" s="837"/>
      <c r="HS92" s="837">
        <f t="shared" ref="HS92" si="1017">HO92</f>
        <v>1.0668524492525753</v>
      </c>
      <c r="HU92" s="837"/>
      <c r="HW92" s="837">
        <f t="shared" ref="HW92" si="1018">HS92</f>
        <v>1.0668524492525753</v>
      </c>
      <c r="HY92" s="837"/>
      <c r="IA92" s="837">
        <f t="shared" ref="IA92" si="1019">HW92</f>
        <v>1.0668524492525753</v>
      </c>
      <c r="IC92" s="837"/>
      <c r="IE92" s="837">
        <f t="shared" ref="IE92" si="1020">IA92</f>
        <v>1.0668524492525753</v>
      </c>
      <c r="IG92" s="837"/>
      <c r="II92" s="837">
        <f t="shared" ref="II92" si="1021">IE92</f>
        <v>1.0668524492525753</v>
      </c>
      <c r="IK92" s="837"/>
      <c r="IM92" s="837">
        <f t="shared" ref="IM92" si="1022">II92</f>
        <v>1.0668524492525753</v>
      </c>
      <c r="IO92" s="837"/>
      <c r="IQ92" s="837">
        <f t="shared" ref="IQ92" si="1023">IM92</f>
        <v>1.0668524492525753</v>
      </c>
      <c r="IS92" s="837"/>
      <c r="IU92" s="837">
        <f t="shared" ref="IU92" si="1024">IQ92</f>
        <v>1.0668524492525753</v>
      </c>
      <c r="IW92" s="837"/>
      <c r="IY92" s="837">
        <f t="shared" ref="IY92" si="1025">IU92</f>
        <v>1.0668524492525753</v>
      </c>
      <c r="JA92" s="837"/>
      <c r="JC92" s="837">
        <f t="shared" ref="JC92" si="1026">IY92</f>
        <v>1.0668524492525753</v>
      </c>
      <c r="JE92" s="837"/>
      <c r="JG92" s="837">
        <f t="shared" ref="JG92" si="1027">JC92</f>
        <v>1.0668524492525753</v>
      </c>
      <c r="JI92" s="837"/>
      <c r="JK92" s="837">
        <f t="shared" ref="JK92" si="1028">JG92</f>
        <v>1.0668524492525753</v>
      </c>
      <c r="JM92" s="837"/>
      <c r="JO92" s="837">
        <f t="shared" ref="JO92" si="1029">JK92</f>
        <v>1.0668524492525753</v>
      </c>
      <c r="JQ92" s="837"/>
      <c r="JS92" s="837">
        <f t="shared" ref="JS92" si="1030">JO92</f>
        <v>1.0668524492525753</v>
      </c>
      <c r="JU92" s="837"/>
      <c r="JW92" s="837">
        <f t="shared" ref="JW92" si="1031">JS92</f>
        <v>1.0668524492525753</v>
      </c>
      <c r="JY92" s="837"/>
      <c r="KA92" s="837">
        <f t="shared" ref="KA92" si="1032">JW92</f>
        <v>1.0668524492525753</v>
      </c>
      <c r="KC92" s="837"/>
      <c r="KE92" s="837">
        <f t="shared" ref="KE92" si="1033">KA92</f>
        <v>1.0668524492525753</v>
      </c>
      <c r="KG92" s="837"/>
      <c r="KI92" s="837">
        <f t="shared" ref="KI92" si="1034">KE92</f>
        <v>1.0668524492525753</v>
      </c>
      <c r="KK92" s="837"/>
      <c r="KM92" s="837">
        <f t="shared" ref="KM92" si="1035">KI92</f>
        <v>1.0668524492525753</v>
      </c>
      <c r="KO92" s="837"/>
      <c r="KQ92" s="837">
        <f t="shared" ref="KQ92" si="1036">KM92</f>
        <v>1.0668524492525753</v>
      </c>
      <c r="KS92" s="837"/>
      <c r="KU92" s="837">
        <f t="shared" ref="KU92" si="1037">KQ92</f>
        <v>1.0668524492525753</v>
      </c>
      <c r="KW92" s="837"/>
      <c r="KY92" s="837">
        <f t="shared" ref="KY92" si="1038">KU92</f>
        <v>1.0668524492525753</v>
      </c>
      <c r="LA92" s="837"/>
      <c r="LC92" s="837">
        <f t="shared" ref="LC92" si="1039">KY92</f>
        <v>1.0668524492525753</v>
      </c>
      <c r="LE92" s="837"/>
      <c r="LG92" s="837">
        <f t="shared" ref="LG92" si="1040">LC92</f>
        <v>1.0668524492525753</v>
      </c>
      <c r="LI92" s="837"/>
      <c r="LK92" s="837">
        <f t="shared" ref="LK92" si="1041">LG92</f>
        <v>1.0668524492525753</v>
      </c>
      <c r="LM92" s="837"/>
      <c r="LO92" s="837">
        <f t="shared" ref="LO92" si="1042">LG92</f>
        <v>1.0668524492525753</v>
      </c>
      <c r="LQ92" s="837"/>
      <c r="LS92" s="837">
        <f t="shared" ref="LS92" si="1043">LO92</f>
        <v>1.0668524492525753</v>
      </c>
      <c r="LU92" s="837"/>
      <c r="LW92" s="837">
        <f t="shared" ref="LW92" si="1044">LS92</f>
        <v>1.0668524492525753</v>
      </c>
      <c r="LY92" s="837"/>
      <c r="MA92" s="837">
        <f t="shared" ref="MA92" si="1045">LW92</f>
        <v>1.0668524492525753</v>
      </c>
      <c r="MC92" s="837"/>
      <c r="ME92" s="837">
        <f t="shared" ref="ME92" si="1046">MA92</f>
        <v>1.0668524492525753</v>
      </c>
      <c r="MG92" s="837"/>
      <c r="MI92" s="837">
        <f t="shared" ref="MI92" si="1047">ME92</f>
        <v>1.0668524492525753</v>
      </c>
      <c r="MK92" s="837"/>
      <c r="MM92" s="837">
        <f t="shared" ref="MM92" si="1048">MI92</f>
        <v>1.0668524492525753</v>
      </c>
      <c r="MO92" s="837"/>
      <c r="MQ92" s="837">
        <f t="shared" ref="MQ92" si="1049">MM92</f>
        <v>1.0668524492525753</v>
      </c>
      <c r="MS92" s="837"/>
      <c r="MU92" s="837">
        <f t="shared" ref="MU92" si="1050">MQ92</f>
        <v>1.0668524492525753</v>
      </c>
      <c r="MW92" s="837"/>
      <c r="MY92" s="837">
        <f t="shared" ref="MY92" si="1051">MU92</f>
        <v>1.0668524492525753</v>
      </c>
      <c r="NA92" s="837"/>
      <c r="NC92" s="837">
        <f t="shared" ref="NC92" si="1052">MY92</f>
        <v>1.0668524492525753</v>
      </c>
      <c r="NE92" s="837"/>
      <c r="NG92" s="837">
        <f t="shared" ref="NG92" si="1053">NC92</f>
        <v>1.0668524492525753</v>
      </c>
      <c r="NH92" s="874"/>
      <c r="NI92" s="874"/>
      <c r="NJ92" s="874"/>
      <c r="NK92" s="874"/>
      <c r="NL92" s="874"/>
      <c r="NM92" s="874"/>
      <c r="NN92" s="874"/>
      <c r="NO92" s="874"/>
      <c r="NP92" s="874"/>
      <c r="NQ92" s="874"/>
    </row>
    <row r="93" spans="1:381">
      <c r="A93" s="874" t="s">
        <v>496</v>
      </c>
      <c r="B93" s="877" t="s">
        <v>498</v>
      </c>
      <c r="G93" s="839">
        <f>G90*$G92</f>
        <v>14861.566214817616</v>
      </c>
      <c r="K93" s="839">
        <f>K90*$G92</f>
        <v>-79431.483117888798</v>
      </c>
      <c r="L93" s="877"/>
      <c r="M93" s="877"/>
      <c r="N93" s="877"/>
      <c r="O93" s="839">
        <f>O90*$G92</f>
        <v>73390.345753493224</v>
      </c>
      <c r="S93" s="839">
        <f>S90*$G92</f>
        <v>60765.781794755043</v>
      </c>
      <c r="W93" s="839">
        <f>W90*$G92</f>
        <v>57455.753698654196</v>
      </c>
      <c r="AA93" s="839">
        <f t="shared" ref="AA93" si="1054">AA90*$G92</f>
        <v>19124.960643364513</v>
      </c>
      <c r="AE93" s="839">
        <f t="shared" ref="AE93" si="1055">AE90*$G92</f>
        <v>173493.96780073186</v>
      </c>
      <c r="AI93" s="839">
        <f t="shared" ref="AI93" si="1056">AI90*$G92</f>
        <v>360435.95581765939</v>
      </c>
      <c r="AM93" s="839">
        <f t="shared" ref="AM93" si="1057">AM90*$G92</f>
        <v>95434.607311804968</v>
      </c>
      <c r="AQ93" s="839">
        <f t="shared" ref="AQ93" si="1058">AQ90*$G92</f>
        <v>75479.312272942654</v>
      </c>
      <c r="AU93" s="839">
        <f t="shared" ref="AU93" si="1059">AU90*$G92</f>
        <v>113730.77685272082</v>
      </c>
      <c r="AY93" s="839">
        <f t="shared" ref="AY93" si="1060">AY90*$G92</f>
        <v>136546.43129869286</v>
      </c>
      <c r="BC93" s="839">
        <f t="shared" ref="BC93" si="1061">BC90*$G92</f>
        <v>92119.378926995763</v>
      </c>
      <c r="BG93" s="839">
        <f t="shared" ref="BG93" si="1062">BG90*$G92</f>
        <v>1404079.6620486672</v>
      </c>
      <c r="BK93" s="839">
        <f t="shared" ref="BK93" si="1063">BK90*$G92</f>
        <v>111921.88389730832</v>
      </c>
      <c r="BO93" s="839">
        <f t="shared" ref="BO93" si="1064">BO90*$G92</f>
        <v>25470.979857015918</v>
      </c>
      <c r="BS93" s="839">
        <f t="shared" ref="BS93" si="1065">BS90*$G92</f>
        <v>19468.529462234437</v>
      </c>
      <c r="BW93" s="839">
        <f t="shared" ref="BW93" si="1066">BW90*$G92</f>
        <v>377418.0770868978</v>
      </c>
      <c r="CA93" s="839">
        <f t="shared" ref="CA93" si="1067">CA90*$G92</f>
        <v>1377366.1811007056</v>
      </c>
      <c r="CE93" s="839">
        <f t="shared" ref="CE93" si="1068">CE90*$G92</f>
        <v>0</v>
      </c>
      <c r="CI93" s="839">
        <f t="shared" ref="CI93" si="1069">CI90*$G92</f>
        <v>109318.37756693267</v>
      </c>
      <c r="CM93" s="839">
        <f t="shared" ref="CM93" si="1070">CM90*$G92</f>
        <v>117641.33408581243</v>
      </c>
      <c r="CQ93" s="839">
        <f t="shared" ref="CQ93" si="1071">CQ90*$G92</f>
        <v>85172.97106668065</v>
      </c>
      <c r="CU93" s="839">
        <f t="shared" ref="CU93" si="1072">CU90*$G92</f>
        <v>24564.521094085805</v>
      </c>
      <c r="CY93" s="839">
        <f t="shared" ref="CY93" si="1073">CY90*$G92</f>
        <v>91003.339409168693</v>
      </c>
      <c r="DC93" s="839">
        <f t="shared" ref="DC93" si="1074">DC90*$G92</f>
        <v>133327.79660623131</v>
      </c>
      <c r="DG93" s="839">
        <f t="shared" ref="DG93" si="1075">DG90*$G92</f>
        <v>133327.37153216384</v>
      </c>
      <c r="DK93" s="839">
        <f t="shared" ref="DK93" si="1076">DK90*$G92</f>
        <v>133791.78393524201</v>
      </c>
      <c r="DO93" s="839">
        <f t="shared" ref="DO93" si="1077">DO90*$G92</f>
        <v>154608.32687834953</v>
      </c>
      <c r="DS93" s="839">
        <f t="shared" ref="DS93" si="1078">DS90*$G92</f>
        <v>97742.836453324242</v>
      </c>
      <c r="DW93" s="839">
        <f t="shared" ref="DW93" si="1079">DW90*$G92</f>
        <v>744404.42221631436</v>
      </c>
      <c r="EA93" s="839">
        <f t="shared" ref="EA93" si="1080">EA90*$G92</f>
        <v>262880.04512127792</v>
      </c>
      <c r="EE93" s="839">
        <f t="shared" ref="EE93" si="1081">EE90*$G92</f>
        <v>126375.21399907609</v>
      </c>
      <c r="EI93" s="839">
        <f t="shared" ref="EI93" si="1082">EI90*$G92</f>
        <v>689376.35546403704</v>
      </c>
      <c r="EM93" s="839">
        <f t="shared" ref="EM93" si="1083">EM90*$G92</f>
        <v>11143.368567031283</v>
      </c>
      <c r="EQ93" s="839">
        <f t="shared" ref="EQ93" si="1084">EQ90*$G92</f>
        <v>1655.2015321453207</v>
      </c>
      <c r="EU93" s="839">
        <f t="shared" ref="EU93" si="1085">EU90*$G92</f>
        <v>191775.62408859748</v>
      </c>
      <c r="EY93" s="839">
        <f t="shared" ref="EY93" si="1086">EY90*$G92</f>
        <v>11897.599963469853</v>
      </c>
      <c r="FC93" s="839">
        <f t="shared" ref="FC93" si="1087">FC90*$G92</f>
        <v>294293.63386004017</v>
      </c>
      <c r="FG93" s="839">
        <f t="shared" ref="FG93" si="1088">FG90*$G92</f>
        <v>50695.991653995625</v>
      </c>
      <c r="FK93" s="839">
        <f t="shared" ref="FK93" si="1089">FK90*$G92</f>
        <v>42827.928335439072</v>
      </c>
      <c r="FO93" s="839">
        <f t="shared" ref="FO93" si="1090">FO90*$G92</f>
        <v>25440.741806682174</v>
      </c>
      <c r="FS93" s="839">
        <f t="shared" ref="FS93" si="1091">FS90*$G92</f>
        <v>199150.31867119702</v>
      </c>
      <c r="FW93" s="839">
        <f t="shared" ref="FW93" si="1092">FW90*$G92</f>
        <v>38654.556638097383</v>
      </c>
      <c r="GA93" s="839">
        <f t="shared" ref="GA93" si="1093">GA90*$G92</f>
        <v>169947.58071045257</v>
      </c>
      <c r="GE93" s="839">
        <f t="shared" ref="GE93" si="1094">GE90*$G92</f>
        <v>28191.516544676015</v>
      </c>
      <c r="GI93" s="839">
        <f t="shared" ref="GI93" si="1095">GI90*$G92</f>
        <v>26736.547953475914</v>
      </c>
      <c r="GM93" s="839">
        <f t="shared" ref="GM93" si="1096">GM90*$G92</f>
        <v>6186.7122256896646</v>
      </c>
      <c r="GQ93" s="839">
        <f t="shared" ref="GQ93" si="1097">GQ90*$G92</f>
        <v>50068.320432073109</v>
      </c>
      <c r="GU93" s="839">
        <f t="shared" ref="GU93" si="1098">GU90*$G92</f>
        <v>196812.85773315982</v>
      </c>
      <c r="GY93" s="839">
        <f t="shared" ref="GY93" si="1099">GY90*$G92</f>
        <v>180099.58866201414</v>
      </c>
      <c r="HC93" s="839">
        <f t="shared" ref="HC93" si="1100">HC90*$G92</f>
        <v>5159163.5195223242</v>
      </c>
      <c r="HG93" s="839">
        <f t="shared" ref="HG93" si="1101">HG90*$G92</f>
        <v>0</v>
      </c>
      <c r="HK93" s="839">
        <f t="shared" ref="HK93" si="1102">HK90*$G92</f>
        <v>0</v>
      </c>
      <c r="HO93" s="839">
        <f t="shared" ref="HO93" si="1103">HO90*$G92</f>
        <v>0</v>
      </c>
      <c r="HS93" s="839">
        <f t="shared" ref="HS93" si="1104">HS90*$G92</f>
        <v>0</v>
      </c>
      <c r="HW93" s="839">
        <f t="shared" ref="HW93" si="1105">HW90*$G92</f>
        <v>893.86490935648794</v>
      </c>
      <c r="IA93" s="839">
        <f t="shared" ref="IA93" si="1106">IA90*$G92</f>
        <v>620.69204184408773</v>
      </c>
      <c r="IE93" s="839">
        <f t="shared" ref="IE93" si="1107">IE90*$G92</f>
        <v>-418832.45419681747</v>
      </c>
      <c r="II93" s="839">
        <f t="shared" ref="II93" si="1108">II90*$G92</f>
        <v>6807.4085616184857</v>
      </c>
      <c r="IM93" s="839">
        <f t="shared" ref="IM93" si="1109">IM90*$G92</f>
        <v>6219.2645669369485</v>
      </c>
      <c r="IQ93" s="839">
        <f t="shared" ref="IQ93" si="1110">IQ90*$G92</f>
        <v>1987.247035386639</v>
      </c>
      <c r="IU93" s="839">
        <f t="shared" ref="IU93" si="1111">IU90*$G92</f>
        <v>1987.247035386639</v>
      </c>
      <c r="IY93" s="839">
        <f t="shared" ref="IY93" si="1112">IY90*$G92</f>
        <v>16755.54791823891</v>
      </c>
      <c r="JC93" s="839">
        <f t="shared" ref="JC93" si="1113">JC90*$G92</f>
        <v>16755.54791823891</v>
      </c>
      <c r="JG93" s="839">
        <f t="shared" ref="JG93" si="1114">JG90*$G92</f>
        <v>40571.480885651676</v>
      </c>
      <c r="JK93" s="839">
        <f t="shared" ref="JK93" si="1115">JK90*$G92</f>
        <v>122730.93148641766</v>
      </c>
      <c r="JO93" s="839">
        <f t="shared" ref="JO93" si="1116">JO90*$G92</f>
        <v>64302.215209065376</v>
      </c>
      <c r="JS93" s="839">
        <f t="shared" ref="JS93" si="1117">JS90*$G92</f>
        <v>0</v>
      </c>
      <c r="JW93" s="839">
        <f t="shared" ref="JW93" si="1118">JW90*$G92</f>
        <v>0</v>
      </c>
      <c r="KA93" s="839">
        <f t="shared" ref="KA93" si="1119">KA90*$G92</f>
        <v>0</v>
      </c>
      <c r="KE93" s="839">
        <f t="shared" ref="KE93" si="1120">KE90*$G92</f>
        <v>0</v>
      </c>
      <c r="KI93" s="839">
        <f t="shared" ref="KI93" si="1121">KI90*$G92</f>
        <v>444631.63310732268</v>
      </c>
      <c r="KM93" s="839">
        <f t="shared" ref="KM93" si="1122">KM90*$G92</f>
        <v>641787.14004526637</v>
      </c>
      <c r="KQ93" s="839">
        <f t="shared" ref="KQ93" si="1123">KQ90*$G92</f>
        <v>0</v>
      </c>
      <c r="KU93" s="839">
        <f t="shared" ref="KU93" si="1124">KU90*$G92</f>
        <v>23298.510731928618</v>
      </c>
      <c r="KY93" s="839">
        <f t="shared" ref="KY93" si="1125">KY90*$G92</f>
        <v>0</v>
      </c>
      <c r="LC93" s="839">
        <f t="shared" ref="LC93" si="1126">LC90*$G92</f>
        <v>0</v>
      </c>
      <c r="LG93" s="839">
        <f t="shared" ref="LG93" si="1127">LG90*$G92</f>
        <v>0</v>
      </c>
      <c r="LK93" s="839">
        <f t="shared" ref="LK93" si="1128">LK90*$G92</f>
        <v>0</v>
      </c>
      <c r="LO93" s="839">
        <f t="shared" ref="LO93" si="1129">LO90*$G92</f>
        <v>0</v>
      </c>
      <c r="LS93" s="839">
        <f t="shared" ref="LS93" si="1130">LS90*$G92</f>
        <v>154524.63210729713</v>
      </c>
      <c r="LW93" s="839">
        <f t="shared" ref="LW93" si="1131">LW90*$G92</f>
        <v>0</v>
      </c>
      <c r="MA93" s="839">
        <f t="shared" ref="MA93" si="1132">MA90*$G92</f>
        <v>0</v>
      </c>
      <c r="ME93" s="839">
        <f t="shared" ref="ME93" si="1133">ME90*$G92</f>
        <v>0</v>
      </c>
      <c r="MI93" s="839">
        <f t="shared" ref="MI93" si="1134">MI90*$G92</f>
        <v>0</v>
      </c>
      <c r="MM93" s="839">
        <f t="shared" ref="MM93" si="1135">MM90*$G92</f>
        <v>0</v>
      </c>
      <c r="MQ93" s="839">
        <f t="shared" ref="MQ93" si="1136">MQ90*$G92</f>
        <v>0</v>
      </c>
      <c r="MU93" s="839">
        <f t="shared" ref="MU93" si="1137">MU90*$G92</f>
        <v>0</v>
      </c>
      <c r="MY93" s="839">
        <f t="shared" ref="MY93" si="1138">MY90*$G92</f>
        <v>0</v>
      </c>
      <c r="NC93" s="839">
        <f t="shared" ref="NC93" si="1139">NC90*$G92</f>
        <v>0</v>
      </c>
      <c r="NG93" s="839">
        <f t="shared" ref="NG93" si="1140">NG90*$G92</f>
        <v>0</v>
      </c>
      <c r="NH93" s="874"/>
      <c r="NI93" s="874"/>
      <c r="NJ93" s="874"/>
      <c r="NK93" s="874"/>
      <c r="NL93" s="874"/>
      <c r="NM93" s="874"/>
      <c r="NN93" s="874"/>
      <c r="NO93" s="874"/>
      <c r="NP93" s="874"/>
      <c r="NQ93" s="874"/>
    </row>
    <row r="94" spans="1:381">
      <c r="A94" s="874" t="s">
        <v>618</v>
      </c>
      <c r="B94" s="877" t="s">
        <v>499</v>
      </c>
      <c r="G94" s="839">
        <f>G91*$G92</f>
        <v>14861.566214817616</v>
      </c>
      <c r="K94" s="839">
        <f>K91*$G92</f>
        <v>-79431.483117888798</v>
      </c>
      <c r="L94" s="877"/>
      <c r="M94" s="877"/>
      <c r="N94" s="877"/>
      <c r="O94" s="839">
        <f>O91*$G92</f>
        <v>73390.345753493224</v>
      </c>
      <c r="S94" s="839">
        <f>S91*$G92</f>
        <v>60765.781794755043</v>
      </c>
      <c r="W94" s="839">
        <f>W91*$G92</f>
        <v>57455.753698654196</v>
      </c>
      <c r="AA94" s="839">
        <f t="shared" ref="AA94" si="1141">AA91*$G92</f>
        <v>19124.960643364513</v>
      </c>
      <c r="AE94" s="839">
        <f t="shared" ref="AE94" si="1142">AE91*$G92</f>
        <v>178284.00705798954</v>
      </c>
      <c r="AI94" s="839">
        <f t="shared" ref="AI94" si="1143">AI91*$G92</f>
        <v>370427.46896633372</v>
      </c>
      <c r="AM94" s="839">
        <f t="shared" ref="AM94" si="1144">AM91*$G92</f>
        <v>97496.841854232087</v>
      </c>
      <c r="AQ94" s="839">
        <f t="shared" ref="AQ94" si="1145">AQ91*$G92</f>
        <v>76953.209995458878</v>
      </c>
      <c r="AU94" s="839">
        <f t="shared" ref="AU94" si="1146">AU91*$G92</f>
        <v>116716.59878716279</v>
      </c>
      <c r="AY94" s="839">
        <f t="shared" ref="AY94" si="1147">AY91*$G92</f>
        <v>140357.49885287692</v>
      </c>
      <c r="BC94" s="839">
        <f t="shared" ref="BC94" si="1148">BC91*$G92</f>
        <v>94695.903238829531</v>
      </c>
      <c r="BG94" s="839">
        <f t="shared" ref="BG94" si="1149">BG91*$G92</f>
        <v>1471399.8498071106</v>
      </c>
      <c r="BK94" s="839">
        <f t="shared" ref="BK94" si="1150">BK91*$G92</f>
        <v>115063.17632445</v>
      </c>
      <c r="BO94" s="839">
        <f t="shared" ref="BO94" si="1151">BO91*$G92</f>
        <v>26185.869504603808</v>
      </c>
      <c r="BS94" s="839">
        <f t="shared" ref="BS94" si="1152">BS91*$G92</f>
        <v>20008.410810290723</v>
      </c>
      <c r="BW94" s="839">
        <f t="shared" ref="BW94" si="1153">BW91*$G92</f>
        <v>390536.50804396055</v>
      </c>
      <c r="CA94" s="839">
        <f t="shared" ref="CA94" si="1154">CA91*$G92</f>
        <v>1417940.8098063709</v>
      </c>
      <c r="CE94" s="839">
        <f t="shared" ref="CE94" si="1155">CE91*$G92</f>
        <v>0</v>
      </c>
      <c r="CI94" s="839">
        <f t="shared" ref="CI94" si="1156">CI91*$G92</f>
        <v>112349.88301076468</v>
      </c>
      <c r="CM94" s="839">
        <f t="shared" ref="CM94" si="1157">CM91*$G92</f>
        <v>120915.42474891944</v>
      </c>
      <c r="CQ94" s="839">
        <f t="shared" ref="CQ94" si="1158">CQ91*$G92</f>
        <v>87526.27136013571</v>
      </c>
      <c r="CU94" s="839">
        <f t="shared" ref="CU94" si="1159">CU91*$G92</f>
        <v>25245.719270268495</v>
      </c>
      <c r="CY94" s="839">
        <f t="shared" ref="CY94" si="1160">CY91*$G92</f>
        <v>93510.276838868143</v>
      </c>
      <c r="DC94" s="839">
        <f t="shared" ref="DC94" si="1161">DC91*$G92</f>
        <v>137041.11119495082</v>
      </c>
      <c r="DG94" s="839">
        <f t="shared" ref="DG94" si="1162">DG91*$G92</f>
        <v>136247.49882732803</v>
      </c>
      <c r="DK94" s="839">
        <f t="shared" ref="DK94" si="1163">DK91*$G92</f>
        <v>139593.94139846819</v>
      </c>
      <c r="DO94" s="839">
        <f t="shared" ref="DO94" si="1164">DO91*$G92</f>
        <v>158956.64790911539</v>
      </c>
      <c r="DS94" s="839">
        <f t="shared" ref="DS94" si="1165">DS91*$G92</f>
        <v>100476.64553196674</v>
      </c>
      <c r="DW94" s="839">
        <f t="shared" ref="DW94" si="1166">DW91*$G92</f>
        <v>762015.53834509943</v>
      </c>
      <c r="EA94" s="839">
        <f t="shared" ref="EA94" si="1167">EA91*$G92</f>
        <v>269032.79228302353</v>
      </c>
      <c r="EE94" s="839">
        <f t="shared" ref="EE94" si="1168">EE91*$G92</f>
        <v>129907.99888220179</v>
      </c>
      <c r="EI94" s="839">
        <f t="shared" ref="EI94" si="1169">EI91*$G92</f>
        <v>705576.0883564027</v>
      </c>
      <c r="EM94" s="839">
        <f t="shared" ref="EM94" si="1170">EM91*$G92</f>
        <v>11423.449449589936</v>
      </c>
      <c r="EQ94" s="839">
        <f t="shared" ref="EQ94" si="1171">EQ91*$G92</f>
        <v>1693.6174023604019</v>
      </c>
      <c r="EU94" s="839">
        <f t="shared" ref="EU94" si="1172">EU91*$G92</f>
        <v>196267.13750761125</v>
      </c>
      <c r="EY94" s="839">
        <f t="shared" ref="EY94" si="1173">EY91*$G92</f>
        <v>12174.322423137895</v>
      </c>
      <c r="FC94" s="839">
        <f t="shared" ref="FC94" si="1174">FC91*$G92</f>
        <v>307709.83432657574</v>
      </c>
      <c r="FG94" s="839">
        <f t="shared" ref="FG94" si="1175">FG91*$G92</f>
        <v>51859.792160642304</v>
      </c>
      <c r="FK94" s="839">
        <f t="shared" ref="FK94" si="1176">FK91*$G92</f>
        <v>43830.322466905884</v>
      </c>
      <c r="FO94" s="839">
        <f t="shared" ref="FO94" si="1177">FO91*$G92</f>
        <v>26026.939291959428</v>
      </c>
      <c r="FS94" s="839">
        <f t="shared" ref="FS94" si="1178">FS91*$G92</f>
        <v>199150.31867119702</v>
      </c>
      <c r="FW94" s="839">
        <f t="shared" ref="FW94" si="1179">FW91*$G92</f>
        <v>38654.556638097383</v>
      </c>
      <c r="GA94" s="839">
        <f t="shared" ref="GA94" si="1180">GA91*$G92</f>
        <v>169947.58071045257</v>
      </c>
      <c r="GE94" s="839">
        <f t="shared" ref="GE94" si="1181">GE91*$G92</f>
        <v>28191.516544676015</v>
      </c>
      <c r="GI94" s="839">
        <f t="shared" ref="GI94" si="1182">GI91*$G92</f>
        <v>27353.055516865588</v>
      </c>
      <c r="GM94" s="839">
        <f t="shared" ref="GM94" si="1183">GM91*$G92</f>
        <v>6186.7122256896646</v>
      </c>
      <c r="GQ94" s="839">
        <f t="shared" ref="GQ94" si="1184">GQ91*$G92</f>
        <v>50068.320432073109</v>
      </c>
      <c r="GU94" s="839">
        <f t="shared" ref="GU94" si="1185">GU91*$G92</f>
        <v>196812.85773315982</v>
      </c>
      <c r="GY94" s="839">
        <f t="shared" ref="GY94" si="1186">GY91*$G92</f>
        <v>180099.58866201414</v>
      </c>
      <c r="HC94" s="839">
        <f t="shared" ref="HC94" si="1187">HC91*$G92</f>
        <v>5159163.5195223242</v>
      </c>
      <c r="HG94" s="839">
        <f t="shared" ref="HG94" si="1188">HG91*$G92</f>
        <v>0</v>
      </c>
      <c r="HK94" s="839">
        <f t="shared" ref="HK94" si="1189">HK91*$G92</f>
        <v>0</v>
      </c>
      <c r="HO94" s="839">
        <f t="shared" ref="HO94" si="1190">HO91*$G92</f>
        <v>0</v>
      </c>
      <c r="HS94" s="839">
        <f t="shared" ref="HS94" si="1191">HS91*$G92</f>
        <v>0</v>
      </c>
      <c r="HW94" s="839">
        <f t="shared" ref="HW94" si="1192">HW91*$G92</f>
        <v>893.86490935648794</v>
      </c>
      <c r="IA94" s="839">
        <f t="shared" ref="IA94" si="1193">IA91*$G92</f>
        <v>620.69204184408773</v>
      </c>
      <c r="IE94" s="839">
        <f t="shared" ref="IE94" si="1194">IE91*$G92</f>
        <v>-418832.45419681747</v>
      </c>
      <c r="II94" s="839">
        <f t="shared" ref="II94" si="1195">II91*$G92</f>
        <v>6807.4085616184857</v>
      </c>
      <c r="IM94" s="839">
        <f t="shared" ref="IM94" si="1196">IM91*$G92</f>
        <v>6219.2645669369485</v>
      </c>
      <c r="IQ94" s="839">
        <f t="shared" ref="IQ94" si="1197">IQ91*$G92</f>
        <v>1987.247035386639</v>
      </c>
      <c r="IU94" s="839">
        <f t="shared" ref="IU94" si="1198">IU91*$G92</f>
        <v>1987.247035386639</v>
      </c>
      <c r="IY94" s="839">
        <f t="shared" ref="IY94" si="1199">IY91*$G92</f>
        <v>16755.54791823891</v>
      </c>
      <c r="JC94" s="839">
        <f t="shared" ref="JC94" si="1200">JC91*$G92</f>
        <v>16755.54791823891</v>
      </c>
      <c r="JG94" s="839">
        <f t="shared" ref="JG94" si="1201">JG91*$G92</f>
        <v>40571.480885651676</v>
      </c>
      <c r="JK94" s="839">
        <f t="shared" ref="JK94" si="1202">JK91*$G92</f>
        <v>122730.93148641766</v>
      </c>
      <c r="JO94" s="839">
        <f t="shared" ref="JO94" si="1203">JO91*$G92</f>
        <v>64302.215209065376</v>
      </c>
      <c r="JS94" s="839">
        <f t="shared" ref="JS94" si="1204">JS91*$G92</f>
        <v>0</v>
      </c>
      <c r="JW94" s="839">
        <f t="shared" ref="JW94" si="1205">JW91*$G92</f>
        <v>0</v>
      </c>
      <c r="KA94" s="839">
        <f t="shared" ref="KA94" si="1206">KA91*$G92</f>
        <v>0</v>
      </c>
      <c r="KE94" s="839">
        <f t="shared" ref="KE94" si="1207">KE91*$G92</f>
        <v>0</v>
      </c>
      <c r="KI94" s="839">
        <f t="shared" ref="KI94" si="1208">KI91*$G92</f>
        <v>444631.63310732268</v>
      </c>
      <c r="KM94" s="839">
        <f t="shared" ref="KM94" si="1209">KM91*$G92</f>
        <v>641787.14004526637</v>
      </c>
      <c r="KQ94" s="839">
        <f t="shared" ref="KQ94" si="1210">KQ91*$G92</f>
        <v>0</v>
      </c>
      <c r="KU94" s="839">
        <f t="shared" ref="KU94" si="1211">KU91*$G92</f>
        <v>23298.510731928618</v>
      </c>
      <c r="KY94" s="839">
        <f t="shared" ref="KY94" si="1212">KY91*$G92</f>
        <v>0</v>
      </c>
      <c r="LC94" s="839">
        <f t="shared" ref="LC94" si="1213">LC91*$G92</f>
        <v>0</v>
      </c>
      <c r="LG94" s="839">
        <f t="shared" ref="LG94" si="1214">LG91*$G92</f>
        <v>0</v>
      </c>
      <c r="LK94" s="839">
        <f t="shared" ref="LK94" si="1215">LK91*$G92</f>
        <v>0</v>
      </c>
      <c r="LO94" s="839">
        <f t="shared" ref="LO94" si="1216">LO91*$G92</f>
        <v>0</v>
      </c>
      <c r="LS94" s="839">
        <f t="shared" ref="LS94" si="1217">LS91*$G92</f>
        <v>154524.63210729713</v>
      </c>
      <c r="LW94" s="839">
        <f t="shared" ref="LW94" si="1218">LW91*$G92</f>
        <v>0</v>
      </c>
      <c r="MA94" s="839">
        <f t="shared" ref="MA94" si="1219">MA91*$G92</f>
        <v>0</v>
      </c>
      <c r="ME94" s="839">
        <f t="shared" ref="ME94" si="1220">ME91*$G92</f>
        <v>0</v>
      </c>
      <c r="MI94" s="839">
        <f t="shared" ref="MI94" si="1221">MI91*$G92</f>
        <v>0</v>
      </c>
      <c r="MM94" s="839">
        <f t="shared" ref="MM94" si="1222">MM91*$G92</f>
        <v>0</v>
      </c>
      <c r="MQ94" s="839">
        <f t="shared" ref="MQ94" si="1223">MQ91*$G92</f>
        <v>0</v>
      </c>
      <c r="MU94" s="839">
        <f t="shared" ref="MU94" si="1224">MU91*$G92</f>
        <v>0</v>
      </c>
      <c r="MY94" s="839">
        <f t="shared" ref="MY94" si="1225">MY91*$G92</f>
        <v>0</v>
      </c>
      <c r="NC94" s="839">
        <f t="shared" ref="NC94" si="1226">NC91*$G92</f>
        <v>0</v>
      </c>
      <c r="NG94" s="839">
        <f t="shared" ref="NG94" si="1227">NG91*$G92</f>
        <v>0</v>
      </c>
      <c r="NH94" s="874"/>
      <c r="NI94" s="874"/>
      <c r="NJ94" s="874"/>
      <c r="NK94" s="874"/>
      <c r="NL94" s="874"/>
      <c r="NM94" s="874"/>
      <c r="NN94" s="874"/>
      <c r="NO94" s="874"/>
      <c r="NP94" s="874"/>
      <c r="NQ94" s="874"/>
    </row>
    <row r="95" spans="1:381">
      <c r="F95" s="977"/>
      <c r="G95" s="839"/>
      <c r="K95" s="839"/>
      <c r="L95" s="877"/>
      <c r="M95" s="877"/>
      <c r="N95" s="877"/>
      <c r="O95" s="839"/>
      <c r="S95" s="839"/>
      <c r="W95" s="839"/>
      <c r="AA95" s="839"/>
      <c r="AE95" s="839"/>
      <c r="AI95" s="839"/>
      <c r="AM95" s="839"/>
      <c r="AQ95" s="839"/>
      <c r="AU95" s="839"/>
      <c r="AY95" s="839"/>
      <c r="BC95" s="839"/>
      <c r="BG95" s="839"/>
      <c r="BK95" s="839"/>
      <c r="BO95" s="839"/>
      <c r="BS95" s="839"/>
      <c r="BW95" s="839"/>
      <c r="CA95" s="839"/>
      <c r="CE95" s="839"/>
      <c r="CI95" s="839"/>
      <c r="CM95" s="839"/>
      <c r="CQ95" s="839"/>
      <c r="CU95" s="839"/>
      <c r="CY95" s="839"/>
      <c r="DC95" s="839"/>
      <c r="DG95" s="839"/>
      <c r="DK95" s="839"/>
      <c r="DO95" s="839"/>
      <c r="DS95" s="839"/>
      <c r="DW95" s="839"/>
      <c r="EA95" s="839"/>
      <c r="EE95" s="839"/>
      <c r="EI95" s="839"/>
      <c r="EM95" s="839"/>
      <c r="EQ95" s="839"/>
      <c r="EU95" s="839"/>
      <c r="EY95" s="839"/>
      <c r="FC95" s="839"/>
      <c r="FG95" s="839"/>
      <c r="FK95" s="839"/>
      <c r="FO95" s="839"/>
      <c r="FS95" s="839"/>
      <c r="FW95" s="839"/>
      <c r="GA95" s="839"/>
      <c r="GE95" s="839"/>
      <c r="GI95" s="839"/>
      <c r="GM95" s="839"/>
      <c r="GQ95" s="839"/>
      <c r="GU95" s="839"/>
      <c r="GY95" s="839"/>
      <c r="HC95" s="839"/>
      <c r="HG95" s="839"/>
      <c r="HK95" s="839"/>
      <c r="HO95" s="839"/>
      <c r="HS95" s="839"/>
      <c r="HW95" s="839"/>
      <c r="IA95" s="839"/>
      <c r="IE95" s="839"/>
      <c r="II95" s="839"/>
      <c r="IM95" s="839"/>
      <c r="IQ95" s="839"/>
      <c r="IU95" s="839"/>
      <c r="IY95" s="839"/>
      <c r="JC95" s="839"/>
      <c r="JG95" s="839"/>
      <c r="JK95" s="839"/>
      <c r="JO95" s="839"/>
      <c r="JS95" s="839"/>
      <c r="JW95" s="839"/>
      <c r="KA95" s="839"/>
      <c r="KE95" s="839"/>
      <c r="KI95" s="839"/>
      <c r="KM95" s="839"/>
      <c r="KQ95" s="839"/>
      <c r="KU95" s="839"/>
      <c r="KY95" s="839"/>
      <c r="LC95" s="839"/>
      <c r="LG95" s="839"/>
      <c r="LK95" s="839"/>
      <c r="LO95" s="839"/>
      <c r="LS95" s="839"/>
      <c r="LW95" s="839"/>
      <c r="MA95" s="839"/>
      <c r="ME95" s="839"/>
      <c r="MI95" s="839"/>
      <c r="MM95" s="839"/>
      <c r="MQ95" s="839"/>
      <c r="MU95" s="839"/>
      <c r="MY95" s="839"/>
      <c r="NC95" s="839"/>
      <c r="NG95" s="839"/>
      <c r="NH95" s="874"/>
      <c r="NI95" s="874"/>
      <c r="NJ95" s="874"/>
      <c r="NK95" s="874"/>
      <c r="NL95" s="874"/>
      <c r="NM95" s="874"/>
      <c r="NN95" s="874"/>
      <c r="NO95" s="874"/>
      <c r="NP95" s="874"/>
      <c r="NQ95" s="874"/>
    </row>
    <row r="96" spans="1:381">
      <c r="B96" s="877" t="s">
        <v>500</v>
      </c>
      <c r="G96" s="839"/>
      <c r="K96" s="839"/>
      <c r="L96" s="877"/>
      <c r="M96" s="877"/>
      <c r="N96" s="877"/>
      <c r="O96" s="839"/>
      <c r="S96" s="839"/>
      <c r="W96" s="839"/>
      <c r="AA96" s="839"/>
      <c r="AE96" s="839"/>
      <c r="AI96" s="839"/>
      <c r="AM96" s="839"/>
      <c r="AQ96" s="839"/>
      <c r="AU96" s="839"/>
      <c r="AY96" s="839"/>
      <c r="BC96" s="839"/>
      <c r="BG96" s="839"/>
      <c r="BK96" s="839"/>
      <c r="BO96" s="839"/>
      <c r="BS96" s="839"/>
      <c r="BW96" s="839"/>
      <c r="CA96" s="839"/>
      <c r="CE96" s="839"/>
      <c r="CI96" s="839"/>
      <c r="CM96" s="839"/>
      <c r="CQ96" s="839"/>
      <c r="CU96" s="839"/>
      <c r="CY96" s="839"/>
      <c r="DC96" s="839"/>
      <c r="DG96" s="839"/>
      <c r="DK96" s="839"/>
      <c r="DO96" s="839"/>
      <c r="DS96" s="839"/>
      <c r="DW96" s="839"/>
      <c r="EA96" s="839"/>
      <c r="EE96" s="839"/>
      <c r="EI96" s="839"/>
      <c r="EM96" s="839"/>
      <c r="EQ96" s="839"/>
      <c r="EU96" s="839"/>
      <c r="EY96" s="839"/>
      <c r="FC96" s="839"/>
      <c r="FG96" s="839"/>
      <c r="FK96" s="839"/>
      <c r="FO96" s="839"/>
      <c r="FS96" s="839"/>
      <c r="FW96" s="839"/>
      <c r="GA96" s="839"/>
      <c r="GE96" s="839"/>
      <c r="GI96" s="839"/>
      <c r="GM96" s="839"/>
      <c r="GQ96" s="839"/>
      <c r="GU96" s="839"/>
      <c r="GY96" s="839"/>
      <c r="HC96" s="839"/>
      <c r="HG96" s="839"/>
      <c r="HK96" s="839"/>
      <c r="HO96" s="839"/>
      <c r="HS96" s="839"/>
      <c r="HW96" s="839"/>
      <c r="IA96" s="839"/>
      <c r="IE96" s="839"/>
      <c r="II96" s="839"/>
      <c r="IM96" s="839"/>
      <c r="IQ96" s="839"/>
      <c r="IU96" s="839"/>
      <c r="IY96" s="839"/>
      <c r="JC96" s="839"/>
      <c r="JG96" s="839"/>
      <c r="JK96" s="839"/>
      <c r="JO96" s="839"/>
      <c r="JS96" s="839"/>
      <c r="JW96" s="839"/>
      <c r="KA96" s="839"/>
      <c r="KE96" s="839"/>
      <c r="KI96" s="839"/>
      <c r="KM96" s="839"/>
      <c r="KQ96" s="839"/>
      <c r="KU96" s="839"/>
      <c r="KY96" s="839"/>
      <c r="LC96" s="839"/>
      <c r="LG96" s="839"/>
      <c r="LK96" s="839"/>
      <c r="LO96" s="839"/>
      <c r="LS96" s="839"/>
      <c r="LW96" s="839"/>
      <c r="MA96" s="839"/>
      <c r="ME96" s="839"/>
      <c r="MI96" s="839"/>
      <c r="MM96" s="839"/>
      <c r="MQ96" s="839"/>
      <c r="MU96" s="839"/>
      <c r="MY96" s="839"/>
      <c r="NC96" s="839"/>
      <c r="NG96" s="839"/>
      <c r="NH96" s="874"/>
      <c r="NI96" s="874"/>
      <c r="NJ96" s="874"/>
      <c r="NK96" s="874"/>
      <c r="NL96" s="874"/>
      <c r="NM96" s="874"/>
      <c r="NN96" s="874"/>
      <c r="NO96" s="874"/>
      <c r="NP96" s="874"/>
      <c r="NQ96" s="874"/>
    </row>
    <row r="97" spans="2:383">
      <c r="G97" s="839"/>
      <c r="K97" s="839"/>
      <c r="L97" s="877"/>
      <c r="M97" s="877"/>
      <c r="N97" s="877"/>
      <c r="O97" s="839"/>
      <c r="S97" s="839"/>
      <c r="W97" s="839"/>
      <c r="AA97" s="839"/>
      <c r="AE97" s="839"/>
      <c r="AI97" s="839"/>
      <c r="AM97" s="839"/>
      <c r="AQ97" s="839"/>
      <c r="AU97" s="839"/>
      <c r="AY97" s="839"/>
      <c r="BC97" s="839"/>
      <c r="BG97" s="839"/>
      <c r="BK97" s="839"/>
      <c r="BO97" s="839"/>
      <c r="BS97" s="839"/>
      <c r="BW97" s="839"/>
      <c r="CA97" s="839"/>
      <c r="CE97" s="839"/>
      <c r="CI97" s="839"/>
      <c r="CM97" s="839"/>
      <c r="CQ97" s="839"/>
      <c r="CU97" s="839"/>
      <c r="CY97" s="839"/>
      <c r="DC97" s="839"/>
      <c r="DG97" s="839"/>
      <c r="DK97" s="839"/>
      <c r="DO97" s="839"/>
      <c r="DS97" s="839"/>
      <c r="DW97" s="839"/>
      <c r="EA97" s="839"/>
      <c r="EE97" s="839"/>
      <c r="EI97" s="839"/>
      <c r="EM97" s="839"/>
      <c r="EQ97" s="839"/>
      <c r="EU97" s="839"/>
      <c r="EY97" s="839"/>
      <c r="FC97" s="839"/>
      <c r="FG97" s="839"/>
      <c r="FK97" s="839"/>
      <c r="FO97" s="839"/>
      <c r="FS97" s="839"/>
      <c r="FW97" s="839"/>
      <c r="GA97" s="839"/>
      <c r="GE97" s="839"/>
      <c r="GI97" s="839"/>
      <c r="GM97" s="839"/>
      <c r="GQ97" s="839"/>
      <c r="GU97" s="839"/>
      <c r="GY97" s="839"/>
      <c r="HC97" s="839"/>
      <c r="HG97" s="839"/>
      <c r="HK97" s="839"/>
      <c r="HO97" s="839"/>
      <c r="HS97" s="839"/>
      <c r="HW97" s="839"/>
      <c r="IA97" s="839"/>
      <c r="IE97" s="839"/>
      <c r="II97" s="839"/>
      <c r="IM97" s="839"/>
      <c r="IQ97" s="839"/>
      <c r="IU97" s="839"/>
      <c r="IY97" s="839"/>
      <c r="JC97" s="839"/>
      <c r="JG97" s="839"/>
      <c r="JK97" s="839"/>
      <c r="JO97" s="839"/>
      <c r="JS97" s="839"/>
      <c r="JW97" s="839"/>
      <c r="KA97" s="839"/>
      <c r="KE97" s="839"/>
      <c r="KI97" s="839"/>
      <c r="KM97" s="839"/>
      <c r="KQ97" s="839"/>
      <c r="KU97" s="839"/>
      <c r="KY97" s="839"/>
      <c r="LC97" s="839"/>
      <c r="LG97" s="839"/>
      <c r="LK97" s="839"/>
      <c r="LO97" s="839"/>
      <c r="LS97" s="839"/>
      <c r="LW97" s="839"/>
      <c r="MA97" s="839"/>
      <c r="ME97" s="839"/>
      <c r="MI97" s="839"/>
      <c r="MM97" s="839"/>
      <c r="MQ97" s="839"/>
      <c r="MU97" s="839"/>
      <c r="MY97" s="839"/>
      <c r="NC97" s="839"/>
      <c r="NG97" s="839"/>
      <c r="NH97" s="874"/>
      <c r="NI97" s="874"/>
      <c r="NJ97" s="874"/>
      <c r="NK97" s="874"/>
      <c r="NL97" s="874"/>
      <c r="NM97" s="874"/>
      <c r="NN97" s="874"/>
      <c r="NO97" s="874"/>
      <c r="NP97" s="874"/>
      <c r="NQ97" s="874"/>
    </row>
    <row r="98" spans="2:383">
      <c r="B98" s="1143" t="s">
        <v>40</v>
      </c>
      <c r="G98" s="839"/>
      <c r="K98" s="839"/>
      <c r="L98" s="877"/>
      <c r="M98" s="877"/>
      <c r="N98" s="877"/>
      <c r="O98" s="839"/>
      <c r="S98" s="839"/>
      <c r="W98" s="839"/>
      <c r="AA98" s="839"/>
      <c r="AE98" s="839"/>
      <c r="AI98" s="839"/>
      <c r="AM98" s="839"/>
      <c r="AQ98" s="839"/>
      <c r="AU98" s="839"/>
      <c r="AY98" s="839"/>
      <c r="BC98" s="839"/>
      <c r="BG98" s="839"/>
      <c r="BK98" s="839"/>
      <c r="BO98" s="839"/>
      <c r="BS98" s="839"/>
      <c r="BW98" s="839"/>
      <c r="CA98" s="839"/>
      <c r="CE98" s="839"/>
      <c r="CI98" s="839"/>
      <c r="CM98" s="839"/>
      <c r="CQ98" s="839"/>
      <c r="CU98" s="839"/>
      <c r="CY98" s="839"/>
      <c r="DC98" s="839"/>
      <c r="DG98" s="839"/>
      <c r="DK98" s="839"/>
      <c r="DO98" s="839"/>
      <c r="DS98" s="839"/>
      <c r="DW98" s="839"/>
      <c r="EA98" s="839"/>
      <c r="EE98" s="839"/>
      <c r="EI98" s="839"/>
      <c r="EM98" s="839"/>
      <c r="EQ98" s="839"/>
      <c r="EU98" s="839"/>
      <c r="EY98" s="839"/>
      <c r="FC98" s="839"/>
      <c r="FG98" s="839"/>
      <c r="FK98" s="839"/>
      <c r="FO98" s="839"/>
      <c r="FS98" s="839"/>
      <c r="FW98" s="839"/>
      <c r="GA98" s="839"/>
      <c r="GE98" s="839"/>
      <c r="GI98" s="839"/>
      <c r="GM98" s="839"/>
      <c r="GQ98" s="839"/>
      <c r="GU98" s="839"/>
      <c r="GY98" s="839"/>
      <c r="HC98" s="839"/>
      <c r="HG98" s="839"/>
      <c r="HK98" s="839"/>
      <c r="HO98" s="839"/>
      <c r="HS98" s="839"/>
      <c r="HW98" s="839"/>
      <c r="IA98" s="839"/>
      <c r="IE98" s="839"/>
      <c r="II98" s="839"/>
      <c r="IM98" s="839"/>
      <c r="IQ98" s="839"/>
      <c r="IU98" s="839"/>
      <c r="IY98" s="839"/>
      <c r="JC98" s="839"/>
      <c r="JG98" s="839"/>
      <c r="JK98" s="839"/>
      <c r="JO98" s="839"/>
      <c r="JS98" s="839"/>
      <c r="JW98" s="839"/>
      <c r="KA98" s="839"/>
      <c r="KE98" s="839"/>
      <c r="KI98" s="839"/>
      <c r="KM98" s="839"/>
      <c r="KQ98" s="839"/>
      <c r="KU98" s="839"/>
      <c r="KY98" s="839"/>
      <c r="LC98" s="839"/>
      <c r="LG98" s="839"/>
      <c r="LK98" s="839"/>
      <c r="LO98" s="839"/>
      <c r="LS98" s="839"/>
      <c r="LW98" s="839"/>
      <c r="MA98" s="839"/>
      <c r="ME98" s="839"/>
      <c r="MI98" s="839"/>
      <c r="MM98" s="839"/>
      <c r="MQ98" s="839"/>
      <c r="MU98" s="839"/>
      <c r="MY98" s="839"/>
      <c r="NC98" s="839"/>
      <c r="NG98" s="839"/>
      <c r="NH98" s="874"/>
      <c r="NI98" s="874"/>
      <c r="NJ98" s="874"/>
      <c r="NK98" s="874"/>
      <c r="NL98" s="874"/>
      <c r="NM98" s="874"/>
      <c r="NN98" s="874"/>
      <c r="NO98" s="874"/>
      <c r="NP98" s="874"/>
      <c r="NQ98" s="874"/>
    </row>
    <row r="99" spans="2:383" ht="13.6" thickBot="1">
      <c r="L99" s="877"/>
      <c r="M99" s="877"/>
      <c r="N99" s="877"/>
      <c r="S99" s="840"/>
      <c r="W99" s="840"/>
      <c r="AA99" s="840"/>
      <c r="AE99" s="840"/>
      <c r="AI99" s="840"/>
      <c r="AM99" s="840"/>
      <c r="AQ99" s="840"/>
      <c r="AU99" s="840"/>
      <c r="AY99" s="840"/>
      <c r="BC99" s="840"/>
      <c r="BG99" s="840"/>
      <c r="BK99" s="840"/>
      <c r="BO99" s="840"/>
      <c r="BS99" s="840"/>
      <c r="BW99" s="840"/>
      <c r="CA99" s="840"/>
      <c r="CE99" s="840"/>
      <c r="CI99" s="840"/>
      <c r="CM99" s="840"/>
      <c r="CQ99" s="840"/>
      <c r="CU99" s="840"/>
      <c r="CY99" s="840"/>
      <c r="DC99" s="840"/>
      <c r="DG99" s="840"/>
      <c r="DK99" s="840"/>
      <c r="DO99" s="840"/>
      <c r="DS99" s="840"/>
      <c r="DW99" s="840"/>
      <c r="EA99" s="840"/>
      <c r="EE99" s="840"/>
      <c r="EI99" s="840"/>
      <c r="EM99" s="840"/>
      <c r="EQ99" s="840"/>
      <c r="EU99" s="840"/>
      <c r="EY99" s="840"/>
      <c r="FC99" s="840"/>
      <c r="FG99" s="840"/>
      <c r="FK99" s="840"/>
      <c r="FO99" s="840"/>
      <c r="FS99" s="840"/>
      <c r="FW99" s="840"/>
      <c r="GA99" s="840"/>
      <c r="GE99" s="840"/>
      <c r="GI99" s="840"/>
      <c r="GM99" s="840"/>
      <c r="GQ99" s="840"/>
      <c r="GU99" s="840"/>
      <c r="GY99" s="840"/>
      <c r="HC99" s="840"/>
      <c r="HG99" s="840"/>
      <c r="HK99" s="840"/>
      <c r="HO99" s="840"/>
      <c r="HS99" s="840"/>
      <c r="HW99" s="840"/>
      <c r="IA99" s="840"/>
      <c r="IE99" s="840"/>
      <c r="II99" s="840"/>
      <c r="IM99" s="840"/>
      <c r="IQ99" s="840"/>
      <c r="IU99" s="840"/>
      <c r="IY99" s="840"/>
      <c r="JC99" s="840"/>
      <c r="JG99" s="840"/>
      <c r="JK99" s="840"/>
      <c r="JO99" s="840"/>
      <c r="JS99" s="840"/>
      <c r="JW99" s="840"/>
      <c r="KA99" s="840"/>
      <c r="KE99" s="840"/>
      <c r="KI99" s="840"/>
      <c r="KM99" s="840"/>
      <c r="KQ99" s="840"/>
      <c r="KU99" s="840"/>
      <c r="KY99" s="840"/>
      <c r="LC99" s="840"/>
      <c r="LG99" s="840"/>
      <c r="LK99" s="840"/>
      <c r="LO99" s="840"/>
      <c r="LS99" s="840"/>
      <c r="LW99" s="840"/>
      <c r="MA99" s="840"/>
      <c r="ME99" s="840"/>
      <c r="MI99" s="840"/>
      <c r="MM99" s="840"/>
      <c r="MQ99" s="840"/>
      <c r="MU99" s="840"/>
      <c r="MY99" s="840"/>
      <c r="NC99" s="840"/>
      <c r="NG99" s="840"/>
      <c r="NH99" s="874"/>
      <c r="NI99" s="874"/>
      <c r="NJ99" s="874"/>
      <c r="NK99" s="874"/>
      <c r="NL99" s="874"/>
      <c r="NM99" s="874"/>
      <c r="NN99" s="874"/>
      <c r="NO99" s="874"/>
      <c r="NP99" s="874"/>
      <c r="NQ99" s="874"/>
    </row>
    <row r="100" spans="2:383">
      <c r="B100" s="1032" t="s">
        <v>1196</v>
      </c>
      <c r="C100" s="1033"/>
      <c r="D100" s="1034"/>
      <c r="E100" s="1034"/>
      <c r="F100" s="1034"/>
      <c r="G100" s="848">
        <f>G61+G93</f>
        <v>280338.92336685263</v>
      </c>
      <c r="H100" s="1034"/>
      <c r="I100" s="1034"/>
      <c r="J100" s="1034"/>
      <c r="K100" s="848">
        <f>K61+K93</f>
        <v>66473.218605349597</v>
      </c>
      <c r="L100" s="1034"/>
      <c r="M100" s="1034"/>
      <c r="N100" s="1034"/>
      <c r="O100" s="848">
        <f>O61+O93</f>
        <v>164083.46723444812</v>
      </c>
      <c r="P100" s="1034"/>
      <c r="Q100" s="1034"/>
      <c r="R100" s="1034"/>
      <c r="S100" s="848">
        <f>S61+S93</f>
        <v>1195093.0205591877</v>
      </c>
      <c r="T100" s="1034"/>
      <c r="U100" s="1034"/>
      <c r="V100" s="1034"/>
      <c r="W100" s="848">
        <f>W61+W93</f>
        <v>1053474.8283327131</v>
      </c>
      <c r="X100" s="1034"/>
      <c r="Y100" s="1034"/>
      <c r="Z100" s="1034"/>
      <c r="AA100" s="848">
        <f t="shared" ref="AA100:AA101" si="1228">AA61+AA93</f>
        <v>363004.20294492249</v>
      </c>
      <c r="AB100" s="1034"/>
      <c r="AC100" s="1034"/>
      <c r="AD100" s="1034"/>
      <c r="AE100" s="848">
        <f t="shared" ref="AE100:AE101" si="1229">AE61+AE93</f>
        <v>3295518.8206776069</v>
      </c>
      <c r="AF100" s="1034"/>
      <c r="AG100" s="1034"/>
      <c r="AH100" s="1034"/>
      <c r="AI100" s="848">
        <f t="shared" ref="AI100:AI101" si="1230">AI61+AI93</f>
        <v>6863438.8204441164</v>
      </c>
      <c r="AJ100" s="1034"/>
      <c r="AK100" s="1034"/>
      <c r="AL100" s="1034"/>
      <c r="AM100" s="848">
        <f t="shared" ref="AM100:AM101" si="1231">AM61+AM93</f>
        <v>2075435.7408490584</v>
      </c>
      <c r="AN100" s="1034"/>
      <c r="AO100" s="1034"/>
      <c r="AP100" s="1034"/>
      <c r="AQ100" s="848">
        <f t="shared" ref="AQ100:AQ101" si="1232">AQ61+AQ93</f>
        <v>1704353.1177789755</v>
      </c>
      <c r="AR100" s="1034"/>
      <c r="AS100" s="1034"/>
      <c r="AT100" s="1034"/>
      <c r="AU100" s="848">
        <f t="shared" ref="AU100:AU101" si="1233">AU61+AU93</f>
        <v>2247113.8090532022</v>
      </c>
      <c r="AV100" s="1034"/>
      <c r="AW100" s="1034"/>
      <c r="AX100" s="1034"/>
      <c r="AY100" s="848">
        <f t="shared" ref="AY100:AY101" si="1234">AY61+AY93</f>
        <v>2608113.3123182454</v>
      </c>
      <c r="AZ100" s="1034"/>
      <c r="BA100" s="1034"/>
      <c r="BB100" s="1034"/>
      <c r="BC100" s="848">
        <f t="shared" ref="BC100:BC101" si="1235">BC61+BC93</f>
        <v>1761436.3969799825</v>
      </c>
      <c r="BD100" s="1034"/>
      <c r="BE100" s="1034"/>
      <c r="BF100" s="1034"/>
      <c r="BG100" s="848">
        <f t="shared" ref="BG100:BG101" si="1236">BG61+BG93</f>
        <v>14965752.909628492</v>
      </c>
      <c r="BH100" s="1034"/>
      <c r="BI100" s="1034"/>
      <c r="BJ100" s="1034"/>
      <c r="BK100" s="848">
        <f t="shared" ref="BK100:BK101" si="1237">BK61+BK93</f>
        <v>2143906.5002582748</v>
      </c>
      <c r="BL100" s="1034"/>
      <c r="BM100" s="1034"/>
      <c r="BN100" s="1034"/>
      <c r="BO100" s="848">
        <f t="shared" ref="BO100:BO101" si="1238">BO61+BO93</f>
        <v>487906.36274053401</v>
      </c>
      <c r="BP100" s="1034"/>
      <c r="BQ100" s="1034"/>
      <c r="BR100" s="1034"/>
      <c r="BS100" s="848">
        <f t="shared" ref="BS100:BS101" si="1239">BS61+BS93</f>
        <v>370635.40233719954</v>
      </c>
      <c r="BT100" s="1034"/>
      <c r="BU100" s="1034"/>
      <c r="BV100" s="1034"/>
      <c r="BW100" s="848">
        <f t="shared" ref="BW100:BW101" si="1240">BW61+BW93</f>
        <v>6156762.0379530732</v>
      </c>
      <c r="BX100" s="1034"/>
      <c r="BY100" s="1034"/>
      <c r="BZ100" s="1034"/>
      <c r="CA100" s="848">
        <f t="shared" ref="CA100:CA101" si="1241">CA61+CA93</f>
        <v>25565993.84395124</v>
      </c>
      <c r="CB100" s="1034"/>
      <c r="CC100" s="1034"/>
      <c r="CD100" s="1034"/>
      <c r="CE100" s="848">
        <f t="shared" ref="CE100:CE101" si="1242">CE61+CE93</f>
        <v>0</v>
      </c>
      <c r="CF100" s="1034"/>
      <c r="CG100" s="1034"/>
      <c r="CH100" s="1034"/>
      <c r="CI100" s="848">
        <f t="shared" ref="CI100:CI101" si="1243">CI61+CI93</f>
        <v>2081166.9895749658</v>
      </c>
      <c r="CJ100" s="1034"/>
      <c r="CK100" s="1034"/>
      <c r="CL100" s="1034"/>
      <c r="CM100" s="848">
        <f t="shared" ref="CM100:CM101" si="1244">CM61+CM93</f>
        <v>2243746.0280588013</v>
      </c>
      <c r="CN100" s="1034"/>
      <c r="CO100" s="1034"/>
      <c r="CP100" s="1034"/>
      <c r="CQ100" s="848">
        <f t="shared" ref="CQ100:CQ101" si="1245">CQ61+CQ93</f>
        <v>1618470.1837665394</v>
      </c>
      <c r="CR100" s="1034"/>
      <c r="CS100" s="1034"/>
      <c r="CT100" s="1034"/>
      <c r="CU100" s="848">
        <f t="shared" ref="CU100:CU101" si="1246">CU61+CU93</f>
        <v>467651.1996752611</v>
      </c>
      <c r="CV100" s="1034"/>
      <c r="CW100" s="1034"/>
      <c r="CX100" s="1034"/>
      <c r="CY100" s="848">
        <f t="shared" ref="CY100:CY101" si="1247">CY61+CY93</f>
        <v>1726647.1843408374</v>
      </c>
      <c r="CZ100" s="1034"/>
      <c r="DA100" s="1034"/>
      <c r="DB100" s="1034"/>
      <c r="DC100" s="848">
        <f t="shared" ref="DC100:DC101" si="1248">DC61+DC93</f>
        <v>2543859.831147932</v>
      </c>
      <c r="DD100" s="1034"/>
      <c r="DE100" s="1034"/>
      <c r="DF100" s="1034"/>
      <c r="DG100" s="848">
        <f t="shared" ref="DG100:DG101" si="1249">DG61+DG93</f>
        <v>2878472.4393141097</v>
      </c>
      <c r="DH100" s="1034"/>
      <c r="DI100" s="1034"/>
      <c r="DJ100" s="1034"/>
      <c r="DK100" s="848">
        <f t="shared" ref="DK100:DK101" si="1250">DK61+DK93</f>
        <v>1700266.7863367877</v>
      </c>
      <c r="DL100" s="1034"/>
      <c r="DM100" s="1034"/>
      <c r="DN100" s="1034"/>
      <c r="DO100" s="848">
        <f t="shared" ref="DO100:DO101" si="1251">DO61+DO93</f>
        <v>2964720.4966781037</v>
      </c>
      <c r="DP100" s="1034"/>
      <c r="DQ100" s="1034"/>
      <c r="DR100" s="1034"/>
      <c r="DS100" s="848">
        <f t="shared" ref="DS100:DS101" si="1252">DS61+DS93</f>
        <v>1868963.8562303931</v>
      </c>
      <c r="DT100" s="1034"/>
      <c r="DU100" s="1034"/>
      <c r="DV100" s="1034"/>
      <c r="DW100" s="848">
        <f t="shared" ref="DW100:DW101" si="1253">DW61+DW93</f>
        <v>14032786.459337937</v>
      </c>
      <c r="DX100" s="1034"/>
      <c r="DY100" s="1034"/>
      <c r="DZ100" s="1034"/>
      <c r="EA100" s="848">
        <f t="shared" ref="EA100:EA101" si="1254">EA61+EA93</f>
        <v>5037350.8631388312</v>
      </c>
      <c r="EB100" s="1034"/>
      <c r="EC100" s="1034"/>
      <c r="ED100" s="1034"/>
      <c r="EE100" s="848">
        <f t="shared" ref="EE100:EE101" si="1255">EE61+EE93</f>
        <v>2140995.6850194531</v>
      </c>
      <c r="EF100" s="1034"/>
      <c r="EG100" s="1034"/>
      <c r="EH100" s="1034"/>
      <c r="EI100" s="848">
        <f t="shared" ref="EI100:EI101" si="1256">EI61+EI93</f>
        <v>13093392.710291712</v>
      </c>
      <c r="EJ100" s="1034"/>
      <c r="EK100" s="1034"/>
      <c r="EL100" s="1034"/>
      <c r="EM100" s="848">
        <f t="shared" ref="EM100:EM101" si="1257">EM61+EM93</f>
        <v>203002.67697005664</v>
      </c>
      <c r="EN100" s="1034"/>
      <c r="EO100" s="1034"/>
      <c r="EP100" s="1034"/>
      <c r="EQ100" s="848">
        <f t="shared" ref="EQ100:EQ101" si="1258">EQ61+EQ93</f>
        <v>31580.816583315354</v>
      </c>
      <c r="ER100" s="1034"/>
      <c r="ES100" s="1034"/>
      <c r="ET100" s="1034"/>
      <c r="EU100" s="848">
        <f t="shared" ref="EU100:EU101" si="1259">EU61+EU93</f>
        <v>3673311.1475144313</v>
      </c>
      <c r="EV100" s="1034"/>
      <c r="EW100" s="1034"/>
      <c r="EX100" s="1034"/>
      <c r="EY100" s="848">
        <f t="shared" ref="EY100:EY101" si="1260">EY61+EY93</f>
        <v>227250.82269989647</v>
      </c>
      <c r="EZ100" s="1034"/>
      <c r="FA100" s="1034"/>
      <c r="FB100" s="1034"/>
      <c r="FC100" s="848">
        <f t="shared" ref="FC100:FC101" si="1261">FC61+FC93</f>
        <v>2325291.0916656158</v>
      </c>
      <c r="FD100" s="1034"/>
      <c r="FE100" s="1034"/>
      <c r="FF100" s="1034"/>
      <c r="FG100" s="848">
        <f t="shared" ref="FG100:FG101" si="1262">FG61+FG93</f>
        <v>961877.79278260912</v>
      </c>
      <c r="FH100" s="1034"/>
      <c r="FI100" s="1034"/>
      <c r="FJ100" s="1034"/>
      <c r="FK100" s="848">
        <f t="shared" ref="FK100:FK101" si="1263">FK61+FK93</f>
        <v>820675.83968741982</v>
      </c>
      <c r="FL100" s="1034"/>
      <c r="FM100" s="1034"/>
      <c r="FN100" s="1034"/>
      <c r="FO100" s="848">
        <f t="shared" ref="FO100:FO101" si="1264">FO61+FO93</f>
        <v>483610.50203512033</v>
      </c>
      <c r="FP100" s="1034"/>
      <c r="FQ100" s="1034"/>
      <c r="FR100" s="1034"/>
      <c r="FS100" s="848">
        <f t="shared" ref="FS100:FS101" si="1265">FS61+FS93</f>
        <v>3354407.7644165233</v>
      </c>
      <c r="FT100" s="1034"/>
      <c r="FU100" s="1034"/>
      <c r="FV100" s="1034"/>
      <c r="FW100" s="848">
        <f t="shared" ref="FW100:FW101" si="1266">FW61+FW93</f>
        <v>735619.36389412323</v>
      </c>
      <c r="FX100" s="1034"/>
      <c r="FY100" s="1034"/>
      <c r="FZ100" s="1034"/>
      <c r="GA100" s="848">
        <f t="shared" ref="GA100:GA101" si="1267">GA61+GA93</f>
        <v>3228155.179453813</v>
      </c>
      <c r="GB100" s="1034"/>
      <c r="GC100" s="1034"/>
      <c r="GD100" s="1034"/>
      <c r="GE100" s="848">
        <f t="shared" ref="GE100:GE101" si="1268">GE61+GE93</f>
        <v>535295.90644807438</v>
      </c>
      <c r="GF100" s="1034"/>
      <c r="GG100" s="1034"/>
      <c r="GH100" s="1034"/>
      <c r="GI100" s="848">
        <f t="shared" ref="GI100:GI101" si="1269">GI61+GI93</f>
        <v>508433.18918069411</v>
      </c>
      <c r="GJ100" s="1034"/>
      <c r="GK100" s="1034"/>
      <c r="GL100" s="1034"/>
      <c r="GM100" s="848">
        <f t="shared" ref="GM100:GM101" si="1270">GM61+GM93</f>
        <v>117516.63090266005</v>
      </c>
      <c r="GN100" s="1034"/>
      <c r="GO100" s="1034"/>
      <c r="GP100" s="1034"/>
      <c r="GQ100" s="848">
        <f t="shared" ref="GQ100:GQ101" si="1271">GQ61+GQ93</f>
        <v>955638.84549197752</v>
      </c>
      <c r="GR100" s="1034"/>
      <c r="GS100" s="1034"/>
      <c r="GT100" s="1034"/>
      <c r="GU100" s="848">
        <f t="shared" ref="GU100:GU101" si="1272">GU61+GU93</f>
        <v>3779306.7438299973</v>
      </c>
      <c r="GV100" s="1034"/>
      <c r="GW100" s="1034"/>
      <c r="GX100" s="1034"/>
      <c r="GY100" s="848">
        <f t="shared" ref="GY100:GY101" si="1273">GY61+GY93</f>
        <v>3464354.2411268642</v>
      </c>
      <c r="GZ100" s="1034"/>
      <c r="HA100" s="1034"/>
      <c r="HB100" s="1034"/>
      <c r="HC100" s="848">
        <f t="shared" ref="HC100:HC101" si="1274">HC61+HC93</f>
        <v>23633374.040949699</v>
      </c>
      <c r="HD100" s="1034"/>
      <c r="HE100" s="1034"/>
      <c r="HF100" s="1034"/>
      <c r="HG100" s="848">
        <f t="shared" ref="HG100:HG101" si="1275">HG61+HG93</f>
        <v>19746515.28980948</v>
      </c>
      <c r="HH100" s="1034"/>
      <c r="HI100" s="1034"/>
      <c r="HJ100" s="1034"/>
      <c r="HK100" s="848">
        <f t="shared" ref="HK100:HK101" si="1276">HK61+HK93</f>
        <v>332866.99207325245</v>
      </c>
      <c r="HL100" s="1034"/>
      <c r="HM100" s="1034"/>
      <c r="HN100" s="1034"/>
      <c r="HO100" s="848">
        <f t="shared" ref="HO100:HO101" si="1277">HO61+HO93</f>
        <v>1044543.041024621</v>
      </c>
      <c r="HP100" s="1034"/>
      <c r="HQ100" s="1034"/>
      <c r="HR100" s="1034"/>
      <c r="HS100" s="848">
        <f t="shared" ref="HS100:HS101" si="1278">HS61+HS93</f>
        <v>110014.64668565577</v>
      </c>
      <c r="HT100" s="1034"/>
      <c r="HU100" s="1034"/>
      <c r="HV100" s="1034"/>
      <c r="HW100" s="848">
        <f t="shared" ref="HW100:HW101" si="1279">HW61+HW93</f>
        <v>17164.476543418426</v>
      </c>
      <c r="HX100" s="1034"/>
      <c r="HY100" s="1034"/>
      <c r="HZ100" s="1034"/>
      <c r="IA100" s="848">
        <f t="shared" ref="IA100:IA101" si="1280">IA61+IA93</f>
        <v>11910.548077596919</v>
      </c>
      <c r="IB100" s="1034"/>
      <c r="IC100" s="1034"/>
      <c r="ID100" s="1034"/>
      <c r="IE100" s="848">
        <f t="shared" ref="IE100:IE101" si="1281">IE61+IE93</f>
        <v>1748607.3116416961</v>
      </c>
      <c r="IF100" s="1034"/>
      <c r="IG100" s="1034"/>
      <c r="IH100" s="1034"/>
      <c r="II100" s="848">
        <f t="shared" ref="II100:II101" si="1282">II61+II93</f>
        <v>84053.407471558894</v>
      </c>
      <c r="IJ100" s="1034"/>
      <c r="IK100" s="1034"/>
      <c r="IL100" s="1034"/>
      <c r="IM100" s="848">
        <f t="shared" ref="IM100:IM101" si="1283">IM61+IM93</f>
        <v>119508.62155718348</v>
      </c>
      <c r="IN100" s="1034"/>
      <c r="IO100" s="1034"/>
      <c r="IP100" s="1034"/>
      <c r="IQ100" s="848">
        <f t="shared" ref="IQ100:IQ101" si="1284">IQ61+IQ93</f>
        <v>4469.7493943630379</v>
      </c>
      <c r="IR100" s="1034"/>
      <c r="IS100" s="1034"/>
      <c r="IT100" s="1034"/>
      <c r="IU100" s="848">
        <f t="shared" ref="IU100:IU101" si="1285">IU61+IU93</f>
        <v>4469.7493943630379</v>
      </c>
      <c r="IV100" s="1034"/>
      <c r="IW100" s="1034"/>
      <c r="IX100" s="1034"/>
      <c r="IY100" s="848">
        <f t="shared" ref="IY100:IY101" si="1286">IY61+IY93</f>
        <v>147739.95500575416</v>
      </c>
      <c r="IZ100" s="1034"/>
      <c r="JA100" s="1034"/>
      <c r="JB100" s="1034"/>
      <c r="JC100" s="848">
        <f t="shared" ref="JC100:JC101" si="1287">JC61+JC93</f>
        <v>147739.95500575416</v>
      </c>
      <c r="JD100" s="1034"/>
      <c r="JE100" s="1034"/>
      <c r="JF100" s="1034"/>
      <c r="JG100" s="848">
        <f t="shared" ref="JG100:JG101" si="1288">JG61+JG93</f>
        <v>76176.985423536025</v>
      </c>
      <c r="JH100" s="1034"/>
      <c r="JI100" s="1034"/>
      <c r="JJ100" s="1034"/>
      <c r="JK100" s="848">
        <f t="shared" ref="JK100:JK101" si="1289">JK61+JK93</f>
        <v>2719382.6115652742</v>
      </c>
      <c r="JL100" s="1034"/>
      <c r="JM100" s="1034"/>
      <c r="JN100" s="1034"/>
      <c r="JO100" s="848">
        <f t="shared" ref="JO100:JO101" si="1290">JO61+JO93</f>
        <v>1424761.6620102986</v>
      </c>
      <c r="JP100" s="1034"/>
      <c r="JQ100" s="1034"/>
      <c r="JR100" s="1034"/>
      <c r="JS100" s="848">
        <f t="shared" ref="JS100:JS101" si="1291">JS61+JS93</f>
        <v>251674.36223484419</v>
      </c>
      <c r="JT100" s="1034"/>
      <c r="JU100" s="1034"/>
      <c r="JV100" s="1034"/>
      <c r="JW100" s="848">
        <f t="shared" ref="JW100:JW101" si="1292">JW61+JW93</f>
        <v>39017.876270369343</v>
      </c>
      <c r="JX100" s="1034"/>
      <c r="JY100" s="1034"/>
      <c r="JZ100" s="1034"/>
      <c r="KA100" s="848">
        <f t="shared" ref="KA100:KA101" si="1293">KA61+KA93</f>
        <v>3134433.2149123885</v>
      </c>
      <c r="KB100" s="1034"/>
      <c r="KC100" s="1034"/>
      <c r="KD100" s="1034"/>
      <c r="KE100" s="848">
        <f t="shared" ref="KE100:KE101" si="1294">KE61+KE93</f>
        <v>585163.52409523132</v>
      </c>
      <c r="KF100" s="1034"/>
      <c r="KG100" s="1034"/>
      <c r="KH100" s="1034"/>
      <c r="KI100" s="848">
        <f t="shared" ref="KI100:KI101" si="1295">KI61+KI93</f>
        <v>1067908.9260632964</v>
      </c>
      <c r="KJ100" s="1034"/>
      <c r="KK100" s="1034"/>
      <c r="KL100" s="1034"/>
      <c r="KM100" s="848">
        <f t="shared" ref="KM100:KM101" si="1296">KM61+KM93</f>
        <v>3352713.5047621587</v>
      </c>
      <c r="KN100" s="1034"/>
      <c r="KO100" s="1034"/>
      <c r="KP100" s="1034"/>
      <c r="KQ100" s="848">
        <f t="shared" ref="KQ100:KQ101" si="1297">KQ61+KQ93</f>
        <v>2542188.5937195392</v>
      </c>
      <c r="KR100" s="1034"/>
      <c r="KS100" s="1034"/>
      <c r="KT100" s="1034"/>
      <c r="KU100" s="848">
        <f t="shared" ref="KU100:KU101" si="1298">KU61+KU93</f>
        <v>509713.01369519695</v>
      </c>
      <c r="KV100" s="1034"/>
      <c r="KW100" s="1034"/>
      <c r="KX100" s="1034"/>
      <c r="KY100" s="848">
        <f t="shared" ref="KY100:KY101" si="1299">KY61+KY93</f>
        <v>6143549.7368840845</v>
      </c>
      <c r="KZ100" s="1034"/>
      <c r="LA100" s="1034"/>
      <c r="LB100" s="1034"/>
      <c r="LC100" s="848">
        <f t="shared" ref="LC100:LC101" si="1300">LC61+LC93</f>
        <v>2894052.1358042941</v>
      </c>
      <c r="LD100" s="1034"/>
      <c r="LE100" s="1034"/>
      <c r="LF100" s="1034"/>
      <c r="LG100" s="848">
        <f t="shared" ref="LG100:LG101" si="1301">LG61+LG93</f>
        <v>4275903.1678833114</v>
      </c>
      <c r="LH100" s="1034"/>
      <c r="LI100" s="1034"/>
      <c r="LJ100" s="1034"/>
      <c r="LK100" s="848">
        <f t="shared" ref="LK100:LK101" si="1302">LK61+LK93</f>
        <v>1250793.8790040533</v>
      </c>
      <c r="LL100" s="1034"/>
      <c r="LM100" s="1034"/>
      <c r="LN100" s="1034"/>
      <c r="LO100" s="848">
        <f t="shared" ref="LO100:LO101" si="1303">LO61+LO93</f>
        <v>5783190.9389000703</v>
      </c>
      <c r="LP100" s="1034"/>
      <c r="LQ100" s="1034"/>
      <c r="LR100" s="1034"/>
      <c r="LS100" s="848">
        <f t="shared" ref="LS100:LS101" si="1304">LS61+LS93</f>
        <v>807240.88807388465</v>
      </c>
      <c r="LT100" s="1034"/>
      <c r="LU100" s="1034"/>
      <c r="LV100" s="1034"/>
      <c r="LW100" s="848">
        <f t="shared" ref="LW100:LW101" si="1305">LW61+LW93</f>
        <v>7806729.5986671932</v>
      </c>
      <c r="LX100" s="1034"/>
      <c r="LY100" s="1034"/>
      <c r="LZ100" s="1034"/>
      <c r="MA100" s="848">
        <f t="shared" ref="MA100:MA101" si="1306">MA61+MA93</f>
        <v>1122236.3250677746</v>
      </c>
      <c r="MB100" s="1034"/>
      <c r="MC100" s="1034"/>
      <c r="MD100" s="1034"/>
      <c r="ME100" s="848">
        <f t="shared" ref="ME100:ME101" si="1307">ME61+ME93</f>
        <v>13655785.053905318</v>
      </c>
      <c r="MF100" s="1034"/>
      <c r="MG100" s="1034"/>
      <c r="MH100" s="1034"/>
      <c r="MI100" s="848">
        <f t="shared" ref="MI100:MI101" si="1308">MI61+MI93</f>
        <v>1166070.5233106152</v>
      </c>
      <c r="MJ100" s="1034"/>
      <c r="MK100" s="1034"/>
      <c r="ML100" s="1034"/>
      <c r="MM100" s="848">
        <f t="shared" ref="MM100:MM101" si="1309">MM61+MM93</f>
        <v>1087705.9766041508</v>
      </c>
      <c r="MN100" s="1034"/>
      <c r="MO100" s="1034"/>
      <c r="MP100" s="1034"/>
      <c r="MQ100" s="848">
        <f t="shared" ref="MQ100:MQ101" si="1310">MQ61+MQ93</f>
        <v>424097.55688018916</v>
      </c>
      <c r="MR100" s="1034"/>
      <c r="MS100" s="1034"/>
      <c r="MT100" s="1034"/>
      <c r="MU100" s="848">
        <f t="shared" ref="MU100:MU101" si="1311">MU61+MU93</f>
        <v>3709841.3910517669</v>
      </c>
      <c r="MV100" s="1034"/>
      <c r="MW100" s="1034"/>
      <c r="MX100" s="1034"/>
      <c r="MY100" s="848">
        <f t="shared" ref="MY100:MY101" si="1312">MY61+MY93</f>
        <v>284002.14377635007</v>
      </c>
      <c r="MZ100" s="1034"/>
      <c r="NA100" s="1034"/>
      <c r="NB100" s="1034"/>
      <c r="NC100" s="848">
        <f t="shared" ref="NC100:NC101" si="1313">NC61+NC93</f>
        <v>271029.64522418473</v>
      </c>
      <c r="ND100" s="1034"/>
      <c r="NE100" s="1034"/>
      <c r="NF100" s="1034"/>
      <c r="NG100" s="848">
        <f t="shared" ref="NG100:NG101" si="1314">NG61+NG93</f>
        <v>396688.70153883542</v>
      </c>
      <c r="NH100" s="874"/>
      <c r="NI100" s="874"/>
      <c r="NJ100" s="874"/>
      <c r="NK100" s="874"/>
      <c r="NL100" s="977"/>
      <c r="NM100" s="874"/>
      <c r="NN100" s="874"/>
      <c r="NO100" s="874"/>
      <c r="NP100" s="874"/>
      <c r="NQ100" s="874"/>
    </row>
    <row r="101" spans="2:383">
      <c r="B101" s="1035" t="str">
        <f>B49</f>
        <v>W / O incentive</v>
      </c>
      <c r="C101" s="1036"/>
      <c r="D101" s="968"/>
      <c r="E101" s="968"/>
      <c r="F101" s="968"/>
      <c r="G101" s="849">
        <f>G62+G94</f>
        <v>280338.92336685263</v>
      </c>
      <c r="H101" s="968"/>
      <c r="I101" s="968"/>
      <c r="J101" s="968"/>
      <c r="K101" s="849">
        <f>K62+K94</f>
        <v>66473.218605349597</v>
      </c>
      <c r="L101" s="968"/>
      <c r="M101" s="968"/>
      <c r="N101" s="968"/>
      <c r="O101" s="849">
        <f>O62+O94</f>
        <v>164083.46723444812</v>
      </c>
      <c r="P101" s="968"/>
      <c r="Q101" s="968"/>
      <c r="R101" s="968"/>
      <c r="S101" s="849">
        <f>S62+S94</f>
        <v>1195093.0205591877</v>
      </c>
      <c r="T101" s="968"/>
      <c r="U101" s="968"/>
      <c r="V101" s="968"/>
      <c r="W101" s="849">
        <f>W62+W94</f>
        <v>1053474.8283327131</v>
      </c>
      <c r="X101" s="968"/>
      <c r="Y101" s="968"/>
      <c r="Z101" s="968"/>
      <c r="AA101" s="849">
        <f t="shared" si="1228"/>
        <v>363004.20294492249</v>
      </c>
      <c r="AB101" s="968"/>
      <c r="AC101" s="968"/>
      <c r="AD101" s="968"/>
      <c r="AE101" s="849">
        <f t="shared" si="1229"/>
        <v>3519634.1858791891</v>
      </c>
      <c r="AF101" s="968"/>
      <c r="AG101" s="968"/>
      <c r="AH101" s="968"/>
      <c r="AI101" s="849">
        <f t="shared" si="1230"/>
        <v>7331099.6499320418</v>
      </c>
      <c r="AJ101" s="968"/>
      <c r="AK101" s="968"/>
      <c r="AL101" s="968"/>
      <c r="AM101" s="849">
        <f t="shared" si="1231"/>
        <v>2217134.6808551811</v>
      </c>
      <c r="AN101" s="968"/>
      <c r="AO101" s="968"/>
      <c r="AP101" s="968"/>
      <c r="AQ101" s="849">
        <f t="shared" si="1232"/>
        <v>1820600.1017695102</v>
      </c>
      <c r="AR101" s="968"/>
      <c r="AS101" s="968"/>
      <c r="AT101" s="968"/>
      <c r="AU101" s="849">
        <f t="shared" si="1233"/>
        <v>2400509.4683510847</v>
      </c>
      <c r="AV101" s="968"/>
      <c r="AW101" s="968"/>
      <c r="AX101" s="968"/>
      <c r="AY101" s="849">
        <f t="shared" si="1234"/>
        <v>2786329.3058940745</v>
      </c>
      <c r="AZ101" s="968"/>
      <c r="BA101" s="968"/>
      <c r="BB101" s="968"/>
      <c r="BC101" s="849">
        <f t="shared" si="1235"/>
        <v>1881909.2784667939</v>
      </c>
      <c r="BD101" s="968"/>
      <c r="BE101" s="968"/>
      <c r="BF101" s="968"/>
      <c r="BG101" s="849">
        <f t="shared" si="1236"/>
        <v>15991964.203822631</v>
      </c>
      <c r="BH101" s="968"/>
      <c r="BI101" s="968"/>
      <c r="BJ101" s="968"/>
      <c r="BK101" s="849">
        <f t="shared" si="1237"/>
        <v>2290761.7739178087</v>
      </c>
      <c r="BL101" s="968"/>
      <c r="BM101" s="968"/>
      <c r="BN101" s="968"/>
      <c r="BO101" s="849">
        <f t="shared" si="1238"/>
        <v>521327.42024087609</v>
      </c>
      <c r="BP101" s="968"/>
      <c r="BQ101" s="968"/>
      <c r="BR101" s="968"/>
      <c r="BS101" s="849">
        <f t="shared" si="1239"/>
        <v>395889.75882472034</v>
      </c>
      <c r="BT101" s="968"/>
      <c r="BU101" s="968"/>
      <c r="BV101" s="968"/>
      <c r="BW101" s="849">
        <f t="shared" si="1240"/>
        <v>6578744.9022711329</v>
      </c>
      <c r="BX101" s="968"/>
      <c r="BY101" s="968"/>
      <c r="BZ101" s="968"/>
      <c r="CA101" s="849">
        <f t="shared" si="1241"/>
        <v>27317331.415440276</v>
      </c>
      <c r="CB101" s="968"/>
      <c r="CC101" s="968"/>
      <c r="CD101" s="968"/>
      <c r="CE101" s="849">
        <f t="shared" si="1242"/>
        <v>0</v>
      </c>
      <c r="CF101" s="968"/>
      <c r="CG101" s="968"/>
      <c r="CH101" s="968"/>
      <c r="CI101" s="849">
        <f t="shared" si="1243"/>
        <v>2222973.5540136481</v>
      </c>
      <c r="CJ101" s="968"/>
      <c r="CK101" s="968"/>
      <c r="CL101" s="968"/>
      <c r="CM101" s="849">
        <f t="shared" si="1244"/>
        <v>2396872.9228299563</v>
      </c>
      <c r="CN101" s="968"/>
      <c r="CO101" s="968"/>
      <c r="CP101" s="968"/>
      <c r="CQ101" s="849">
        <f t="shared" si="1245"/>
        <v>1728571.876819914</v>
      </c>
      <c r="CR101" s="968"/>
      <c r="CS101" s="968"/>
      <c r="CT101" s="968"/>
      <c r="CU101" s="849">
        <f t="shared" si="1246"/>
        <v>499516.01893953379</v>
      </c>
      <c r="CV101" s="968"/>
      <c r="CW101" s="968"/>
      <c r="CX101" s="968"/>
      <c r="CY101" s="849">
        <f t="shared" si="1247"/>
        <v>1843954.2446970609</v>
      </c>
      <c r="CZ101" s="968"/>
      <c r="DA101" s="968"/>
      <c r="DB101" s="968"/>
      <c r="DC101" s="849">
        <f t="shared" si="1248"/>
        <v>2717522.8105658549</v>
      </c>
      <c r="DD101" s="968"/>
      <c r="DE101" s="968"/>
      <c r="DF101" s="968"/>
      <c r="DG101" s="849">
        <f t="shared" si="1249"/>
        <v>3074876.7761388575</v>
      </c>
      <c r="DH101" s="968"/>
      <c r="DI101" s="968"/>
      <c r="DJ101" s="968"/>
      <c r="DK101" s="849">
        <f t="shared" si="1250"/>
        <v>1817075.5923484429</v>
      </c>
      <c r="DL101" s="968"/>
      <c r="DM101" s="968"/>
      <c r="DN101" s="968"/>
      <c r="DO101" s="849">
        <f t="shared" si="1251"/>
        <v>3167983.8538228106</v>
      </c>
      <c r="DP101" s="968"/>
      <c r="DQ101" s="968"/>
      <c r="DR101" s="968"/>
      <c r="DS101" s="849">
        <f t="shared" si="1252"/>
        <v>1996791.0440532509</v>
      </c>
      <c r="DT101" s="968"/>
      <c r="DU101" s="968"/>
      <c r="DV101" s="968"/>
      <c r="DW101" s="849">
        <f t="shared" si="1253"/>
        <v>14831122.895634677</v>
      </c>
      <c r="DX101" s="968"/>
      <c r="DY101" s="968"/>
      <c r="DZ101" s="968"/>
      <c r="EA101" s="849">
        <f t="shared" si="1254"/>
        <v>5324981.8251905004</v>
      </c>
      <c r="EB101" s="968"/>
      <c r="EC101" s="968"/>
      <c r="ED101" s="968"/>
      <c r="EE101" s="849">
        <f t="shared" si="1255"/>
        <v>2263563.8185272841</v>
      </c>
      <c r="EF101" s="968"/>
      <c r="EG101" s="968"/>
      <c r="EH101" s="968"/>
      <c r="EI101" s="849">
        <f t="shared" si="1256"/>
        <v>13839206.08310147</v>
      </c>
      <c r="EJ101" s="968"/>
      <c r="EK101" s="968"/>
      <c r="EL101" s="968"/>
      <c r="EM101" s="849">
        <f t="shared" si="1257"/>
        <v>214581.00940049411</v>
      </c>
      <c r="EN101" s="968"/>
      <c r="EO101" s="968"/>
      <c r="EP101" s="968"/>
      <c r="EQ101" s="849">
        <f t="shared" si="1258"/>
        <v>33377.436373825651</v>
      </c>
      <c r="ER101" s="968"/>
      <c r="ES101" s="968"/>
      <c r="ET101" s="968"/>
      <c r="EU101" s="849">
        <f t="shared" si="1259"/>
        <v>3883056.0683920463</v>
      </c>
      <c r="EV101" s="968"/>
      <c r="EW101" s="968"/>
      <c r="EX101" s="968"/>
      <c r="EY101" s="849">
        <f t="shared" si="1260"/>
        <v>240191.12548732531</v>
      </c>
      <c r="EZ101" s="968"/>
      <c r="FA101" s="968"/>
      <c r="FB101" s="968"/>
      <c r="FC101" s="849">
        <f t="shared" si="1261"/>
        <v>2458808.3497837409</v>
      </c>
      <c r="FD101" s="968"/>
      <c r="FE101" s="968"/>
      <c r="FF101" s="968"/>
      <c r="FG101" s="849">
        <f t="shared" si="1262"/>
        <v>1016335.4807402177</v>
      </c>
      <c r="FH101" s="968"/>
      <c r="FI101" s="968"/>
      <c r="FJ101" s="968"/>
      <c r="FK101" s="849">
        <f t="shared" si="1263"/>
        <v>867536.14140457427</v>
      </c>
      <c r="FL101" s="968"/>
      <c r="FM101" s="968"/>
      <c r="FN101" s="968"/>
      <c r="FO101" s="849">
        <f t="shared" si="1264"/>
        <v>511035.3827800423</v>
      </c>
      <c r="FP101" s="968"/>
      <c r="FQ101" s="968"/>
      <c r="FR101" s="968"/>
      <c r="FS101" s="849">
        <f t="shared" si="1265"/>
        <v>3354407.7644165233</v>
      </c>
      <c r="FT101" s="968"/>
      <c r="FU101" s="968"/>
      <c r="FV101" s="968"/>
      <c r="FW101" s="849">
        <f t="shared" si="1266"/>
        <v>735619.36389412323</v>
      </c>
      <c r="FX101" s="968"/>
      <c r="FY101" s="968"/>
      <c r="FZ101" s="968"/>
      <c r="GA101" s="849">
        <f t="shared" si="1267"/>
        <v>3228155.179453813</v>
      </c>
      <c r="GB101" s="968"/>
      <c r="GC101" s="968"/>
      <c r="GD101" s="968"/>
      <c r="GE101" s="849">
        <f t="shared" si="1268"/>
        <v>535295.90644807438</v>
      </c>
      <c r="GF101" s="968"/>
      <c r="GG101" s="968"/>
      <c r="GH101" s="968"/>
      <c r="GI101" s="849">
        <f t="shared" si="1269"/>
        <v>537275.05909334309</v>
      </c>
      <c r="GJ101" s="968"/>
      <c r="GK101" s="968"/>
      <c r="GL101" s="968"/>
      <c r="GM101" s="849">
        <f t="shared" si="1270"/>
        <v>117516.63090266005</v>
      </c>
      <c r="GN101" s="968"/>
      <c r="GO101" s="968"/>
      <c r="GP101" s="968"/>
      <c r="GQ101" s="849">
        <f t="shared" si="1271"/>
        <v>955638.84549197752</v>
      </c>
      <c r="GR101" s="968"/>
      <c r="GS101" s="968"/>
      <c r="GT101" s="968"/>
      <c r="GU101" s="849">
        <f t="shared" si="1272"/>
        <v>3779306.7438299973</v>
      </c>
      <c r="GV101" s="968"/>
      <c r="GW101" s="968"/>
      <c r="GX101" s="968"/>
      <c r="GY101" s="849">
        <f t="shared" si="1273"/>
        <v>3464354.2411268642</v>
      </c>
      <c r="GZ101" s="968"/>
      <c r="HA101" s="968"/>
      <c r="HB101" s="968"/>
      <c r="HC101" s="849">
        <f t="shared" si="1274"/>
        <v>23633374.040949699</v>
      </c>
      <c r="HD101" s="968"/>
      <c r="HE101" s="968"/>
      <c r="HF101" s="968"/>
      <c r="HG101" s="849">
        <f t="shared" si="1275"/>
        <v>19746515.28980948</v>
      </c>
      <c r="HH101" s="968"/>
      <c r="HI101" s="968"/>
      <c r="HJ101" s="968"/>
      <c r="HK101" s="849">
        <f t="shared" si="1276"/>
        <v>332866.99207325245</v>
      </c>
      <c r="HL101" s="968"/>
      <c r="HM101" s="968"/>
      <c r="HN101" s="968"/>
      <c r="HO101" s="849">
        <f t="shared" si="1277"/>
        <v>1044543.041024621</v>
      </c>
      <c r="HP101" s="968"/>
      <c r="HQ101" s="968"/>
      <c r="HR101" s="968"/>
      <c r="HS101" s="849">
        <f t="shared" si="1278"/>
        <v>110014.64668565577</v>
      </c>
      <c r="HT101" s="968"/>
      <c r="HU101" s="968"/>
      <c r="HV101" s="968"/>
      <c r="HW101" s="849">
        <f t="shared" si="1279"/>
        <v>17164.476543418426</v>
      </c>
      <c r="HX101" s="968"/>
      <c r="HY101" s="968"/>
      <c r="HZ101" s="968"/>
      <c r="IA101" s="849">
        <f t="shared" si="1280"/>
        <v>11910.548077596919</v>
      </c>
      <c r="IB101" s="968"/>
      <c r="IC101" s="968"/>
      <c r="ID101" s="968"/>
      <c r="IE101" s="849">
        <f t="shared" si="1281"/>
        <v>1748607.3116416961</v>
      </c>
      <c r="IF101" s="968"/>
      <c r="IG101" s="968"/>
      <c r="IH101" s="968"/>
      <c r="II101" s="849">
        <f t="shared" si="1282"/>
        <v>84053.407471558894</v>
      </c>
      <c r="IJ101" s="968"/>
      <c r="IK101" s="968"/>
      <c r="IL101" s="968"/>
      <c r="IM101" s="849">
        <f t="shared" si="1283"/>
        <v>119508.62155718348</v>
      </c>
      <c r="IN101" s="968"/>
      <c r="IO101" s="968"/>
      <c r="IP101" s="968"/>
      <c r="IQ101" s="849">
        <f t="shared" si="1284"/>
        <v>4469.7493943630379</v>
      </c>
      <c r="IR101" s="968"/>
      <c r="IS101" s="968"/>
      <c r="IT101" s="968"/>
      <c r="IU101" s="849">
        <f t="shared" si="1285"/>
        <v>4469.7493943630379</v>
      </c>
      <c r="IV101" s="968"/>
      <c r="IW101" s="968"/>
      <c r="IX101" s="968"/>
      <c r="IY101" s="849">
        <f t="shared" si="1286"/>
        <v>147739.95500575416</v>
      </c>
      <c r="IZ101" s="968"/>
      <c r="JA101" s="968"/>
      <c r="JB101" s="968"/>
      <c r="JC101" s="849">
        <f t="shared" si="1287"/>
        <v>147739.95500575416</v>
      </c>
      <c r="JD101" s="968"/>
      <c r="JE101" s="968"/>
      <c r="JF101" s="968"/>
      <c r="JG101" s="849">
        <f t="shared" si="1288"/>
        <v>76176.985423536025</v>
      </c>
      <c r="JH101" s="968"/>
      <c r="JI101" s="968"/>
      <c r="JJ101" s="968"/>
      <c r="JK101" s="849">
        <f t="shared" si="1289"/>
        <v>2719382.6115652742</v>
      </c>
      <c r="JL101" s="968"/>
      <c r="JM101" s="968"/>
      <c r="JN101" s="968"/>
      <c r="JO101" s="849">
        <f t="shared" si="1290"/>
        <v>1424761.6620102986</v>
      </c>
      <c r="JP101" s="968"/>
      <c r="JQ101" s="968"/>
      <c r="JR101" s="968"/>
      <c r="JS101" s="849">
        <f t="shared" si="1291"/>
        <v>251674.36223484419</v>
      </c>
      <c r="JT101" s="968"/>
      <c r="JU101" s="968"/>
      <c r="JV101" s="968"/>
      <c r="JW101" s="849">
        <f t="shared" si="1292"/>
        <v>39017.876270369343</v>
      </c>
      <c r="JX101" s="968"/>
      <c r="JY101" s="968"/>
      <c r="JZ101" s="968"/>
      <c r="KA101" s="849">
        <f t="shared" si="1293"/>
        <v>3134433.2149123885</v>
      </c>
      <c r="KB101" s="968"/>
      <c r="KC101" s="968"/>
      <c r="KD101" s="968"/>
      <c r="KE101" s="849">
        <f t="shared" si="1294"/>
        <v>585163.52409523132</v>
      </c>
      <c r="KF101" s="968"/>
      <c r="KG101" s="968"/>
      <c r="KH101" s="968"/>
      <c r="KI101" s="849">
        <f t="shared" si="1295"/>
        <v>1067908.9260632964</v>
      </c>
      <c r="KJ101" s="968"/>
      <c r="KK101" s="968"/>
      <c r="KL101" s="968"/>
      <c r="KM101" s="849">
        <f t="shared" si="1296"/>
        <v>3352713.5047621587</v>
      </c>
      <c r="KN101" s="968"/>
      <c r="KO101" s="968"/>
      <c r="KP101" s="968"/>
      <c r="KQ101" s="849">
        <f t="shared" si="1297"/>
        <v>2542188.5937195392</v>
      </c>
      <c r="KR101" s="968"/>
      <c r="KS101" s="968"/>
      <c r="KT101" s="968"/>
      <c r="KU101" s="849">
        <f t="shared" si="1298"/>
        <v>509713.01369519695</v>
      </c>
      <c r="KV101" s="968"/>
      <c r="KW101" s="968"/>
      <c r="KX101" s="968"/>
      <c r="KY101" s="849">
        <f t="shared" si="1299"/>
        <v>6143549.7368840845</v>
      </c>
      <c r="KZ101" s="968"/>
      <c r="LA101" s="968"/>
      <c r="LB101" s="968"/>
      <c r="LC101" s="849">
        <f t="shared" si="1300"/>
        <v>2894052.1358042941</v>
      </c>
      <c r="LD101" s="968"/>
      <c r="LE101" s="968"/>
      <c r="LF101" s="968"/>
      <c r="LG101" s="849">
        <f t="shared" si="1301"/>
        <v>4275903.1678833114</v>
      </c>
      <c r="LH101" s="968"/>
      <c r="LI101" s="968"/>
      <c r="LJ101" s="968"/>
      <c r="LK101" s="849">
        <f t="shared" si="1302"/>
        <v>1250793.8790040533</v>
      </c>
      <c r="LL101" s="968"/>
      <c r="LM101" s="968"/>
      <c r="LN101" s="968"/>
      <c r="LO101" s="849">
        <f t="shared" si="1303"/>
        <v>5783190.9389000703</v>
      </c>
      <c r="LP101" s="968"/>
      <c r="LQ101" s="968"/>
      <c r="LR101" s="968"/>
      <c r="LS101" s="849">
        <f t="shared" si="1304"/>
        <v>807240.88807388465</v>
      </c>
      <c r="LT101" s="968"/>
      <c r="LU101" s="968"/>
      <c r="LV101" s="968"/>
      <c r="LW101" s="849">
        <f t="shared" si="1305"/>
        <v>7806729.5986671932</v>
      </c>
      <c r="LX101" s="968"/>
      <c r="LY101" s="968"/>
      <c r="LZ101" s="968"/>
      <c r="MA101" s="849">
        <f t="shared" si="1306"/>
        <v>1122236.3250677746</v>
      </c>
      <c r="MB101" s="968"/>
      <c r="MC101" s="968"/>
      <c r="MD101" s="968"/>
      <c r="ME101" s="849">
        <f t="shared" si="1307"/>
        <v>13655785.053905318</v>
      </c>
      <c r="MF101" s="968"/>
      <c r="MG101" s="968"/>
      <c r="MH101" s="968"/>
      <c r="MI101" s="849">
        <f t="shared" si="1308"/>
        <v>1166070.5233106152</v>
      </c>
      <c r="MJ101" s="968"/>
      <c r="MK101" s="968"/>
      <c r="ML101" s="968"/>
      <c r="MM101" s="849">
        <f t="shared" si="1309"/>
        <v>1087705.9766041508</v>
      </c>
      <c r="MN101" s="968"/>
      <c r="MO101" s="968"/>
      <c r="MP101" s="968"/>
      <c r="MQ101" s="849">
        <f t="shared" si="1310"/>
        <v>424097.55688018916</v>
      </c>
      <c r="MR101" s="968"/>
      <c r="MS101" s="968"/>
      <c r="MT101" s="968"/>
      <c r="MU101" s="849">
        <f t="shared" si="1311"/>
        <v>3709841.3910517669</v>
      </c>
      <c r="MV101" s="968"/>
      <c r="MW101" s="968"/>
      <c r="MX101" s="968"/>
      <c r="MY101" s="849">
        <f t="shared" si="1312"/>
        <v>284002.14377635007</v>
      </c>
      <c r="MZ101" s="968"/>
      <c r="NA101" s="968"/>
      <c r="NB101" s="968"/>
      <c r="NC101" s="849">
        <f t="shared" si="1313"/>
        <v>271029.64522418473</v>
      </c>
      <c r="ND101" s="968"/>
      <c r="NE101" s="968"/>
      <c r="NF101" s="968"/>
      <c r="NG101" s="849">
        <f t="shared" si="1314"/>
        <v>396688.70153883542</v>
      </c>
      <c r="NH101" s="874"/>
      <c r="NI101" s="874"/>
      <c r="NJ101" s="874"/>
      <c r="NK101" s="874"/>
      <c r="NL101" s="977"/>
      <c r="NM101" s="874"/>
      <c r="NN101" s="874"/>
      <c r="NO101" s="874"/>
      <c r="NP101" s="874"/>
      <c r="NQ101" s="874"/>
      <c r="NS101" s="829"/>
    </row>
    <row r="102" spans="2:383" ht="13.6" thickBot="1">
      <c r="B102" s="1037" t="str">
        <f>B50</f>
        <v>W incentive</v>
      </c>
      <c r="C102" s="1038"/>
      <c r="D102" s="1039"/>
      <c r="E102" s="1039"/>
      <c r="F102" s="1039"/>
      <c r="G102" s="850"/>
      <c r="H102" s="1039"/>
      <c r="I102" s="1039"/>
      <c r="J102" s="1039"/>
      <c r="K102" s="850"/>
      <c r="L102" s="1039"/>
      <c r="M102" s="1039"/>
      <c r="N102" s="1039"/>
      <c r="O102" s="850"/>
      <c r="P102" s="1039"/>
      <c r="Q102" s="1039"/>
      <c r="R102" s="1039"/>
      <c r="S102" s="850"/>
      <c r="T102" s="1039"/>
      <c r="U102" s="1039"/>
      <c r="V102" s="1039"/>
      <c r="W102" s="850"/>
      <c r="X102" s="1039"/>
      <c r="Y102" s="1039"/>
      <c r="Z102" s="1039"/>
      <c r="AA102" s="850"/>
      <c r="AB102" s="1039"/>
      <c r="AC102" s="1039"/>
      <c r="AD102" s="1039"/>
      <c r="AE102" s="850"/>
      <c r="AF102" s="1039"/>
      <c r="AG102" s="1039"/>
      <c r="AH102" s="1039"/>
      <c r="AI102" s="850"/>
      <c r="AJ102" s="1039"/>
      <c r="AK102" s="1039"/>
      <c r="AL102" s="1039"/>
      <c r="AM102" s="850"/>
      <c r="AN102" s="1039"/>
      <c r="AO102" s="1039"/>
      <c r="AP102" s="1039"/>
      <c r="AQ102" s="850"/>
      <c r="AR102" s="1039"/>
      <c r="AS102" s="1039"/>
      <c r="AT102" s="1039"/>
      <c r="AU102" s="850"/>
      <c r="AV102" s="1039"/>
      <c r="AW102" s="1039"/>
      <c r="AX102" s="1039"/>
      <c r="AY102" s="850"/>
      <c r="AZ102" s="1039"/>
      <c r="BA102" s="1039"/>
      <c r="BB102" s="1039"/>
      <c r="BC102" s="850"/>
      <c r="BD102" s="1039"/>
      <c r="BE102" s="1039"/>
      <c r="BF102" s="1039"/>
      <c r="BG102" s="850"/>
      <c r="BH102" s="1039"/>
      <c r="BI102" s="1039"/>
      <c r="BJ102" s="1039"/>
      <c r="BK102" s="850"/>
      <c r="BL102" s="1039"/>
      <c r="BM102" s="1039"/>
      <c r="BN102" s="1039"/>
      <c r="BO102" s="850"/>
      <c r="BP102" s="1039"/>
      <c r="BQ102" s="1039"/>
      <c r="BR102" s="1039"/>
      <c r="BS102" s="850"/>
      <c r="BT102" s="1039"/>
      <c r="BU102" s="1039"/>
      <c r="BV102" s="1039"/>
      <c r="BW102" s="850"/>
      <c r="BX102" s="1039"/>
      <c r="BY102" s="1039"/>
      <c r="BZ102" s="1039"/>
      <c r="CA102" s="850"/>
      <c r="CB102" s="1039"/>
      <c r="CC102" s="1039"/>
      <c r="CD102" s="1039"/>
      <c r="CE102" s="850"/>
      <c r="CF102" s="1039"/>
      <c r="CG102" s="1039"/>
      <c r="CH102" s="1039"/>
      <c r="CI102" s="850"/>
      <c r="CJ102" s="1039"/>
      <c r="CK102" s="1039"/>
      <c r="CL102" s="1039"/>
      <c r="CM102" s="850"/>
      <c r="CN102" s="1039"/>
      <c r="CO102" s="1039"/>
      <c r="CP102" s="1039"/>
      <c r="CQ102" s="850"/>
      <c r="CR102" s="1039"/>
      <c r="CS102" s="1039"/>
      <c r="CT102" s="1039"/>
      <c r="CU102" s="850"/>
      <c r="CV102" s="1039"/>
      <c r="CW102" s="1039"/>
      <c r="CX102" s="1039"/>
      <c r="CY102" s="850"/>
      <c r="CZ102" s="1039"/>
      <c r="DA102" s="1039"/>
      <c r="DB102" s="1039"/>
      <c r="DC102" s="850"/>
      <c r="DD102" s="1039"/>
      <c r="DE102" s="1039"/>
      <c r="DF102" s="1039"/>
      <c r="DG102" s="850"/>
      <c r="DH102" s="1039"/>
      <c r="DI102" s="1039"/>
      <c r="DJ102" s="1039"/>
      <c r="DK102" s="850"/>
      <c r="DL102" s="1039"/>
      <c r="DM102" s="1039"/>
      <c r="DN102" s="1039"/>
      <c r="DO102" s="850"/>
      <c r="DP102" s="1039"/>
      <c r="DQ102" s="1039"/>
      <c r="DR102" s="1039"/>
      <c r="DS102" s="850"/>
      <c r="DT102" s="1039"/>
      <c r="DU102" s="1039"/>
      <c r="DV102" s="1039"/>
      <c r="DW102" s="850"/>
      <c r="DX102" s="1039"/>
      <c r="DY102" s="1039"/>
      <c r="DZ102" s="1039"/>
      <c r="EA102" s="850"/>
      <c r="EB102" s="1039"/>
      <c r="EC102" s="1039"/>
      <c r="ED102" s="1039"/>
      <c r="EE102" s="850"/>
      <c r="EF102" s="1039"/>
      <c r="EG102" s="1039"/>
      <c r="EH102" s="1039"/>
      <c r="EI102" s="850"/>
      <c r="EJ102" s="1039"/>
      <c r="EK102" s="1039"/>
      <c r="EL102" s="1039"/>
      <c r="EM102" s="850"/>
      <c r="EN102" s="1039"/>
      <c r="EO102" s="1039"/>
      <c r="EP102" s="1039"/>
      <c r="EQ102" s="850"/>
      <c r="ER102" s="1039"/>
      <c r="ES102" s="1039"/>
      <c r="ET102" s="1039"/>
      <c r="EU102" s="850"/>
      <c r="EV102" s="1039"/>
      <c r="EW102" s="1039"/>
      <c r="EX102" s="1039"/>
      <c r="EY102" s="850"/>
      <c r="EZ102" s="1039"/>
      <c r="FA102" s="1039"/>
      <c r="FB102" s="1039"/>
      <c r="FC102" s="850"/>
      <c r="FD102" s="1039"/>
      <c r="FE102" s="1039"/>
      <c r="FF102" s="1039"/>
      <c r="FG102" s="850"/>
      <c r="FH102" s="1039"/>
      <c r="FI102" s="1039"/>
      <c r="FJ102" s="1039"/>
      <c r="FK102" s="850"/>
      <c r="FL102" s="1039"/>
      <c r="FM102" s="1039"/>
      <c r="FN102" s="1039"/>
      <c r="FO102" s="850"/>
      <c r="FP102" s="1039"/>
      <c r="FQ102" s="1039"/>
      <c r="FR102" s="1039"/>
      <c r="FS102" s="850"/>
      <c r="FT102" s="1039"/>
      <c r="FU102" s="1039"/>
      <c r="FV102" s="1039"/>
      <c r="FW102" s="850"/>
      <c r="FX102" s="1039"/>
      <c r="FY102" s="1039"/>
      <c r="FZ102" s="1039"/>
      <c r="GA102" s="850"/>
      <c r="GB102" s="1039"/>
      <c r="GC102" s="1039"/>
      <c r="GD102" s="1039"/>
      <c r="GE102" s="850"/>
      <c r="GF102" s="1039"/>
      <c r="GG102" s="1039"/>
      <c r="GH102" s="1039"/>
      <c r="GI102" s="850"/>
      <c r="GJ102" s="1039"/>
      <c r="GK102" s="1039"/>
      <c r="GL102" s="1039"/>
      <c r="GM102" s="850"/>
      <c r="GN102" s="1039"/>
      <c r="GO102" s="1039"/>
      <c r="GP102" s="1039"/>
      <c r="GQ102" s="850"/>
      <c r="GR102" s="1039"/>
      <c r="GS102" s="1039"/>
      <c r="GT102" s="1039"/>
      <c r="GU102" s="850"/>
      <c r="GV102" s="1039"/>
      <c r="GW102" s="1039"/>
      <c r="GX102" s="1039"/>
      <c r="GY102" s="850"/>
      <c r="GZ102" s="1039"/>
      <c r="HA102" s="1039"/>
      <c r="HB102" s="1039"/>
      <c r="HC102" s="850"/>
      <c r="HD102" s="1039"/>
      <c r="HE102" s="1039"/>
      <c r="HF102" s="1039"/>
      <c r="HG102" s="850"/>
      <c r="HH102" s="1039"/>
      <c r="HI102" s="1039"/>
      <c r="HJ102" s="1039"/>
      <c r="HK102" s="850"/>
      <c r="HL102" s="1039"/>
      <c r="HM102" s="1039"/>
      <c r="HN102" s="1039"/>
      <c r="HO102" s="850"/>
      <c r="HP102" s="1039"/>
      <c r="HQ102" s="1039"/>
      <c r="HR102" s="1039"/>
      <c r="HS102" s="850"/>
      <c r="HT102" s="1039"/>
      <c r="HU102" s="1039"/>
      <c r="HV102" s="1039"/>
      <c r="HW102" s="850"/>
      <c r="HX102" s="1039"/>
      <c r="HY102" s="1039"/>
      <c r="HZ102" s="1039"/>
      <c r="IA102" s="850"/>
      <c r="IB102" s="1039"/>
      <c r="IC102" s="1039"/>
      <c r="ID102" s="1039"/>
      <c r="IE102" s="850"/>
      <c r="IF102" s="1039"/>
      <c r="IG102" s="1039"/>
      <c r="IH102" s="1039"/>
      <c r="II102" s="850"/>
      <c r="IJ102" s="1039"/>
      <c r="IK102" s="1039"/>
      <c r="IL102" s="1039"/>
      <c r="IM102" s="850"/>
      <c r="IN102" s="1039"/>
      <c r="IO102" s="1039"/>
      <c r="IP102" s="1039"/>
      <c r="IQ102" s="850"/>
      <c r="IR102" s="1039"/>
      <c r="IS102" s="1039"/>
      <c r="IT102" s="1039"/>
      <c r="IU102" s="850"/>
      <c r="IV102" s="1039"/>
      <c r="IW102" s="1039"/>
      <c r="IX102" s="1039"/>
      <c r="IY102" s="850"/>
      <c r="IZ102" s="1039"/>
      <c r="JA102" s="1039"/>
      <c r="JB102" s="1039"/>
      <c r="JC102" s="850"/>
      <c r="JD102" s="1039"/>
      <c r="JE102" s="1039"/>
      <c r="JF102" s="1039"/>
      <c r="JG102" s="850"/>
      <c r="JH102" s="1039"/>
      <c r="JI102" s="1039"/>
      <c r="JJ102" s="1039"/>
      <c r="JK102" s="850"/>
      <c r="JL102" s="1039"/>
      <c r="JM102" s="1039"/>
      <c r="JN102" s="1039"/>
      <c r="JO102" s="850"/>
      <c r="JP102" s="1039"/>
      <c r="JQ102" s="1039"/>
      <c r="JR102" s="1039"/>
      <c r="JS102" s="850"/>
      <c r="JT102" s="1039"/>
      <c r="JU102" s="1039"/>
      <c r="JV102" s="1039"/>
      <c r="JW102" s="850"/>
      <c r="JX102" s="1039"/>
      <c r="JY102" s="1039"/>
      <c r="JZ102" s="1039"/>
      <c r="KA102" s="850"/>
      <c r="KB102" s="1039"/>
      <c r="KC102" s="1039"/>
      <c r="KD102" s="1039"/>
      <c r="KE102" s="850"/>
      <c r="KF102" s="1039"/>
      <c r="KG102" s="1039"/>
      <c r="KH102" s="1039"/>
      <c r="KI102" s="850"/>
      <c r="KJ102" s="1039"/>
      <c r="KK102" s="1039"/>
      <c r="KL102" s="1039"/>
      <c r="KM102" s="850"/>
      <c r="KN102" s="1039"/>
      <c r="KO102" s="1039"/>
      <c r="KP102" s="1039"/>
      <c r="KQ102" s="850"/>
      <c r="KR102" s="1039"/>
      <c r="KS102" s="1039"/>
      <c r="KT102" s="1039"/>
      <c r="KU102" s="850"/>
      <c r="KV102" s="1039"/>
      <c r="KW102" s="1039"/>
      <c r="KX102" s="1039"/>
      <c r="KY102" s="850"/>
      <c r="KZ102" s="1039"/>
      <c r="LA102" s="1039"/>
      <c r="LB102" s="1039"/>
      <c r="LC102" s="850"/>
      <c r="LD102" s="1039"/>
      <c r="LE102" s="1039"/>
      <c r="LF102" s="1039"/>
      <c r="LG102" s="850"/>
      <c r="LH102" s="1039"/>
      <c r="LI102" s="1039"/>
      <c r="LJ102" s="1039"/>
      <c r="LK102" s="850"/>
      <c r="LL102" s="1039"/>
      <c r="LM102" s="1039"/>
      <c r="LN102" s="1039"/>
      <c r="LO102" s="850"/>
      <c r="LP102" s="1039"/>
      <c r="LQ102" s="1039"/>
      <c r="LR102" s="1039"/>
      <c r="LS102" s="850"/>
      <c r="LT102" s="1039"/>
      <c r="LU102" s="1039"/>
      <c r="LV102" s="1039"/>
      <c r="LW102" s="850"/>
      <c r="LX102" s="1039"/>
      <c r="LY102" s="1039"/>
      <c r="LZ102" s="1039"/>
      <c r="MA102" s="850"/>
      <c r="MB102" s="1039"/>
      <c r="MC102" s="1039"/>
      <c r="MD102" s="1039"/>
      <c r="ME102" s="850"/>
      <c r="MF102" s="1039"/>
      <c r="MG102" s="1039"/>
      <c r="MH102" s="1039"/>
      <c r="MI102" s="850"/>
      <c r="MJ102" s="1039"/>
      <c r="MK102" s="1039"/>
      <c r="ML102" s="1039"/>
      <c r="MM102" s="850"/>
      <c r="MN102" s="1039"/>
      <c r="MO102" s="1039"/>
      <c r="MP102" s="1039"/>
      <c r="MQ102" s="850"/>
      <c r="MR102" s="1039"/>
      <c r="MS102" s="1039"/>
      <c r="MT102" s="1039"/>
      <c r="MU102" s="850"/>
      <c r="MV102" s="1039"/>
      <c r="MW102" s="1039"/>
      <c r="MX102" s="1039"/>
      <c r="MY102" s="850"/>
      <c r="MZ102" s="1039"/>
      <c r="NA102" s="1039"/>
      <c r="NB102" s="1039"/>
      <c r="NC102" s="850"/>
      <c r="ND102" s="1039"/>
      <c r="NE102" s="1039"/>
      <c r="NF102" s="1039"/>
      <c r="NG102" s="850"/>
      <c r="NH102" s="874"/>
      <c r="NI102" s="874"/>
      <c r="NJ102" s="874"/>
      <c r="NK102" s="874"/>
      <c r="NL102" s="874"/>
      <c r="NM102" s="874"/>
      <c r="NN102" s="874"/>
      <c r="NO102" s="874"/>
      <c r="NP102" s="874"/>
      <c r="NQ102" s="874"/>
      <c r="NS102" s="829"/>
    </row>
    <row r="103" spans="2:383">
      <c r="NH103" s="874"/>
      <c r="NI103" s="874"/>
      <c r="NJ103" s="874"/>
      <c r="NK103" s="874"/>
      <c r="NL103" s="874"/>
      <c r="NM103" s="874"/>
      <c r="NN103" s="874"/>
      <c r="NO103" s="874"/>
      <c r="NP103" s="874"/>
      <c r="NQ103" s="874"/>
    </row>
    <row r="109" spans="2:383">
      <c r="D109" s="947"/>
      <c r="G109" s="874"/>
      <c r="H109" s="947"/>
      <c r="K109" s="874"/>
      <c r="L109" s="947"/>
      <c r="M109" s="877"/>
      <c r="N109" s="877"/>
      <c r="O109" s="874"/>
      <c r="P109" s="947"/>
      <c r="S109" s="874"/>
      <c r="T109" s="947"/>
      <c r="W109" s="874"/>
      <c r="X109" s="947"/>
      <c r="AA109" s="874"/>
      <c r="AB109" s="947"/>
      <c r="AE109" s="874"/>
      <c r="AF109" s="947"/>
      <c r="AI109" s="874"/>
      <c r="AJ109" s="947"/>
      <c r="AM109" s="874"/>
      <c r="AN109" s="947"/>
      <c r="AQ109" s="874"/>
      <c r="AR109" s="947"/>
      <c r="AU109" s="874"/>
      <c r="AV109" s="947"/>
      <c r="AY109" s="874"/>
      <c r="AZ109" s="947"/>
      <c r="BC109" s="874"/>
      <c r="BD109" s="947"/>
      <c r="BG109" s="874"/>
      <c r="BH109" s="947"/>
      <c r="BK109" s="874"/>
      <c r="BL109" s="947"/>
      <c r="BO109" s="874"/>
      <c r="BP109" s="947"/>
      <c r="BS109" s="874"/>
      <c r="BT109" s="947"/>
      <c r="BW109" s="874"/>
      <c r="BX109" s="947"/>
      <c r="CA109" s="874"/>
      <c r="CB109" s="947"/>
      <c r="CE109" s="874"/>
      <c r="CF109" s="947"/>
      <c r="CI109" s="874"/>
      <c r="CJ109" s="947"/>
      <c r="CM109" s="874"/>
      <c r="CN109" s="947"/>
      <c r="CQ109" s="874"/>
      <c r="CR109" s="947"/>
      <c r="CU109" s="874"/>
      <c r="CV109" s="947"/>
      <c r="CY109" s="874"/>
      <c r="CZ109" s="947"/>
      <c r="DC109" s="874"/>
      <c r="DD109" s="947"/>
      <c r="DG109" s="874"/>
      <c r="DH109" s="947"/>
      <c r="DK109" s="874"/>
      <c r="DL109" s="947"/>
      <c r="DO109" s="874"/>
      <c r="DP109" s="947"/>
      <c r="DS109" s="874"/>
      <c r="DT109" s="947"/>
      <c r="DW109" s="874"/>
      <c r="DX109" s="947"/>
      <c r="EA109" s="874"/>
      <c r="EB109" s="947"/>
      <c r="EE109" s="874"/>
      <c r="EF109" s="947"/>
      <c r="EI109" s="874"/>
      <c r="EJ109" s="947"/>
      <c r="EM109" s="874"/>
      <c r="EN109" s="947"/>
      <c r="EQ109" s="874"/>
      <c r="ER109" s="947"/>
      <c r="EU109" s="874"/>
      <c r="EV109" s="947"/>
      <c r="EY109" s="874"/>
      <c r="EZ109" s="947"/>
      <c r="FC109" s="874"/>
      <c r="FD109" s="947"/>
      <c r="FG109" s="874"/>
      <c r="FH109" s="947"/>
      <c r="FK109" s="874"/>
      <c r="FL109" s="947"/>
      <c r="FO109" s="874"/>
      <c r="FP109" s="947"/>
      <c r="FS109" s="874"/>
      <c r="FT109" s="947"/>
      <c r="FW109" s="874"/>
      <c r="FX109" s="947"/>
      <c r="GA109" s="874"/>
      <c r="GB109" s="947"/>
      <c r="GE109" s="874"/>
      <c r="GF109" s="947"/>
      <c r="GI109" s="874"/>
      <c r="GJ109" s="947"/>
      <c r="GM109" s="874"/>
      <c r="GN109" s="947"/>
      <c r="GQ109" s="874"/>
      <c r="GR109" s="947"/>
      <c r="GU109" s="874"/>
      <c r="GV109" s="947"/>
      <c r="GY109" s="874"/>
      <c r="GZ109" s="947"/>
      <c r="HC109" s="874"/>
      <c r="HD109" s="947"/>
      <c r="HG109" s="874"/>
      <c r="HH109" s="947"/>
      <c r="HK109" s="874"/>
      <c r="HL109" s="947"/>
      <c r="HO109" s="874"/>
      <c r="HP109" s="947"/>
      <c r="HS109" s="874"/>
      <c r="HT109" s="947"/>
      <c r="HW109" s="874"/>
      <c r="HX109" s="947"/>
      <c r="IA109" s="874"/>
      <c r="IB109" s="947"/>
      <c r="IE109" s="874"/>
      <c r="IF109" s="947"/>
      <c r="II109" s="874"/>
      <c r="IJ109" s="947"/>
      <c r="IM109" s="874"/>
      <c r="IN109" s="947"/>
      <c r="IQ109" s="874"/>
      <c r="IR109" s="947"/>
      <c r="IU109" s="874"/>
      <c r="IV109" s="947"/>
      <c r="IY109" s="874"/>
      <c r="IZ109" s="947"/>
      <c r="JC109" s="874"/>
      <c r="JD109" s="947"/>
      <c r="JG109" s="874"/>
      <c r="JH109" s="947"/>
      <c r="JK109" s="874"/>
      <c r="JL109" s="947"/>
      <c r="JO109" s="874"/>
      <c r="JP109" s="947"/>
      <c r="JS109" s="874"/>
      <c r="JT109" s="947"/>
      <c r="JW109" s="874"/>
      <c r="JX109" s="947"/>
      <c r="KA109" s="874"/>
      <c r="KB109" s="947"/>
      <c r="KE109" s="874"/>
      <c r="KF109" s="947"/>
      <c r="KI109" s="874"/>
      <c r="KJ109" s="947"/>
      <c r="KM109" s="874"/>
      <c r="KN109" s="947"/>
      <c r="KQ109" s="874"/>
      <c r="KR109" s="947"/>
      <c r="KU109" s="874"/>
      <c r="KV109" s="947"/>
      <c r="KY109" s="874"/>
      <c r="KZ109" s="947"/>
      <c r="LC109" s="874"/>
      <c r="LD109" s="947"/>
      <c r="LG109" s="874"/>
      <c r="LH109" s="874"/>
      <c r="LI109" s="874"/>
      <c r="LJ109" s="874"/>
      <c r="LK109" s="874"/>
      <c r="LL109" s="947"/>
      <c r="LO109" s="874"/>
      <c r="LP109" s="947"/>
      <c r="LS109" s="874"/>
      <c r="LT109" s="947"/>
      <c r="LW109" s="874"/>
      <c r="LX109" s="947"/>
      <c r="MA109" s="874"/>
      <c r="MB109" s="947"/>
      <c r="ME109" s="874"/>
      <c r="MF109" s="947"/>
      <c r="MI109" s="874"/>
      <c r="MJ109" s="947"/>
      <c r="MM109" s="874"/>
      <c r="MN109" s="947"/>
      <c r="MQ109" s="874"/>
      <c r="MR109" s="947"/>
      <c r="MU109" s="874"/>
      <c r="MV109" s="947"/>
      <c r="MY109" s="874"/>
      <c r="MZ109" s="947"/>
      <c r="NC109" s="874"/>
      <c r="ND109" s="947"/>
      <c r="NG109" s="874"/>
      <c r="NH109" s="947"/>
      <c r="NL109" s="977">
        <f>SUM(B109:NG109)</f>
        <v>0</v>
      </c>
    </row>
    <row r="110" spans="2:383">
      <c r="NL110" s="877">
        <v>2012</v>
      </c>
    </row>
    <row r="111" spans="2:383">
      <c r="NL111" s="977">
        <f>NL109+NL110</f>
        <v>2012</v>
      </c>
    </row>
    <row r="149" spans="8:8">
      <c r="H149" s="977"/>
    </row>
  </sheetData>
  <mergeCells count="220">
    <mergeCell ref="ND32:NG32"/>
    <mergeCell ref="KB4:KM4"/>
    <mergeCell ref="KN4:KY4"/>
    <mergeCell ref="KZ4:LK4"/>
    <mergeCell ref="LL4:LW4"/>
    <mergeCell ref="LX4:MI4"/>
    <mergeCell ref="MJ4:MU4"/>
    <mergeCell ref="MV4:NG4"/>
    <mergeCell ref="NH4:NL4"/>
    <mergeCell ref="KZ32:LC32"/>
    <mergeCell ref="LD32:LG32"/>
    <mergeCell ref="LH32:LK32"/>
    <mergeCell ref="LL32:LO32"/>
    <mergeCell ref="LP32:LS32"/>
    <mergeCell ref="LT32:LW32"/>
    <mergeCell ref="LX32:MA32"/>
    <mergeCell ref="MB32:ME32"/>
    <mergeCell ref="MF32:MI32"/>
    <mergeCell ref="MJ32:MM32"/>
    <mergeCell ref="MN32:MQ32"/>
    <mergeCell ref="MR32:MU32"/>
    <mergeCell ref="MV32:MY32"/>
    <mergeCell ref="MZ32:NC32"/>
    <mergeCell ref="JP32:JS32"/>
    <mergeCell ref="JT32:JW32"/>
    <mergeCell ref="JX32:KA32"/>
    <mergeCell ref="KB32:KE32"/>
    <mergeCell ref="KF32:KI32"/>
    <mergeCell ref="KJ32:KM32"/>
    <mergeCell ref="KN32:KQ32"/>
    <mergeCell ref="KR32:KU32"/>
    <mergeCell ref="KV32:KY32"/>
    <mergeCell ref="NH3:NL3"/>
    <mergeCell ref="L4:W4"/>
    <mergeCell ref="X4:AI4"/>
    <mergeCell ref="AJ4:AU4"/>
    <mergeCell ref="AV4:BG4"/>
    <mergeCell ref="BH4:BS4"/>
    <mergeCell ref="BT4:CE4"/>
    <mergeCell ref="CF4:CQ4"/>
    <mergeCell ref="CR4:DC4"/>
    <mergeCell ref="DD4:DO4"/>
    <mergeCell ref="DP4:EA4"/>
    <mergeCell ref="EB4:EM4"/>
    <mergeCell ref="EN4:EY4"/>
    <mergeCell ref="EZ4:FK4"/>
    <mergeCell ref="FL4:FW4"/>
    <mergeCell ref="FX4:GI4"/>
    <mergeCell ref="GJ4:GU4"/>
    <mergeCell ref="GV4:HG4"/>
    <mergeCell ref="HH4:HS4"/>
    <mergeCell ref="HT4:IE4"/>
    <mergeCell ref="IF4:IQ4"/>
    <mergeCell ref="IR4:JC4"/>
    <mergeCell ref="JD4:JO4"/>
    <mergeCell ref="JP4:KA4"/>
    <mergeCell ref="JD3:JO3"/>
    <mergeCell ref="JP3:KA3"/>
    <mergeCell ref="KB3:KM3"/>
    <mergeCell ref="KN3:KY3"/>
    <mergeCell ref="KZ3:LK3"/>
    <mergeCell ref="LL3:LW3"/>
    <mergeCell ref="LX3:MI3"/>
    <mergeCell ref="MJ3:MU3"/>
    <mergeCell ref="MV3:NG3"/>
    <mergeCell ref="LX2:MI2"/>
    <mergeCell ref="MJ2:MU2"/>
    <mergeCell ref="MV2:NG2"/>
    <mergeCell ref="NH2:NL2"/>
    <mergeCell ref="L3:W3"/>
    <mergeCell ref="X3:AI3"/>
    <mergeCell ref="AJ3:AU3"/>
    <mergeCell ref="AV3:BG3"/>
    <mergeCell ref="BH3:BS3"/>
    <mergeCell ref="BT3:CE3"/>
    <mergeCell ref="CF3:CQ3"/>
    <mergeCell ref="CR3:DC3"/>
    <mergeCell ref="DD3:DO3"/>
    <mergeCell ref="DP3:EA3"/>
    <mergeCell ref="EB3:EM3"/>
    <mergeCell ref="EN3:EY3"/>
    <mergeCell ref="EZ3:FK3"/>
    <mergeCell ref="FL3:FW3"/>
    <mergeCell ref="FX3:GI3"/>
    <mergeCell ref="GJ3:GU3"/>
    <mergeCell ref="GV3:HG3"/>
    <mergeCell ref="HH3:HS3"/>
    <mergeCell ref="HT3:IE3"/>
    <mergeCell ref="IF3:IQ3"/>
    <mergeCell ref="HT2:IE2"/>
    <mergeCell ref="IF2:IQ2"/>
    <mergeCell ref="IR2:JC2"/>
    <mergeCell ref="JD2:JO2"/>
    <mergeCell ref="JP2:KA2"/>
    <mergeCell ref="KB2:KM2"/>
    <mergeCell ref="KN2:KY2"/>
    <mergeCell ref="KZ2:LK2"/>
    <mergeCell ref="LL2:LW2"/>
    <mergeCell ref="KZ1:LK1"/>
    <mergeCell ref="LL1:LW1"/>
    <mergeCell ref="LX1:MI1"/>
    <mergeCell ref="MJ1:MU1"/>
    <mergeCell ref="MV1:NG1"/>
    <mergeCell ref="NH1:NL1"/>
    <mergeCell ref="L2:W2"/>
    <mergeCell ref="X2:AI2"/>
    <mergeCell ref="AJ2:AU2"/>
    <mergeCell ref="AV2:BG2"/>
    <mergeCell ref="BH2:BS2"/>
    <mergeCell ref="BT2:CE2"/>
    <mergeCell ref="CF2:CQ2"/>
    <mergeCell ref="CR2:DC2"/>
    <mergeCell ref="DD2:DO2"/>
    <mergeCell ref="DP2:EA2"/>
    <mergeCell ref="EB2:EM2"/>
    <mergeCell ref="EN2:EY2"/>
    <mergeCell ref="EZ2:FK2"/>
    <mergeCell ref="FL2:FW2"/>
    <mergeCell ref="FX2:GI2"/>
    <mergeCell ref="GJ2:GU2"/>
    <mergeCell ref="GV2:HG2"/>
    <mergeCell ref="HH2:HS2"/>
    <mergeCell ref="GV1:HG1"/>
    <mergeCell ref="HH1:HS1"/>
    <mergeCell ref="HT1:IE1"/>
    <mergeCell ref="IF1:IQ1"/>
    <mergeCell ref="IR1:JC1"/>
    <mergeCell ref="JD1:JO1"/>
    <mergeCell ref="JP1:KA1"/>
    <mergeCell ref="KB1:KM1"/>
    <mergeCell ref="KN1:KY1"/>
    <mergeCell ref="DD1:DO1"/>
    <mergeCell ref="DP1:EA1"/>
    <mergeCell ref="EB1:EM1"/>
    <mergeCell ref="B2:K2"/>
    <mergeCell ref="EN1:EY1"/>
    <mergeCell ref="EZ1:FK1"/>
    <mergeCell ref="FL1:FW1"/>
    <mergeCell ref="FX1:GI1"/>
    <mergeCell ref="GJ1:GU1"/>
    <mergeCell ref="B1:K1"/>
    <mergeCell ref="L1:W1"/>
    <mergeCell ref="X1:AI1"/>
    <mergeCell ref="AJ1:AU1"/>
    <mergeCell ref="AV1:BG1"/>
    <mergeCell ref="BH1:BS1"/>
    <mergeCell ref="BT1:CE1"/>
    <mergeCell ref="CF1:CQ1"/>
    <mergeCell ref="CR1:DC1"/>
    <mergeCell ref="IR3:JC3"/>
    <mergeCell ref="B4:K4"/>
    <mergeCell ref="B3:K3"/>
    <mergeCell ref="D32:G32"/>
    <mergeCell ref="H32:K32"/>
    <mergeCell ref="P32:S32"/>
    <mergeCell ref="T32:W32"/>
    <mergeCell ref="X32:AA32"/>
    <mergeCell ref="AB32:AE32"/>
    <mergeCell ref="AF32:AI32"/>
    <mergeCell ref="AJ32:AM32"/>
    <mergeCell ref="BL32:BO32"/>
    <mergeCell ref="BP32:BS32"/>
    <mergeCell ref="BT32:BW32"/>
    <mergeCell ref="BX32:CA32"/>
    <mergeCell ref="CB32:CE32"/>
    <mergeCell ref="CF32:CI32"/>
    <mergeCell ref="AN32:AQ32"/>
    <mergeCell ref="AR32:AU32"/>
    <mergeCell ref="AV32:AY32"/>
    <mergeCell ref="AZ32:BC32"/>
    <mergeCell ref="BD32:BG32"/>
    <mergeCell ref="BH32:BK32"/>
    <mergeCell ref="DH32:DK32"/>
    <mergeCell ref="DL32:DO32"/>
    <mergeCell ref="DP32:DS32"/>
    <mergeCell ref="DT32:DW32"/>
    <mergeCell ref="DX32:EA32"/>
    <mergeCell ref="EB32:EE32"/>
    <mergeCell ref="CJ32:CM32"/>
    <mergeCell ref="CN32:CQ32"/>
    <mergeCell ref="CR32:CU32"/>
    <mergeCell ref="CV32:CY32"/>
    <mergeCell ref="CZ32:DC32"/>
    <mergeCell ref="DD32:DG32"/>
    <mergeCell ref="FD32:FG32"/>
    <mergeCell ref="FH32:FK32"/>
    <mergeCell ref="FL32:FO32"/>
    <mergeCell ref="FP32:FS32"/>
    <mergeCell ref="FT32:FW32"/>
    <mergeCell ref="FX32:GA32"/>
    <mergeCell ref="EF32:EI32"/>
    <mergeCell ref="EJ32:EM32"/>
    <mergeCell ref="EN32:EQ32"/>
    <mergeCell ref="ER32:EU32"/>
    <mergeCell ref="EV32:EY32"/>
    <mergeCell ref="EZ32:FC32"/>
    <mergeCell ref="IV32:IY32"/>
    <mergeCell ref="IZ32:JC32"/>
    <mergeCell ref="JD32:JG32"/>
    <mergeCell ref="JH32:JK32"/>
    <mergeCell ref="JL32:JO32"/>
    <mergeCell ref="L32:O32"/>
    <mergeCell ref="HX32:IA32"/>
    <mergeCell ref="IB32:IE32"/>
    <mergeCell ref="IF32:II32"/>
    <mergeCell ref="IJ32:IM32"/>
    <mergeCell ref="IN32:IQ32"/>
    <mergeCell ref="IR32:IU32"/>
    <mergeCell ref="GZ32:HC32"/>
    <mergeCell ref="HD32:HG32"/>
    <mergeCell ref="HH32:HK32"/>
    <mergeCell ref="HL32:HO32"/>
    <mergeCell ref="HP32:HS32"/>
    <mergeCell ref="HT32:HW32"/>
    <mergeCell ref="GB32:GE32"/>
    <mergeCell ref="GF32:GI32"/>
    <mergeCell ref="GJ32:GM32"/>
    <mergeCell ref="GN32:GQ32"/>
    <mergeCell ref="GR32:GU32"/>
    <mergeCell ref="GV32:GY32"/>
  </mergeCells>
  <printOptions horizontalCentered="1"/>
  <pageMargins left="0.5" right="0.5" top="0.75" bottom="0.5" header="0.5" footer="0.5"/>
  <pageSetup scale="47" fitToWidth="40" orientation="portrait" r:id="rId1"/>
  <headerFooter alignWithMargins="0">
    <oddHeader>&amp;RPage &amp;P of &amp;N</oddHeader>
  </headerFooter>
  <colBreaks count="31" manualBreakCount="31">
    <brk id="11" max="101" man="1"/>
    <brk id="23" max="101" man="1"/>
    <brk id="35" max="101" man="1"/>
    <brk id="47" max="101" man="1"/>
    <brk id="59" max="101" man="1"/>
    <brk id="71" max="101" man="1"/>
    <brk id="83" max="101" man="1"/>
    <brk id="95" max="101" man="1"/>
    <brk id="107" max="101" man="1"/>
    <brk id="119" max="101" man="1"/>
    <brk id="131" max="101" man="1"/>
    <brk id="143" max="101" man="1"/>
    <brk id="155" max="101" man="1"/>
    <brk id="167" max="101" man="1"/>
    <brk id="179" max="101" man="1"/>
    <brk id="191" max="101" man="1"/>
    <brk id="203" max="101" man="1"/>
    <brk id="215" max="101" man="1"/>
    <brk id="227" max="101" man="1"/>
    <brk id="239" max="101" man="1"/>
    <brk id="251" max="101" man="1"/>
    <brk id="263" max="101" man="1"/>
    <brk id="275" max="101" man="1"/>
    <brk id="287" max="101" man="1"/>
    <brk id="299" max="101" man="1"/>
    <brk id="311" max="101" man="1"/>
    <brk id="323" max="101" man="1"/>
    <brk id="335" max="101" man="1"/>
    <brk id="347" max="101" man="1"/>
    <brk id="359" max="101" man="1"/>
    <brk id="371" max="101" man="1"/>
  </colBreaks>
</worksheet>
</file>

<file path=xl/worksheets/sheet14.xml><?xml version="1.0" encoding="utf-8"?>
<worksheet xmlns="http://schemas.openxmlformats.org/spreadsheetml/2006/main" xmlns:r="http://schemas.openxmlformats.org/officeDocument/2006/relationships">
  <sheetPr codeName="Sheet11">
    <pageSetUpPr fitToPage="1"/>
  </sheetPr>
  <dimension ref="A1:K61"/>
  <sheetViews>
    <sheetView zoomScaleNormal="100" workbookViewId="0">
      <selection sqref="A1:F1"/>
    </sheetView>
  </sheetViews>
  <sheetFormatPr defaultRowHeight="12.9"/>
  <cols>
    <col min="2" max="2" width="1.375" customWidth="1"/>
    <col min="3" max="3" width="2.25" customWidth="1"/>
    <col min="4" max="4" width="43.375" customWidth="1"/>
    <col min="5" max="5" width="19.75" customWidth="1"/>
    <col min="6" max="6" width="19.375" customWidth="1"/>
    <col min="7" max="7" width="20.625" customWidth="1"/>
  </cols>
  <sheetData>
    <row r="1" spans="1:11" ht="18.350000000000001">
      <c r="A1" s="1160" t="str">
        <f>+'Appendix A'!A4</f>
        <v xml:space="preserve">Virginia Electric and Power Company  </v>
      </c>
      <c r="B1" s="1160"/>
      <c r="C1" s="1160"/>
      <c r="D1" s="1160"/>
      <c r="E1" s="1160"/>
      <c r="F1" s="1160"/>
    </row>
    <row r="2" spans="1:11" ht="18.350000000000001">
      <c r="A2" s="1160" t="s">
        <v>880</v>
      </c>
      <c r="B2" s="1160"/>
      <c r="C2" s="1160"/>
      <c r="D2" s="1160"/>
      <c r="E2" s="1160"/>
      <c r="F2" s="1160"/>
      <c r="G2" s="1160"/>
      <c r="H2" s="1160"/>
      <c r="I2" s="1160"/>
      <c r="J2" s="1160"/>
      <c r="K2" s="1160"/>
    </row>
    <row r="3" spans="1:11" ht="15.65">
      <c r="A3" s="1188" t="s">
        <v>274</v>
      </c>
      <c r="B3" s="1257"/>
      <c r="C3" s="1257"/>
      <c r="D3" s="1257"/>
      <c r="E3" s="1257"/>
      <c r="F3" s="1257"/>
    </row>
    <row r="4" spans="1:11" ht="13.6">
      <c r="A4" s="167"/>
      <c r="B4" s="85"/>
      <c r="C4" s="315"/>
      <c r="D4" s="1256" t="s">
        <v>722</v>
      </c>
      <c r="E4" s="1256"/>
      <c r="F4" s="167"/>
    </row>
    <row r="5" spans="1:11">
      <c r="A5" s="85"/>
      <c r="B5" s="167"/>
      <c r="C5" s="167"/>
      <c r="D5" s="167"/>
      <c r="E5" s="167"/>
      <c r="F5" s="167"/>
    </row>
    <row r="6" spans="1:11" ht="13.6">
      <c r="A6" s="167"/>
      <c r="B6" s="167"/>
      <c r="C6" s="167"/>
      <c r="D6" s="85"/>
      <c r="E6" s="138"/>
      <c r="F6" s="167"/>
    </row>
    <row r="7" spans="1:11">
      <c r="A7" s="167"/>
      <c r="B7" s="167"/>
      <c r="C7" s="167"/>
      <c r="D7" s="167"/>
      <c r="E7" s="167"/>
      <c r="F7" s="167"/>
    </row>
    <row r="8" spans="1:11">
      <c r="A8" s="167"/>
      <c r="B8" s="125"/>
      <c r="C8" s="125"/>
      <c r="D8" s="125"/>
      <c r="E8" s="125"/>
      <c r="F8" s="125"/>
      <c r="G8" s="2"/>
      <c r="H8" s="2"/>
    </row>
    <row r="9" spans="1:11" ht="13.6">
      <c r="A9" s="167"/>
      <c r="B9" s="139"/>
      <c r="C9" s="139"/>
      <c r="D9" s="139"/>
      <c r="E9" s="139"/>
      <c r="F9" s="139"/>
      <c r="G9" s="139"/>
      <c r="H9" s="2"/>
    </row>
    <row r="10" spans="1:11">
      <c r="A10" s="167"/>
      <c r="B10" s="125"/>
      <c r="C10" s="125"/>
      <c r="D10" s="125"/>
      <c r="E10" s="125"/>
      <c r="F10" s="125"/>
      <c r="G10" s="2"/>
      <c r="H10" s="2"/>
    </row>
    <row r="11" spans="1:11">
      <c r="A11" s="167"/>
      <c r="B11" s="167"/>
      <c r="C11" s="167"/>
      <c r="D11" s="167"/>
      <c r="E11" s="167"/>
      <c r="F11" s="167"/>
    </row>
    <row r="12" spans="1:11">
      <c r="A12" s="167" t="s">
        <v>346</v>
      </c>
      <c r="B12" s="167"/>
      <c r="C12" s="167"/>
      <c r="D12" s="167"/>
      <c r="E12" s="167"/>
      <c r="F12" s="167"/>
    </row>
    <row r="13" spans="1:11">
      <c r="A13" s="167"/>
      <c r="B13" s="167"/>
      <c r="C13" s="167" t="s">
        <v>621</v>
      </c>
      <c r="D13" s="167"/>
      <c r="E13" s="167"/>
      <c r="F13" s="167"/>
    </row>
    <row r="14" spans="1:11" ht="13.6">
      <c r="A14" s="204">
        <f>+'Appendix A'!A176</f>
        <v>105</v>
      </c>
      <c r="B14" s="204">
        <f>+'Appendix A'!B176</f>
        <v>0</v>
      </c>
      <c r="C14" s="204" t="str">
        <f>+'Appendix A'!C176</f>
        <v xml:space="preserve">    Less LTD Interest on Securitization Bonds</v>
      </c>
      <c r="D14" s="204"/>
      <c r="E14" s="134">
        <v>0</v>
      </c>
      <c r="F14" s="135"/>
    </row>
    <row r="15" spans="1:11">
      <c r="A15" s="167"/>
      <c r="B15" s="167"/>
      <c r="C15" s="167"/>
      <c r="D15" s="167"/>
      <c r="E15" s="167"/>
      <c r="F15" s="167"/>
    </row>
    <row r="16" spans="1:11">
      <c r="A16" s="167"/>
      <c r="B16" s="167"/>
      <c r="C16" s="167"/>
      <c r="D16" s="167"/>
      <c r="E16" s="167"/>
      <c r="F16" s="167"/>
    </row>
    <row r="17" spans="1:6">
      <c r="A17" s="167"/>
      <c r="B17" s="167"/>
      <c r="C17" s="167" t="s">
        <v>691</v>
      </c>
      <c r="D17" s="167"/>
      <c r="E17" s="167"/>
      <c r="F17" s="167"/>
    </row>
    <row r="18" spans="1:6" ht="13.6">
      <c r="A18" s="204">
        <f>+'Appendix A'!A191</f>
        <v>115</v>
      </c>
      <c r="B18" s="167"/>
      <c r="C18" s="204" t="str">
        <f>+'Appendix A'!C191</f>
        <v xml:space="preserve">      Less LTD on Securitization Bonds</v>
      </c>
      <c r="D18" s="204"/>
      <c r="E18" s="134">
        <v>0</v>
      </c>
      <c r="F18" s="135"/>
    </row>
    <row r="19" spans="1:6">
      <c r="A19" s="167"/>
      <c r="B19" s="167"/>
      <c r="C19" s="167"/>
      <c r="D19" s="167"/>
      <c r="E19" s="167"/>
      <c r="F19" s="167"/>
    </row>
    <row r="20" spans="1:6">
      <c r="A20" s="167"/>
      <c r="B20" s="167"/>
      <c r="C20" s="167"/>
      <c r="D20" s="167"/>
      <c r="E20" s="167"/>
      <c r="F20" s="167"/>
    </row>
    <row r="21" spans="1:6">
      <c r="A21" s="167"/>
      <c r="B21" s="167"/>
      <c r="C21" s="125"/>
      <c r="D21" s="125"/>
      <c r="E21" s="125"/>
      <c r="F21" s="167"/>
    </row>
    <row r="22" spans="1:6">
      <c r="A22" s="167"/>
    </row>
    <row r="23" spans="1:6">
      <c r="A23" s="167"/>
    </row>
    <row r="24" spans="1:6">
      <c r="A24" s="167"/>
    </row>
    <row r="25" spans="1:6">
      <c r="A25" s="167"/>
    </row>
    <row r="26" spans="1:6">
      <c r="A26" s="167"/>
    </row>
    <row r="27" spans="1:6">
      <c r="A27" s="167"/>
    </row>
    <row r="28" spans="1:6">
      <c r="A28" s="167"/>
    </row>
    <row r="29" spans="1:6">
      <c r="A29" s="167"/>
    </row>
    <row r="30" spans="1:6">
      <c r="A30" s="167"/>
    </row>
    <row r="31" spans="1:6">
      <c r="A31" s="167"/>
    </row>
    <row r="32" spans="1:6">
      <c r="A32" s="167"/>
    </row>
    <row r="33" spans="1:6">
      <c r="A33" s="167"/>
    </row>
    <row r="34" spans="1:6">
      <c r="A34" s="167"/>
    </row>
    <row r="35" spans="1:6">
      <c r="A35" s="167"/>
    </row>
    <row r="36" spans="1:6">
      <c r="A36" s="167"/>
    </row>
    <row r="37" spans="1:6">
      <c r="A37" s="167"/>
    </row>
    <row r="38" spans="1:6">
      <c r="A38" s="167"/>
    </row>
    <row r="39" spans="1:6">
      <c r="A39" s="167"/>
    </row>
    <row r="40" spans="1:6">
      <c r="A40" s="167"/>
    </row>
    <row r="41" spans="1:6">
      <c r="A41" s="167"/>
    </row>
    <row r="42" spans="1:6">
      <c r="A42" s="167"/>
    </row>
    <row r="43" spans="1:6">
      <c r="A43" s="167"/>
    </row>
    <row r="44" spans="1:6">
      <c r="A44" s="167"/>
    </row>
    <row r="45" spans="1:6">
      <c r="A45" s="167"/>
    </row>
    <row r="46" spans="1:6">
      <c r="A46" s="167"/>
      <c r="B46" s="167"/>
      <c r="C46" s="167"/>
      <c r="D46" s="167"/>
      <c r="E46" s="167"/>
      <c r="F46" s="167"/>
    </row>
    <row r="47" spans="1:6">
      <c r="A47" s="167"/>
      <c r="B47" s="167"/>
      <c r="C47" s="167"/>
      <c r="D47" s="167"/>
      <c r="E47" s="167"/>
      <c r="F47" s="167"/>
    </row>
    <row r="48" spans="1:6">
      <c r="A48" s="167"/>
      <c r="B48" s="167"/>
      <c r="C48" s="167"/>
      <c r="D48" s="167"/>
      <c r="E48" s="167"/>
      <c r="F48" s="167"/>
    </row>
    <row r="49" spans="1:6">
      <c r="A49" s="167"/>
      <c r="B49" s="167"/>
      <c r="C49" s="167"/>
      <c r="D49" s="167"/>
      <c r="E49" s="167"/>
      <c r="F49" s="167"/>
    </row>
    <row r="50" spans="1:6">
      <c r="A50" s="167"/>
      <c r="B50" s="167"/>
      <c r="C50" s="167"/>
      <c r="D50" s="167"/>
      <c r="E50" s="167"/>
      <c r="F50" s="167"/>
    </row>
    <row r="51" spans="1:6">
      <c r="A51" s="167"/>
      <c r="B51" s="167"/>
      <c r="C51" s="167"/>
      <c r="D51" s="167"/>
      <c r="E51" s="167"/>
      <c r="F51" s="167"/>
    </row>
    <row r="52" spans="1:6">
      <c r="A52" s="167"/>
      <c r="B52" s="167"/>
      <c r="C52" s="167"/>
      <c r="D52" s="167"/>
      <c r="E52" s="167"/>
      <c r="F52" s="167"/>
    </row>
    <row r="53" spans="1:6">
      <c r="A53" s="167"/>
      <c r="B53" s="167"/>
      <c r="C53" s="167"/>
      <c r="D53" s="167"/>
      <c r="E53" s="167"/>
      <c r="F53" s="167"/>
    </row>
    <row r="54" spans="1:6">
      <c r="A54" s="167"/>
      <c r="B54" s="167"/>
      <c r="C54" s="167"/>
      <c r="D54" s="167"/>
      <c r="E54" s="167"/>
      <c r="F54" s="167"/>
    </row>
    <row r="55" spans="1:6">
      <c r="A55" s="167"/>
      <c r="B55" s="167"/>
      <c r="C55" s="167"/>
      <c r="D55" s="167"/>
      <c r="E55" s="167"/>
      <c r="F55" s="167"/>
    </row>
    <row r="56" spans="1:6">
      <c r="A56" s="167"/>
      <c r="B56" s="167"/>
      <c r="C56" s="167"/>
      <c r="D56" s="167"/>
      <c r="E56" s="167"/>
      <c r="F56" s="167"/>
    </row>
    <row r="57" spans="1:6">
      <c r="A57" s="167"/>
      <c r="B57" s="167"/>
      <c r="C57" s="167"/>
      <c r="D57" s="167"/>
      <c r="E57" s="167"/>
      <c r="F57" s="167"/>
    </row>
    <row r="58" spans="1:6">
      <c r="A58" s="167"/>
      <c r="B58" s="167"/>
      <c r="C58" s="167"/>
      <c r="D58" s="167"/>
      <c r="E58" s="167"/>
      <c r="F58" s="167"/>
    </row>
    <row r="59" spans="1:6">
      <c r="A59" s="167"/>
      <c r="B59" s="167"/>
      <c r="C59" s="167"/>
      <c r="D59" s="167"/>
      <c r="E59" s="167"/>
      <c r="F59" s="167"/>
    </row>
    <row r="60" spans="1:6">
      <c r="A60" s="167"/>
      <c r="B60" s="167"/>
      <c r="C60" s="167"/>
      <c r="D60" s="167"/>
      <c r="E60" s="167"/>
      <c r="F60" s="167"/>
    </row>
    <row r="61" spans="1:6">
      <c r="A61" s="167"/>
      <c r="B61" s="167"/>
      <c r="C61" s="167"/>
      <c r="D61" s="167"/>
      <c r="E61" s="167"/>
      <c r="F61" s="167"/>
    </row>
  </sheetData>
  <mergeCells count="5">
    <mergeCell ref="G2:K2"/>
    <mergeCell ref="D4:E4"/>
    <mergeCell ref="A3:F3"/>
    <mergeCell ref="A1:F1"/>
    <mergeCell ref="A2:F2"/>
  </mergeCells>
  <phoneticPr fontId="45" type="noConversion"/>
  <printOptions horizontalCentered="1"/>
  <pageMargins left="0.5" right="0.5" top="0.75" bottom="0.5" header="0.5" footer="0.5"/>
  <pageSetup orientation="portrait" r:id="rId1"/>
  <headerFooter alignWithMargins="0">
    <oddHeader>&amp;RPage &amp;P of &amp;N</oddHeader>
  </headerFooter>
</worksheet>
</file>

<file path=xl/worksheets/sheet15.xml><?xml version="1.0" encoding="utf-8"?>
<worksheet xmlns="http://schemas.openxmlformats.org/spreadsheetml/2006/main" xmlns:r="http://schemas.openxmlformats.org/officeDocument/2006/relationships">
  <sheetPr codeName="Sheet12"/>
  <dimension ref="A1:Q102"/>
  <sheetViews>
    <sheetView view="pageBreakPreview" zoomScale="115" zoomScaleNormal="100" zoomScaleSheetLayoutView="115" workbookViewId="0">
      <selection sqref="A1:C1"/>
    </sheetView>
  </sheetViews>
  <sheetFormatPr defaultColWidth="6.25" defaultRowHeight="12.9"/>
  <cols>
    <col min="1" max="1" width="51.25" customWidth="1"/>
    <col min="2" max="3" width="15.625" customWidth="1"/>
    <col min="4" max="22" width="12.75" customWidth="1"/>
  </cols>
  <sheetData>
    <row r="1" spans="1:17">
      <c r="A1" s="1260" t="s">
        <v>291</v>
      </c>
      <c r="B1" s="1260"/>
      <c r="C1" s="1260"/>
      <c r="D1" s="345"/>
      <c r="E1" s="345"/>
      <c r="F1" s="345"/>
      <c r="G1" s="345"/>
      <c r="H1" s="345"/>
      <c r="I1" s="345"/>
      <c r="J1" s="345"/>
      <c r="K1" s="345"/>
      <c r="L1" s="345"/>
      <c r="M1" s="345"/>
      <c r="N1" s="345"/>
      <c r="O1" s="345"/>
      <c r="P1" s="345"/>
      <c r="Q1" s="345"/>
    </row>
    <row r="2" spans="1:17" ht="18.350000000000001">
      <c r="A2" s="1258" t="s">
        <v>880</v>
      </c>
      <c r="B2" s="1258"/>
      <c r="C2" s="1258"/>
      <c r="D2" s="345"/>
      <c r="E2" s="345"/>
      <c r="F2" s="345"/>
      <c r="G2" s="345"/>
      <c r="H2" s="345"/>
      <c r="I2" s="345"/>
      <c r="J2" s="345"/>
      <c r="K2" s="345"/>
      <c r="L2" s="345"/>
      <c r="M2" s="345"/>
      <c r="N2" s="345"/>
      <c r="O2" s="345"/>
      <c r="P2" s="345"/>
      <c r="Q2" s="345"/>
    </row>
    <row r="3" spans="1:17" ht="15.65">
      <c r="A3" s="1259" t="s">
        <v>501</v>
      </c>
      <c r="B3" s="1259"/>
      <c r="C3" s="1259"/>
      <c r="D3" s="345"/>
      <c r="E3" s="345"/>
      <c r="F3" s="345"/>
      <c r="G3" s="345"/>
      <c r="H3" s="345"/>
      <c r="I3" s="345"/>
      <c r="J3" s="345"/>
      <c r="K3" s="345"/>
      <c r="L3" s="345"/>
      <c r="M3" s="345"/>
      <c r="N3" s="345"/>
      <c r="O3" s="345"/>
      <c r="P3" s="345"/>
      <c r="Q3" s="345"/>
    </row>
    <row r="4" spans="1:17">
      <c r="A4" s="925"/>
      <c r="C4" s="926"/>
      <c r="D4" s="345"/>
      <c r="E4" s="345"/>
      <c r="F4" s="345"/>
      <c r="G4" s="345"/>
      <c r="H4" s="345"/>
      <c r="I4" s="345"/>
      <c r="J4" s="345"/>
      <c r="K4" s="345"/>
      <c r="L4" s="345"/>
      <c r="M4" s="345"/>
      <c r="N4" s="345"/>
      <c r="O4" s="345"/>
      <c r="P4" s="345"/>
      <c r="Q4" s="345"/>
    </row>
    <row r="5" spans="1:17" ht="13.6">
      <c r="A5" s="1259" t="s">
        <v>1561</v>
      </c>
      <c r="B5" s="1259"/>
      <c r="C5" s="1259"/>
      <c r="D5" s="345"/>
      <c r="E5" s="345"/>
      <c r="F5" s="345"/>
      <c r="G5" s="345"/>
      <c r="H5" s="345"/>
      <c r="I5" s="345"/>
      <c r="J5" s="345"/>
      <c r="K5" s="345"/>
      <c r="L5" s="345"/>
      <c r="M5" s="345"/>
      <c r="N5" s="345"/>
      <c r="O5" s="345"/>
      <c r="P5" s="345"/>
      <c r="Q5" s="345"/>
    </row>
    <row r="6" spans="1:17" ht="13.6">
      <c r="A6" s="927"/>
      <c r="B6" s="927"/>
      <c r="C6" s="927"/>
      <c r="D6" s="345"/>
      <c r="E6" s="345"/>
      <c r="F6" s="345"/>
      <c r="G6" s="345"/>
      <c r="H6" s="345"/>
      <c r="I6" s="345"/>
      <c r="J6" s="345"/>
      <c r="K6" s="345"/>
      <c r="L6" s="345"/>
      <c r="M6" s="345"/>
      <c r="N6" s="345"/>
      <c r="O6" s="345"/>
      <c r="P6" s="345"/>
      <c r="Q6" s="345"/>
    </row>
    <row r="7" spans="1:17">
      <c r="A7" s="925"/>
      <c r="B7" s="925"/>
      <c r="C7" s="925"/>
      <c r="D7" s="345"/>
      <c r="E7" s="345"/>
      <c r="F7" s="345"/>
      <c r="G7" s="345"/>
      <c r="H7" s="345"/>
      <c r="I7" s="345"/>
      <c r="J7" s="345"/>
      <c r="K7" s="345"/>
      <c r="L7" s="345"/>
      <c r="M7" s="345"/>
      <c r="N7" s="345"/>
      <c r="O7" s="345"/>
      <c r="P7" s="345"/>
      <c r="Q7" s="345"/>
    </row>
    <row r="8" spans="1:17">
      <c r="A8" s="925"/>
      <c r="B8" s="928"/>
      <c r="C8" s="928" t="s">
        <v>287</v>
      </c>
      <c r="D8" s="345"/>
      <c r="E8" s="345"/>
      <c r="F8" s="345"/>
      <c r="G8" s="345"/>
      <c r="H8" s="345"/>
      <c r="I8" s="345"/>
      <c r="J8" s="345"/>
      <c r="K8" s="345"/>
      <c r="L8" s="345"/>
      <c r="M8" s="345"/>
      <c r="N8" s="345"/>
      <c r="O8" s="345"/>
      <c r="P8" s="345"/>
      <c r="Q8" s="345"/>
    </row>
    <row r="9" spans="1:17">
      <c r="A9" s="925"/>
      <c r="B9" s="928"/>
      <c r="C9" s="928" t="s">
        <v>95</v>
      </c>
      <c r="D9" s="345"/>
      <c r="E9" s="345"/>
      <c r="F9" s="345"/>
      <c r="G9" s="345"/>
      <c r="H9" s="345"/>
      <c r="I9" s="345"/>
      <c r="J9" s="345"/>
      <c r="K9" s="345"/>
      <c r="L9" s="345"/>
      <c r="M9" s="345"/>
      <c r="N9" s="345"/>
      <c r="O9" s="345"/>
      <c r="P9" s="345"/>
      <c r="Q9" s="345"/>
    </row>
    <row r="10" spans="1:17">
      <c r="A10" s="929" t="s">
        <v>286</v>
      </c>
      <c r="B10" s="930"/>
      <c r="C10" s="931" t="s">
        <v>288</v>
      </c>
      <c r="D10" s="345"/>
      <c r="E10" s="345"/>
      <c r="F10" s="345"/>
      <c r="G10" s="345"/>
      <c r="H10" s="345"/>
      <c r="I10" s="345"/>
      <c r="J10" s="345"/>
      <c r="K10" s="345"/>
      <c r="L10" s="345"/>
      <c r="M10" s="345"/>
      <c r="N10" s="345"/>
      <c r="O10" s="345"/>
      <c r="P10" s="345"/>
      <c r="Q10" s="345"/>
    </row>
    <row r="11" spans="1:17">
      <c r="A11" s="925"/>
      <c r="B11" s="925"/>
      <c r="C11" s="925"/>
      <c r="D11" s="345"/>
      <c r="E11" s="345"/>
      <c r="F11" s="345"/>
      <c r="G11" s="345"/>
      <c r="H11" s="345"/>
      <c r="I11" s="345"/>
      <c r="J11" s="345"/>
      <c r="K11" s="345"/>
      <c r="L11" s="345"/>
      <c r="M11" s="345"/>
      <c r="N11" s="345"/>
      <c r="O11" s="345"/>
      <c r="P11" s="345"/>
      <c r="Q11" s="345"/>
    </row>
    <row r="12" spans="1:17">
      <c r="A12" s="925" t="s">
        <v>1014</v>
      </c>
      <c r="B12" s="925"/>
      <c r="C12" s="925"/>
      <c r="D12" s="345"/>
      <c r="E12" s="345"/>
      <c r="F12" s="345"/>
      <c r="G12" s="345"/>
      <c r="H12" s="345"/>
      <c r="I12" s="345"/>
      <c r="J12" s="345"/>
      <c r="K12" s="345"/>
      <c r="L12" s="345"/>
      <c r="M12" s="345"/>
      <c r="N12" s="345"/>
      <c r="O12" s="345"/>
      <c r="P12" s="345"/>
      <c r="Q12" s="345"/>
    </row>
    <row r="13" spans="1:17">
      <c r="A13" s="925" t="s">
        <v>1015</v>
      </c>
      <c r="B13" s="932"/>
      <c r="C13" s="932"/>
      <c r="D13" s="345"/>
      <c r="E13" s="345"/>
      <c r="F13" s="345"/>
      <c r="G13" s="345"/>
      <c r="H13" s="345"/>
      <c r="I13" s="345"/>
      <c r="J13" s="345"/>
      <c r="K13" s="345"/>
      <c r="L13" s="345"/>
      <c r="M13" s="345"/>
      <c r="N13" s="345"/>
      <c r="O13" s="345"/>
      <c r="P13" s="345"/>
      <c r="Q13" s="345"/>
    </row>
    <row r="14" spans="1:17">
      <c r="A14" s="925" t="s">
        <v>1016</v>
      </c>
      <c r="B14" s="932"/>
      <c r="C14" s="932">
        <v>1.3599999999999999E-2</v>
      </c>
      <c r="D14" s="345"/>
      <c r="E14" s="345"/>
      <c r="F14" s="345"/>
      <c r="G14" s="345"/>
      <c r="H14" s="345"/>
      <c r="I14" s="345"/>
      <c r="J14" s="345"/>
      <c r="K14" s="345"/>
      <c r="L14" s="345"/>
      <c r="M14" s="345"/>
      <c r="N14" s="345"/>
      <c r="O14" s="345"/>
      <c r="P14" s="345"/>
      <c r="Q14" s="345"/>
    </row>
    <row r="15" spans="1:17">
      <c r="A15" s="925" t="s">
        <v>289</v>
      </c>
      <c r="B15" s="932"/>
      <c r="C15" s="932">
        <v>1.41E-2</v>
      </c>
      <c r="D15" s="345"/>
      <c r="E15" s="345"/>
      <c r="F15" s="345"/>
      <c r="G15" s="345"/>
      <c r="H15" s="345"/>
      <c r="I15" s="345"/>
      <c r="J15" s="345"/>
      <c r="K15" s="345"/>
      <c r="L15" s="345"/>
      <c r="M15" s="345"/>
      <c r="N15" s="345"/>
      <c r="O15" s="345"/>
      <c r="P15" s="345"/>
      <c r="Q15" s="345"/>
    </row>
    <row r="16" spans="1:17">
      <c r="A16" s="925" t="s">
        <v>1562</v>
      </c>
      <c r="B16" s="932"/>
      <c r="C16" s="932">
        <v>2.0199999999999999E-2</v>
      </c>
      <c r="D16" s="345"/>
      <c r="E16" s="345"/>
      <c r="F16" s="345"/>
      <c r="G16" s="345"/>
      <c r="H16" s="345"/>
      <c r="I16" s="345"/>
      <c r="J16" s="345"/>
      <c r="K16" s="345"/>
      <c r="L16" s="345"/>
      <c r="M16" s="345"/>
      <c r="N16" s="345"/>
      <c r="O16" s="345"/>
      <c r="P16" s="345"/>
      <c r="Q16" s="345"/>
    </row>
    <row r="17" spans="1:17">
      <c r="A17" s="925" t="s">
        <v>1017</v>
      </c>
      <c r="B17" s="932"/>
      <c r="C17" s="932">
        <v>2.3599999999999999E-2</v>
      </c>
      <c r="D17" s="345"/>
      <c r="E17" s="345"/>
      <c r="F17" s="345"/>
      <c r="G17" s="345"/>
      <c r="H17" s="345"/>
      <c r="I17" s="345"/>
      <c r="J17" s="345"/>
      <c r="K17" s="345"/>
      <c r="L17" s="345"/>
      <c r="M17" s="345"/>
      <c r="N17" s="345"/>
      <c r="O17" s="345"/>
      <c r="P17" s="345"/>
      <c r="Q17" s="345"/>
    </row>
    <row r="18" spans="1:17">
      <c r="A18" s="925" t="s">
        <v>1018</v>
      </c>
      <c r="B18" s="932"/>
      <c r="C18" s="932">
        <v>1.89E-2</v>
      </c>
      <c r="D18" s="345"/>
      <c r="E18" s="345"/>
      <c r="F18" s="345"/>
      <c r="G18" s="345"/>
      <c r="H18" s="345"/>
      <c r="I18" s="345"/>
      <c r="J18" s="345"/>
      <c r="K18" s="345"/>
      <c r="L18" s="345"/>
      <c r="M18" s="345"/>
      <c r="N18" s="345"/>
      <c r="O18" s="345"/>
      <c r="P18" s="345"/>
      <c r="Q18" s="345"/>
    </row>
    <row r="19" spans="1:17">
      <c r="A19" s="925" t="s">
        <v>1563</v>
      </c>
      <c r="B19" s="932"/>
      <c r="C19" s="932">
        <v>1.9E-2</v>
      </c>
      <c r="D19" s="345"/>
      <c r="E19" s="345"/>
      <c r="F19" s="345"/>
      <c r="G19" s="345"/>
      <c r="H19" s="345"/>
      <c r="I19" s="345"/>
      <c r="J19" s="345"/>
      <c r="K19" s="345"/>
      <c r="L19" s="345"/>
      <c r="M19" s="345"/>
      <c r="N19" s="345"/>
      <c r="O19" s="345"/>
      <c r="P19" s="345"/>
      <c r="Q19" s="345"/>
    </row>
    <row r="20" spans="1:17">
      <c r="A20" s="925" t="s">
        <v>1019</v>
      </c>
      <c r="B20" s="932"/>
      <c r="C20" s="932">
        <v>1.7399999999999999E-2</v>
      </c>
      <c r="D20" s="345"/>
      <c r="E20" s="345"/>
      <c r="F20" s="345"/>
      <c r="G20" s="345"/>
      <c r="H20" s="345"/>
      <c r="I20" s="345"/>
      <c r="J20" s="345"/>
      <c r="K20" s="345"/>
      <c r="L20" s="345"/>
      <c r="M20" s="345"/>
      <c r="N20" s="345"/>
      <c r="O20" s="345"/>
      <c r="P20" s="345"/>
      <c r="Q20" s="345"/>
    </row>
    <row r="21" spans="1:17">
      <c r="A21" s="925" t="s">
        <v>1020</v>
      </c>
      <c r="B21" s="932"/>
      <c r="C21" s="932">
        <v>2.5000000000000001E-2</v>
      </c>
      <c r="D21" s="345"/>
      <c r="E21" s="345"/>
      <c r="F21" s="345"/>
      <c r="G21" s="345"/>
      <c r="H21" s="345"/>
      <c r="I21" s="345"/>
      <c r="J21" s="345"/>
      <c r="K21" s="345"/>
      <c r="L21" s="345"/>
      <c r="M21" s="345"/>
      <c r="N21" s="345"/>
      <c r="O21" s="345"/>
      <c r="P21" s="345"/>
      <c r="Q21" s="345"/>
    </row>
    <row r="22" spans="1:17">
      <c r="A22" s="925" t="s">
        <v>1021</v>
      </c>
      <c r="B22" s="932"/>
      <c r="C22" s="932">
        <v>1.17E-2</v>
      </c>
      <c r="D22" s="345"/>
      <c r="E22" s="345"/>
      <c r="F22" s="345"/>
      <c r="G22" s="345"/>
      <c r="H22" s="345"/>
      <c r="I22" s="345"/>
      <c r="J22" s="345"/>
      <c r="K22" s="345"/>
      <c r="L22" s="345"/>
      <c r="M22" s="345"/>
      <c r="N22" s="345"/>
      <c r="O22" s="345"/>
      <c r="P22" s="345"/>
      <c r="Q22" s="345"/>
    </row>
    <row r="23" spans="1:17">
      <c r="A23" s="925"/>
      <c r="B23" s="932"/>
      <c r="C23" s="932"/>
      <c r="D23" s="345"/>
      <c r="E23" s="345"/>
      <c r="F23" s="345"/>
      <c r="G23" s="345"/>
      <c r="H23" s="345"/>
      <c r="I23" s="345"/>
      <c r="J23" s="345"/>
      <c r="K23" s="345"/>
      <c r="L23" s="345"/>
      <c r="M23" s="345"/>
      <c r="N23" s="345"/>
      <c r="O23" s="345"/>
      <c r="P23" s="345"/>
      <c r="Q23" s="345"/>
    </row>
    <row r="24" spans="1:17">
      <c r="A24" s="925" t="s">
        <v>1022</v>
      </c>
      <c r="B24" s="932"/>
      <c r="C24" s="932"/>
      <c r="D24" s="345"/>
      <c r="E24" s="345"/>
      <c r="F24" s="345"/>
      <c r="G24" s="345"/>
      <c r="H24" s="345"/>
      <c r="I24" s="345"/>
      <c r="J24" s="345"/>
      <c r="K24" s="345"/>
      <c r="L24" s="345"/>
      <c r="M24" s="345"/>
      <c r="N24" s="345"/>
      <c r="O24" s="345"/>
      <c r="P24" s="345"/>
      <c r="Q24" s="345"/>
    </row>
    <row r="25" spans="1:17">
      <c r="A25" s="925" t="s">
        <v>1016</v>
      </c>
      <c r="B25" s="932"/>
      <c r="C25" s="932">
        <v>1.7000000000000001E-2</v>
      </c>
      <c r="D25" s="345"/>
      <c r="E25" s="345"/>
      <c r="F25" s="345"/>
      <c r="G25" s="345"/>
      <c r="H25" s="345"/>
      <c r="I25" s="345"/>
      <c r="J25" s="345"/>
      <c r="K25" s="345"/>
      <c r="L25" s="345"/>
      <c r="M25" s="345"/>
      <c r="N25" s="345"/>
      <c r="O25" s="345"/>
      <c r="P25" s="345"/>
      <c r="Q25" s="345"/>
    </row>
    <row r="26" spans="1:17">
      <c r="A26" s="925" t="s">
        <v>1023</v>
      </c>
      <c r="B26" s="932"/>
      <c r="C26" s="932">
        <v>1.8200000000000001E-2</v>
      </c>
      <c r="D26" s="345"/>
      <c r="E26" s="345"/>
      <c r="F26" s="345"/>
      <c r="G26" s="345"/>
      <c r="H26" s="345"/>
      <c r="I26" s="345"/>
      <c r="J26" s="345"/>
      <c r="K26" s="345"/>
      <c r="L26" s="345"/>
      <c r="M26" s="345"/>
      <c r="N26" s="345"/>
      <c r="O26" s="345"/>
      <c r="P26" s="345"/>
      <c r="Q26" s="345"/>
    </row>
    <row r="27" spans="1:17">
      <c r="A27" s="925" t="s">
        <v>1036</v>
      </c>
      <c r="B27" s="932"/>
      <c r="C27" s="932">
        <v>2.2599999999999999E-2</v>
      </c>
      <c r="D27" s="345"/>
      <c r="E27" s="345"/>
      <c r="F27" s="345"/>
      <c r="G27" s="345"/>
      <c r="H27" s="345"/>
      <c r="I27" s="345"/>
      <c r="J27" s="345"/>
      <c r="K27" s="345"/>
      <c r="L27" s="345"/>
      <c r="M27" s="345"/>
      <c r="N27" s="345"/>
      <c r="O27" s="345"/>
      <c r="P27" s="345"/>
      <c r="Q27" s="345"/>
    </row>
    <row r="28" spans="1:17">
      <c r="A28" s="925" t="s">
        <v>290</v>
      </c>
      <c r="B28" s="932"/>
      <c r="C28" s="932">
        <v>3.2000000000000001E-2</v>
      </c>
      <c r="D28" s="345"/>
      <c r="E28" s="345"/>
      <c r="F28" s="345"/>
      <c r="G28" s="345"/>
      <c r="H28" s="345"/>
      <c r="I28" s="345"/>
      <c r="J28" s="345"/>
      <c r="K28" s="345"/>
      <c r="L28" s="345"/>
      <c r="M28" s="345"/>
      <c r="N28" s="345"/>
      <c r="O28" s="345"/>
      <c r="P28" s="345"/>
      <c r="Q28" s="345"/>
    </row>
    <row r="29" spans="1:17">
      <c r="A29" s="925" t="s">
        <v>1024</v>
      </c>
      <c r="B29" s="932"/>
      <c r="C29" s="932">
        <v>6.2199999999999998E-2</v>
      </c>
      <c r="D29" s="345"/>
      <c r="E29" s="345"/>
      <c r="F29" s="345"/>
      <c r="G29" s="345"/>
      <c r="H29" s="345"/>
      <c r="I29" s="345"/>
      <c r="J29" s="345"/>
      <c r="K29" s="345"/>
      <c r="L29" s="345"/>
      <c r="M29" s="345"/>
      <c r="N29" s="345"/>
      <c r="O29" s="345"/>
      <c r="P29" s="345"/>
      <c r="Q29" s="345"/>
    </row>
    <row r="30" spans="1:17">
      <c r="A30" s="925" t="s">
        <v>1025</v>
      </c>
      <c r="B30" s="932"/>
      <c r="C30" s="932">
        <v>6.2199999999999998E-2</v>
      </c>
      <c r="D30" s="345"/>
      <c r="E30" s="345"/>
      <c r="F30" s="345"/>
      <c r="G30" s="345"/>
      <c r="H30" s="345"/>
      <c r="I30" s="345"/>
      <c r="J30" s="345"/>
      <c r="K30" s="345"/>
      <c r="L30" s="345"/>
      <c r="M30" s="345"/>
      <c r="N30" s="345"/>
      <c r="O30" s="345"/>
      <c r="P30" s="345"/>
      <c r="Q30" s="345"/>
    </row>
    <row r="31" spans="1:17">
      <c r="A31" s="925" t="s">
        <v>1026</v>
      </c>
      <c r="B31" s="932"/>
      <c r="C31" s="932">
        <v>3.7199999999999997E-2</v>
      </c>
      <c r="D31" s="345"/>
      <c r="E31" s="345"/>
      <c r="F31" s="345"/>
      <c r="G31" s="345"/>
      <c r="H31" s="345"/>
      <c r="I31" s="345"/>
      <c r="J31" s="345"/>
      <c r="K31" s="345"/>
      <c r="L31" s="345"/>
      <c r="M31" s="345"/>
      <c r="N31" s="345"/>
      <c r="O31" s="345"/>
      <c r="P31" s="345"/>
      <c r="Q31" s="345"/>
    </row>
    <row r="32" spans="1:17">
      <c r="A32" s="925" t="s">
        <v>1027</v>
      </c>
      <c r="B32" s="932"/>
      <c r="C32" s="932">
        <v>0.27379999999999999</v>
      </c>
      <c r="D32" s="345"/>
      <c r="E32" s="345"/>
      <c r="F32" s="345"/>
      <c r="G32" s="345"/>
      <c r="H32" s="345"/>
      <c r="I32" s="345"/>
      <c r="J32" s="345"/>
      <c r="K32" s="345"/>
      <c r="L32" s="345"/>
      <c r="M32" s="345"/>
      <c r="N32" s="345"/>
      <c r="O32" s="345"/>
      <c r="P32" s="345"/>
      <c r="Q32" s="345"/>
    </row>
    <row r="33" spans="1:17">
      <c r="A33" s="925" t="s">
        <v>1028</v>
      </c>
      <c r="B33" s="932"/>
      <c r="C33" s="932">
        <v>0.1221</v>
      </c>
      <c r="D33" s="345"/>
      <c r="E33" s="345"/>
      <c r="F33" s="345"/>
      <c r="G33" s="345"/>
      <c r="H33" s="345"/>
      <c r="I33" s="345"/>
      <c r="J33" s="345"/>
      <c r="K33" s="345"/>
      <c r="L33" s="345"/>
      <c r="M33" s="345"/>
      <c r="N33" s="345"/>
      <c r="O33" s="345"/>
      <c r="P33" s="345"/>
      <c r="Q33" s="345"/>
    </row>
    <row r="34" spans="1:17">
      <c r="A34" s="925" t="s">
        <v>1029</v>
      </c>
      <c r="B34" s="932"/>
      <c r="C34" s="932">
        <v>1.6400000000000001E-2</v>
      </c>
      <c r="D34" s="345"/>
      <c r="E34" s="345"/>
      <c r="F34" s="345"/>
      <c r="G34" s="345"/>
      <c r="H34" s="345"/>
      <c r="I34" s="345"/>
      <c r="J34" s="345"/>
      <c r="K34" s="345"/>
      <c r="L34" s="345"/>
      <c r="M34" s="345"/>
      <c r="N34" s="345"/>
      <c r="O34" s="345"/>
      <c r="P34" s="345"/>
      <c r="Q34" s="345"/>
    </row>
    <row r="35" spans="1:17">
      <c r="A35" s="925" t="s">
        <v>1030</v>
      </c>
      <c r="B35" s="932"/>
      <c r="C35" s="932">
        <v>4.2299999999999997E-2</v>
      </c>
      <c r="D35" s="345"/>
      <c r="E35" s="345"/>
      <c r="F35" s="345"/>
      <c r="G35" s="345"/>
      <c r="H35" s="345"/>
      <c r="I35" s="345"/>
      <c r="J35" s="345"/>
      <c r="K35" s="345"/>
      <c r="L35" s="345"/>
      <c r="M35" s="345"/>
      <c r="N35" s="345"/>
      <c r="O35" s="345"/>
      <c r="P35" s="345"/>
      <c r="Q35" s="345"/>
    </row>
    <row r="36" spans="1:17">
      <c r="A36" s="925" t="s">
        <v>1329</v>
      </c>
      <c r="B36" s="932"/>
      <c r="C36" s="932">
        <v>2.53E-2</v>
      </c>
      <c r="D36" s="345"/>
      <c r="E36" s="345"/>
      <c r="F36" s="345"/>
      <c r="G36" s="345"/>
      <c r="H36" s="345"/>
      <c r="I36" s="345"/>
      <c r="J36" s="345"/>
      <c r="K36" s="345"/>
      <c r="L36" s="345"/>
      <c r="M36" s="345"/>
      <c r="N36" s="345"/>
      <c r="O36" s="345"/>
      <c r="P36" s="345"/>
      <c r="Q36" s="345"/>
    </row>
    <row r="37" spans="1:17">
      <c r="A37" s="925" t="s">
        <v>1031</v>
      </c>
      <c r="B37" s="932"/>
      <c r="C37" s="932">
        <v>5.0799999999999998E-2</v>
      </c>
      <c r="D37" s="345"/>
      <c r="E37" s="345"/>
      <c r="F37" s="345"/>
      <c r="G37" s="345"/>
      <c r="H37" s="345"/>
      <c r="I37" s="345"/>
      <c r="J37" s="345"/>
      <c r="K37" s="345"/>
      <c r="L37" s="345"/>
      <c r="M37" s="345"/>
      <c r="N37" s="345"/>
      <c r="O37" s="345"/>
      <c r="P37" s="345"/>
      <c r="Q37" s="345"/>
    </row>
    <row r="38" spans="1:17">
      <c r="A38" s="925" t="s">
        <v>1032</v>
      </c>
      <c r="B38" s="932"/>
      <c r="C38" s="932">
        <v>8.1600000000000006E-2</v>
      </c>
      <c r="D38" s="345"/>
      <c r="E38" s="345"/>
      <c r="F38" s="345"/>
      <c r="G38" s="345"/>
      <c r="H38" s="345"/>
      <c r="I38" s="345"/>
      <c r="J38" s="345"/>
      <c r="K38" s="345"/>
      <c r="L38" s="345"/>
      <c r="M38" s="345"/>
      <c r="N38" s="345"/>
      <c r="O38" s="345"/>
      <c r="P38" s="345"/>
      <c r="Q38" s="345"/>
    </row>
    <row r="39" spans="1:17">
      <c r="A39" s="925" t="s">
        <v>1033</v>
      </c>
      <c r="B39" s="932"/>
      <c r="C39" s="932">
        <v>4.7600000000000003E-2</v>
      </c>
      <c r="D39" s="345"/>
      <c r="E39" s="345"/>
      <c r="F39" s="345"/>
      <c r="G39" s="345"/>
      <c r="H39" s="345"/>
      <c r="I39" s="345"/>
      <c r="J39" s="345"/>
      <c r="K39" s="345"/>
      <c r="L39" s="345"/>
      <c r="M39" s="345"/>
      <c r="N39" s="345"/>
      <c r="O39" s="345"/>
      <c r="P39" s="345"/>
      <c r="Q39" s="345"/>
    </row>
    <row r="40" spans="1:17">
      <c r="A40" s="925" t="s">
        <v>1564</v>
      </c>
      <c r="B40" s="932"/>
      <c r="C40" s="932">
        <v>0.1323</v>
      </c>
      <c r="D40" s="345"/>
      <c r="E40" s="345"/>
      <c r="F40" s="345"/>
      <c r="G40" s="345"/>
      <c r="H40" s="345"/>
      <c r="I40" s="345"/>
      <c r="J40" s="345"/>
      <c r="K40" s="345"/>
      <c r="L40" s="345"/>
      <c r="M40" s="345"/>
      <c r="N40" s="345"/>
      <c r="O40" s="345"/>
      <c r="P40" s="345"/>
      <c r="Q40" s="345"/>
    </row>
    <row r="41" spans="1:17">
      <c r="A41" s="925"/>
      <c r="B41" s="932"/>
      <c r="C41" s="933"/>
      <c r="D41" s="345"/>
      <c r="E41" s="345"/>
      <c r="F41" s="345"/>
      <c r="G41" s="345"/>
      <c r="H41" s="345"/>
      <c r="I41" s="345"/>
      <c r="J41" s="345"/>
      <c r="K41" s="345"/>
      <c r="L41" s="345"/>
      <c r="M41" s="345"/>
      <c r="N41" s="345"/>
      <c r="O41" s="345"/>
      <c r="P41" s="345"/>
      <c r="Q41" s="345"/>
    </row>
    <row r="42" spans="1:17">
      <c r="A42" s="925"/>
      <c r="B42" s="932"/>
      <c r="C42" s="933"/>
      <c r="D42" s="345"/>
      <c r="E42" s="345"/>
      <c r="F42" s="345"/>
      <c r="G42" s="345"/>
      <c r="H42" s="345"/>
      <c r="I42" s="345"/>
      <c r="J42" s="345"/>
      <c r="K42" s="345"/>
      <c r="L42" s="345"/>
      <c r="M42" s="345"/>
      <c r="N42" s="345"/>
      <c r="O42" s="345"/>
      <c r="P42" s="345"/>
      <c r="Q42" s="345"/>
    </row>
    <row r="43" spans="1:17">
      <c r="A43" s="934"/>
      <c r="B43" s="934"/>
      <c r="C43" s="935"/>
      <c r="D43" s="345"/>
      <c r="E43" s="345"/>
      <c r="F43" s="345"/>
      <c r="G43" s="345"/>
      <c r="H43" s="345"/>
      <c r="I43" s="345"/>
      <c r="J43" s="345"/>
      <c r="K43" s="345"/>
      <c r="L43" s="345"/>
      <c r="M43" s="345"/>
      <c r="N43" s="345"/>
      <c r="O43" s="345"/>
      <c r="P43" s="345"/>
      <c r="Q43" s="345"/>
    </row>
    <row r="44" spans="1:17" ht="14.95">
      <c r="A44" s="936" t="s">
        <v>1034</v>
      </c>
      <c r="B44" s="934"/>
      <c r="C44" s="934"/>
      <c r="D44" s="345"/>
      <c r="E44" s="345"/>
      <c r="F44" s="345"/>
      <c r="G44" s="345"/>
      <c r="H44" s="345"/>
      <c r="I44" s="345"/>
      <c r="J44" s="345"/>
      <c r="K44" s="345"/>
      <c r="L44" s="345"/>
      <c r="M44" s="345"/>
      <c r="N44" s="345"/>
      <c r="O44" s="345"/>
      <c r="P44" s="345"/>
      <c r="Q44" s="345"/>
    </row>
    <row r="45" spans="1:17">
      <c r="A45" s="1260" t="s">
        <v>291</v>
      </c>
      <c r="B45" s="1260"/>
      <c r="C45" s="1260"/>
      <c r="D45" s="345"/>
      <c r="E45" s="345"/>
      <c r="F45" s="345"/>
      <c r="G45" s="345"/>
      <c r="H45" s="345"/>
      <c r="I45" s="345"/>
      <c r="J45" s="345"/>
      <c r="K45" s="345"/>
      <c r="L45" s="345"/>
      <c r="M45" s="345"/>
      <c r="N45" s="345"/>
      <c r="O45" s="345"/>
      <c r="P45" s="345"/>
      <c r="Q45" s="345"/>
    </row>
    <row r="46" spans="1:17" ht="18.350000000000001">
      <c r="A46" s="1258" t="s">
        <v>880</v>
      </c>
      <c r="B46" s="1258"/>
      <c r="C46" s="1258"/>
      <c r="D46" s="345"/>
      <c r="E46" s="345"/>
      <c r="F46" s="345"/>
      <c r="G46" s="345"/>
      <c r="H46" s="345"/>
      <c r="I46" s="345"/>
      <c r="J46" s="345"/>
      <c r="K46" s="345"/>
      <c r="L46" s="345"/>
      <c r="M46" s="345"/>
      <c r="N46" s="345"/>
      <c r="O46" s="345"/>
      <c r="P46" s="345"/>
      <c r="Q46" s="345"/>
    </row>
    <row r="47" spans="1:17" ht="15.65">
      <c r="A47" s="1259" t="s">
        <v>1565</v>
      </c>
      <c r="B47" s="1259"/>
      <c r="C47" s="1259"/>
      <c r="D47" s="345"/>
      <c r="E47" s="345"/>
      <c r="F47" s="345"/>
      <c r="G47" s="345"/>
      <c r="H47" s="345"/>
      <c r="I47" s="345"/>
      <c r="J47" s="345"/>
      <c r="K47" s="345"/>
      <c r="L47" s="345"/>
      <c r="M47" s="345"/>
      <c r="N47" s="345"/>
      <c r="O47" s="345"/>
      <c r="P47" s="345"/>
      <c r="Q47" s="345"/>
    </row>
    <row r="48" spans="1:17">
      <c r="A48" s="925"/>
      <c r="B48" s="928"/>
      <c r="C48" s="921"/>
      <c r="D48" s="345"/>
      <c r="E48" s="345"/>
      <c r="F48" s="345"/>
      <c r="G48" s="345"/>
      <c r="H48" s="345"/>
      <c r="I48" s="345"/>
      <c r="J48" s="345"/>
      <c r="K48" s="345"/>
      <c r="L48" s="345"/>
      <c r="M48" s="345"/>
      <c r="N48" s="345"/>
      <c r="O48" s="345"/>
      <c r="P48" s="345"/>
      <c r="Q48" s="345"/>
    </row>
    <row r="49" spans="1:17" ht="13.6">
      <c r="A49" s="1259" t="s">
        <v>1566</v>
      </c>
      <c r="B49" s="1259"/>
      <c r="C49" s="1259"/>
      <c r="D49" s="345"/>
      <c r="E49" s="345"/>
      <c r="F49" s="345"/>
      <c r="G49" s="345"/>
      <c r="H49" s="345"/>
      <c r="I49" s="345"/>
      <c r="J49" s="345"/>
      <c r="K49" s="345"/>
      <c r="L49" s="345"/>
      <c r="M49" s="345"/>
      <c r="N49" s="345"/>
      <c r="O49" s="345"/>
      <c r="P49" s="345"/>
      <c r="Q49" s="345"/>
    </row>
    <row r="50" spans="1:17" ht="13.6">
      <c r="A50" s="927"/>
      <c r="B50" s="927"/>
      <c r="C50" s="927"/>
      <c r="D50" s="345"/>
      <c r="E50" s="345"/>
      <c r="F50" s="345"/>
      <c r="G50" s="345"/>
      <c r="H50" s="345"/>
      <c r="I50" s="345"/>
      <c r="J50" s="345"/>
      <c r="K50" s="345"/>
      <c r="L50" s="345"/>
      <c r="M50" s="345"/>
      <c r="N50" s="345"/>
      <c r="O50" s="345"/>
      <c r="P50" s="345"/>
      <c r="Q50" s="345"/>
    </row>
    <row r="51" spans="1:17" ht="13.6">
      <c r="A51" s="927"/>
      <c r="B51" s="927"/>
      <c r="C51" s="927"/>
      <c r="D51" s="345"/>
      <c r="E51" s="345"/>
      <c r="F51" s="345"/>
      <c r="G51" s="345"/>
      <c r="H51" s="345"/>
      <c r="I51" s="345"/>
      <c r="J51" s="345"/>
      <c r="K51" s="345"/>
      <c r="L51" s="345"/>
      <c r="M51" s="345"/>
      <c r="N51" s="345"/>
      <c r="O51" s="345"/>
      <c r="P51" s="345"/>
      <c r="Q51" s="345"/>
    </row>
    <row r="52" spans="1:17">
      <c r="A52" s="925"/>
      <c r="B52" s="928"/>
      <c r="C52" s="928" t="s">
        <v>287</v>
      </c>
      <c r="D52" s="345"/>
      <c r="E52" s="345"/>
      <c r="F52" s="345"/>
      <c r="G52" s="345"/>
      <c r="H52" s="345"/>
      <c r="I52" s="345"/>
      <c r="J52" s="345"/>
      <c r="K52" s="345"/>
      <c r="L52" s="345"/>
      <c r="M52" s="345"/>
      <c r="N52" s="345"/>
      <c r="O52" s="345"/>
      <c r="P52" s="345"/>
      <c r="Q52" s="345"/>
    </row>
    <row r="53" spans="1:17">
      <c r="A53" s="925"/>
      <c r="B53" s="928"/>
      <c r="C53" s="928" t="s">
        <v>95</v>
      </c>
      <c r="D53" s="345"/>
      <c r="E53" s="345"/>
      <c r="F53" s="345"/>
      <c r="G53" s="345"/>
      <c r="H53" s="345"/>
      <c r="I53" s="345"/>
      <c r="J53" s="345"/>
      <c r="K53" s="345"/>
      <c r="L53" s="345"/>
      <c r="M53" s="345"/>
      <c r="N53" s="345"/>
      <c r="O53" s="345"/>
      <c r="P53" s="345"/>
      <c r="Q53" s="345"/>
    </row>
    <row r="54" spans="1:17">
      <c r="A54" s="929" t="s">
        <v>286</v>
      </c>
      <c r="B54" s="930"/>
      <c r="C54" s="931" t="s">
        <v>288</v>
      </c>
      <c r="D54" s="345"/>
      <c r="E54" s="345"/>
      <c r="F54" s="345"/>
      <c r="G54" s="345"/>
      <c r="H54" s="345"/>
      <c r="I54" s="345"/>
      <c r="J54" s="345"/>
      <c r="K54" s="345"/>
      <c r="L54" s="345"/>
      <c r="M54" s="345"/>
      <c r="N54" s="345"/>
      <c r="O54" s="345"/>
      <c r="P54" s="345"/>
      <c r="Q54" s="345"/>
    </row>
    <row r="55" spans="1:17">
      <c r="A55" s="914"/>
      <c r="B55" s="914"/>
      <c r="C55" s="914"/>
      <c r="D55" s="345"/>
      <c r="E55" s="345"/>
      <c r="F55" s="345"/>
      <c r="G55" s="345"/>
      <c r="H55" s="345"/>
      <c r="I55" s="345"/>
      <c r="J55" s="345"/>
      <c r="K55" s="345"/>
      <c r="L55" s="345"/>
      <c r="M55" s="345"/>
      <c r="N55" s="345"/>
      <c r="O55" s="345"/>
      <c r="P55" s="345"/>
      <c r="Q55" s="345"/>
    </row>
    <row r="56" spans="1:17">
      <c r="A56" s="914" t="s">
        <v>1014</v>
      </c>
      <c r="B56" s="915"/>
      <c r="C56" s="915"/>
      <c r="D56" s="345"/>
      <c r="E56" s="345"/>
      <c r="F56" s="345"/>
      <c r="G56" s="345"/>
      <c r="H56" s="345"/>
      <c r="I56" s="345"/>
      <c r="J56" s="345"/>
      <c r="K56" s="345"/>
      <c r="L56" s="345"/>
      <c r="M56" s="345"/>
      <c r="N56" s="345"/>
      <c r="O56" s="345"/>
      <c r="P56" s="345"/>
      <c r="Q56" s="345"/>
    </row>
    <row r="57" spans="1:17">
      <c r="A57" s="914" t="s">
        <v>1015</v>
      </c>
      <c r="B57" s="916"/>
      <c r="C57" s="932"/>
      <c r="D57" s="345"/>
      <c r="E57" s="345"/>
      <c r="F57" s="345"/>
      <c r="G57" s="345"/>
      <c r="H57" s="345"/>
      <c r="I57" s="345"/>
      <c r="J57" s="345"/>
      <c r="K57" s="345"/>
      <c r="L57" s="345"/>
      <c r="M57" s="345"/>
      <c r="N57" s="345"/>
      <c r="O57" s="345"/>
      <c r="P57" s="345"/>
      <c r="Q57" s="345"/>
    </row>
    <row r="58" spans="1:17">
      <c r="A58" s="914" t="s">
        <v>1016</v>
      </c>
      <c r="B58" s="917"/>
      <c r="C58" s="932">
        <v>1.17E-2</v>
      </c>
      <c r="D58" s="345"/>
      <c r="E58" s="345"/>
      <c r="F58" s="345"/>
      <c r="G58" s="345"/>
      <c r="H58" s="345"/>
      <c r="I58" s="345"/>
      <c r="J58" s="345"/>
      <c r="K58" s="345"/>
      <c r="L58" s="345"/>
      <c r="M58" s="345"/>
      <c r="N58" s="345"/>
      <c r="O58" s="345"/>
      <c r="P58" s="345"/>
      <c r="Q58" s="345"/>
    </row>
    <row r="59" spans="1:17">
      <c r="A59" s="914" t="s">
        <v>289</v>
      </c>
      <c r="B59" s="917"/>
      <c r="C59" s="932">
        <v>1.5299999999999999E-2</v>
      </c>
      <c r="D59" s="345"/>
      <c r="E59" s="345"/>
      <c r="F59" s="345"/>
      <c r="G59" s="345"/>
      <c r="H59" s="345"/>
      <c r="I59" s="345"/>
      <c r="J59" s="345"/>
      <c r="K59" s="345"/>
      <c r="L59" s="345"/>
      <c r="M59" s="345"/>
      <c r="N59" s="345"/>
      <c r="O59" s="345"/>
      <c r="P59" s="345"/>
      <c r="Q59" s="345"/>
    </row>
    <row r="60" spans="1:17">
      <c r="A60" s="914" t="s">
        <v>1567</v>
      </c>
      <c r="B60" s="917"/>
      <c r="C60" s="932">
        <v>2.8899999999999999E-2</v>
      </c>
      <c r="D60" s="345"/>
      <c r="E60" s="345"/>
      <c r="F60" s="345"/>
      <c r="G60" s="345"/>
      <c r="H60" s="345"/>
      <c r="I60" s="345"/>
      <c r="J60" s="345"/>
      <c r="K60" s="345"/>
      <c r="L60" s="345"/>
      <c r="M60" s="345"/>
      <c r="N60" s="345"/>
      <c r="O60" s="345"/>
      <c r="P60" s="345"/>
      <c r="Q60" s="345"/>
    </row>
    <row r="61" spans="1:17">
      <c r="A61" s="914" t="s">
        <v>1568</v>
      </c>
      <c r="B61" s="917"/>
      <c r="C61" s="932">
        <v>0.1046</v>
      </c>
      <c r="D61" s="345"/>
      <c r="E61" s="345"/>
      <c r="F61" s="345"/>
      <c r="G61" s="345"/>
      <c r="H61" s="345"/>
      <c r="I61" s="345"/>
      <c r="J61" s="345"/>
      <c r="K61" s="345"/>
      <c r="L61" s="345"/>
      <c r="M61" s="345"/>
      <c r="N61" s="345"/>
      <c r="O61" s="345"/>
      <c r="P61" s="345"/>
      <c r="Q61" s="345"/>
    </row>
    <row r="62" spans="1:17">
      <c r="A62" s="914" t="s">
        <v>1017</v>
      </c>
      <c r="B62" s="917"/>
      <c r="C62" s="932">
        <v>2.0799999999999999E-2</v>
      </c>
      <c r="D62" s="345"/>
      <c r="E62" s="345"/>
      <c r="F62" s="345"/>
      <c r="G62" s="345"/>
      <c r="H62" s="345"/>
      <c r="I62" s="345"/>
      <c r="J62" s="345"/>
      <c r="K62" s="345"/>
      <c r="L62" s="345"/>
      <c r="M62" s="345"/>
      <c r="N62" s="345"/>
      <c r="O62" s="345"/>
      <c r="P62" s="345"/>
      <c r="Q62" s="345"/>
    </row>
    <row r="63" spans="1:17">
      <c r="A63" s="914" t="s">
        <v>1018</v>
      </c>
      <c r="B63" s="917"/>
      <c r="C63" s="932">
        <v>2.1100000000000001E-2</v>
      </c>
      <c r="D63" s="345"/>
      <c r="E63" s="345"/>
      <c r="F63" s="345"/>
      <c r="G63" s="345"/>
      <c r="H63" s="345"/>
      <c r="I63" s="345"/>
      <c r="J63" s="345"/>
      <c r="K63" s="345"/>
      <c r="L63" s="345"/>
      <c r="M63" s="345"/>
      <c r="N63" s="345"/>
      <c r="O63" s="345"/>
      <c r="P63" s="345"/>
      <c r="Q63" s="345"/>
    </row>
    <row r="64" spans="1:17">
      <c r="A64" s="914" t="s">
        <v>1563</v>
      </c>
      <c r="B64" s="917"/>
      <c r="C64" s="932">
        <v>1.9199999999999998E-2</v>
      </c>
      <c r="D64" s="345"/>
      <c r="E64" s="345"/>
      <c r="F64" s="345"/>
      <c r="G64" s="345"/>
      <c r="H64" s="345"/>
      <c r="I64" s="345"/>
      <c r="J64" s="345"/>
      <c r="K64" s="345"/>
      <c r="L64" s="345"/>
      <c r="M64" s="345"/>
      <c r="N64" s="345"/>
      <c r="O64" s="345"/>
      <c r="P64" s="345"/>
      <c r="Q64" s="345"/>
    </row>
    <row r="65" spans="1:17">
      <c r="A65" s="914" t="s">
        <v>1019</v>
      </c>
      <c r="B65" s="917"/>
      <c r="C65" s="932">
        <v>1.6500000000000001E-2</v>
      </c>
      <c r="D65" s="345"/>
      <c r="E65" s="345"/>
      <c r="F65" s="345"/>
      <c r="G65" s="345"/>
      <c r="H65" s="345"/>
      <c r="I65" s="345"/>
      <c r="J65" s="345"/>
      <c r="K65" s="345"/>
      <c r="L65" s="345"/>
      <c r="M65" s="345"/>
      <c r="N65" s="345"/>
      <c r="O65" s="345"/>
      <c r="P65" s="345"/>
      <c r="Q65" s="345"/>
    </row>
    <row r="66" spans="1:17">
      <c r="A66" s="914" t="s">
        <v>1020</v>
      </c>
      <c r="B66" s="917"/>
      <c r="C66" s="932">
        <v>1.9199999999999998E-2</v>
      </c>
      <c r="D66" s="345"/>
      <c r="E66" s="345"/>
      <c r="F66" s="345"/>
      <c r="G66" s="345"/>
      <c r="H66" s="345"/>
      <c r="I66" s="345"/>
      <c r="J66" s="345"/>
      <c r="K66" s="345"/>
      <c r="L66" s="345"/>
      <c r="M66" s="345"/>
      <c r="N66" s="345"/>
      <c r="O66" s="345"/>
      <c r="P66" s="345"/>
      <c r="Q66" s="345"/>
    </row>
    <row r="67" spans="1:17">
      <c r="A67" s="914" t="s">
        <v>1021</v>
      </c>
      <c r="B67" s="917"/>
      <c r="C67" s="932">
        <v>1.06E-2</v>
      </c>
      <c r="D67" s="345"/>
      <c r="E67" s="345"/>
      <c r="F67" s="345"/>
      <c r="G67" s="345"/>
      <c r="H67" s="345"/>
      <c r="I67" s="345"/>
      <c r="J67" s="345"/>
      <c r="K67" s="345"/>
      <c r="L67" s="345"/>
      <c r="M67" s="345"/>
      <c r="N67" s="345"/>
      <c r="O67" s="345"/>
      <c r="P67" s="345"/>
      <c r="Q67" s="345"/>
    </row>
    <row r="68" spans="1:17">
      <c r="A68" s="914"/>
      <c r="B68" s="916"/>
      <c r="C68" s="932"/>
      <c r="D68" s="345"/>
      <c r="E68" s="345"/>
      <c r="F68" s="345"/>
      <c r="G68" s="345"/>
      <c r="H68" s="345"/>
      <c r="I68" s="345"/>
      <c r="J68" s="345"/>
      <c r="K68" s="345"/>
      <c r="L68" s="345"/>
      <c r="M68" s="345"/>
      <c r="N68" s="345"/>
      <c r="O68" s="345"/>
      <c r="P68" s="345"/>
      <c r="Q68" s="345"/>
    </row>
    <row r="69" spans="1:17">
      <c r="A69" s="914" t="s">
        <v>1022</v>
      </c>
      <c r="B69" s="916"/>
      <c r="C69" s="932"/>
      <c r="D69" s="345"/>
      <c r="E69" s="345"/>
      <c r="F69" s="345"/>
      <c r="G69" s="345"/>
      <c r="H69" s="345"/>
      <c r="I69" s="345"/>
      <c r="J69" s="345"/>
      <c r="K69" s="345"/>
      <c r="L69" s="345"/>
      <c r="M69" s="345"/>
      <c r="N69" s="345"/>
      <c r="O69" s="345"/>
      <c r="P69" s="345"/>
      <c r="Q69" s="345"/>
    </row>
    <row r="70" spans="1:17">
      <c r="A70" s="914" t="s">
        <v>1015</v>
      </c>
      <c r="B70" s="916"/>
      <c r="C70" s="932"/>
      <c r="D70" s="345"/>
      <c r="E70" s="345"/>
      <c r="F70" s="345"/>
      <c r="G70" s="345"/>
      <c r="H70" s="345"/>
      <c r="I70" s="345"/>
      <c r="J70" s="345"/>
      <c r="K70" s="345"/>
      <c r="L70" s="345"/>
      <c r="M70" s="345"/>
      <c r="N70" s="345"/>
      <c r="O70" s="345"/>
      <c r="P70" s="345"/>
      <c r="Q70" s="345"/>
    </row>
    <row r="71" spans="1:17">
      <c r="A71" s="914" t="s">
        <v>1016</v>
      </c>
      <c r="B71" s="916"/>
      <c r="C71" s="932">
        <v>1.7100000000000001E-2</v>
      </c>
      <c r="D71" s="345"/>
      <c r="E71" s="345"/>
      <c r="F71" s="345"/>
      <c r="G71" s="345"/>
      <c r="H71" s="345"/>
      <c r="I71" s="345"/>
      <c r="J71" s="345"/>
      <c r="K71" s="345"/>
      <c r="L71" s="345"/>
      <c r="M71" s="345"/>
      <c r="N71" s="345"/>
      <c r="O71" s="345"/>
      <c r="P71" s="345"/>
      <c r="Q71" s="345"/>
    </row>
    <row r="72" spans="1:17">
      <c r="A72" s="914" t="s">
        <v>1023</v>
      </c>
      <c r="B72" s="917"/>
      <c r="C72" s="932">
        <v>1.95E-2</v>
      </c>
      <c r="D72" s="345"/>
      <c r="E72" s="345"/>
      <c r="F72" s="345"/>
      <c r="G72" s="345"/>
      <c r="H72" s="345"/>
      <c r="I72" s="345"/>
      <c r="J72" s="345"/>
      <c r="K72" s="345"/>
      <c r="L72" s="345"/>
      <c r="M72" s="345"/>
      <c r="N72" s="345"/>
      <c r="O72" s="345"/>
      <c r="P72" s="345"/>
      <c r="Q72" s="345"/>
    </row>
    <row r="73" spans="1:17">
      <c r="A73" s="914" t="s">
        <v>1036</v>
      </c>
      <c r="B73" s="917"/>
      <c r="C73" s="932">
        <v>2.8199999999999999E-2</v>
      </c>
      <c r="D73" s="345"/>
      <c r="E73" s="345"/>
      <c r="F73" s="345"/>
      <c r="G73" s="345"/>
      <c r="H73" s="345"/>
      <c r="I73" s="345"/>
      <c r="J73" s="345"/>
      <c r="K73" s="345"/>
      <c r="L73" s="345"/>
      <c r="M73" s="345"/>
      <c r="N73" s="345"/>
      <c r="O73" s="345"/>
      <c r="P73" s="345"/>
      <c r="Q73" s="345"/>
    </row>
    <row r="74" spans="1:17">
      <c r="A74" s="914" t="s">
        <v>1029</v>
      </c>
      <c r="B74" s="917"/>
      <c r="C74" s="932">
        <v>2.6800000000000001E-2</v>
      </c>
      <c r="D74" s="345"/>
      <c r="E74" s="345"/>
      <c r="F74" s="345"/>
      <c r="G74" s="345"/>
      <c r="H74" s="345"/>
      <c r="I74" s="345"/>
      <c r="J74" s="345"/>
      <c r="K74" s="345"/>
      <c r="L74" s="345"/>
      <c r="M74" s="345"/>
      <c r="N74" s="345"/>
      <c r="O74" s="345"/>
      <c r="P74" s="345"/>
      <c r="Q74" s="345"/>
    </row>
    <row r="75" spans="1:17">
      <c r="A75" s="914" t="s">
        <v>1027</v>
      </c>
      <c r="B75" s="917"/>
      <c r="C75" s="932">
        <v>0.15260000000000001</v>
      </c>
      <c r="D75" s="345"/>
      <c r="E75" s="345"/>
      <c r="F75" s="345"/>
      <c r="G75" s="345"/>
      <c r="H75" s="345"/>
      <c r="I75" s="345"/>
      <c r="J75" s="345"/>
      <c r="K75" s="345"/>
      <c r="L75" s="345"/>
      <c r="M75" s="345"/>
      <c r="N75" s="345"/>
      <c r="O75" s="345"/>
      <c r="P75" s="345"/>
      <c r="Q75" s="345"/>
    </row>
    <row r="76" spans="1:17">
      <c r="A76" s="914" t="s">
        <v>1028</v>
      </c>
      <c r="B76" s="917"/>
      <c r="C76" s="932">
        <v>7.2599999999999998E-2</v>
      </c>
      <c r="D76" s="345"/>
      <c r="E76" s="345"/>
      <c r="F76" s="345"/>
      <c r="G76" s="345"/>
      <c r="H76" s="345"/>
      <c r="I76" s="345"/>
      <c r="J76" s="345"/>
      <c r="K76" s="345"/>
      <c r="L76" s="345"/>
      <c r="M76" s="345"/>
      <c r="N76" s="345"/>
      <c r="O76" s="345"/>
      <c r="P76" s="345"/>
      <c r="Q76" s="345"/>
    </row>
    <row r="77" spans="1:17">
      <c r="A77" s="914" t="s">
        <v>1475</v>
      </c>
      <c r="B77" s="917"/>
      <c r="C77" s="932">
        <v>3.9E-2</v>
      </c>
      <c r="D77" s="345"/>
      <c r="E77" s="345"/>
      <c r="F77" s="345"/>
      <c r="G77" s="345"/>
      <c r="H77" s="345"/>
      <c r="I77" s="345"/>
      <c r="J77" s="345"/>
      <c r="K77" s="345"/>
      <c r="L77" s="345"/>
      <c r="M77" s="345"/>
      <c r="N77" s="345"/>
      <c r="O77" s="345"/>
      <c r="P77" s="345"/>
      <c r="Q77" s="345"/>
    </row>
    <row r="78" spans="1:17">
      <c r="A78" s="914" t="s">
        <v>1031</v>
      </c>
      <c r="B78" s="917"/>
      <c r="C78" s="932">
        <v>2.52E-2</v>
      </c>
      <c r="D78" s="345"/>
      <c r="E78" s="345"/>
      <c r="F78" s="345"/>
      <c r="G78" s="345"/>
      <c r="H78" s="345"/>
      <c r="I78" s="345"/>
      <c r="J78" s="345"/>
      <c r="K78" s="345"/>
      <c r="L78" s="345"/>
      <c r="M78" s="345"/>
      <c r="N78" s="345"/>
      <c r="O78" s="345"/>
      <c r="P78" s="345"/>
      <c r="Q78" s="345"/>
    </row>
    <row r="79" spans="1:17">
      <c r="A79" s="914" t="s">
        <v>1033</v>
      </c>
      <c r="B79" s="917"/>
      <c r="C79" s="932">
        <v>4.3200000000000002E-2</v>
      </c>
      <c r="D79" s="345"/>
      <c r="E79" s="345"/>
      <c r="F79" s="345"/>
      <c r="G79" s="345"/>
      <c r="H79" s="345"/>
      <c r="I79" s="345"/>
      <c r="J79" s="345"/>
      <c r="K79" s="345"/>
      <c r="L79" s="345"/>
      <c r="M79" s="345"/>
      <c r="N79" s="345"/>
      <c r="O79" s="345"/>
      <c r="P79" s="345"/>
      <c r="Q79" s="345"/>
    </row>
    <row r="80" spans="1:17">
      <c r="A80" s="914" t="s">
        <v>1030</v>
      </c>
      <c r="B80" s="917"/>
      <c r="C80" s="932">
        <v>3.6900000000000002E-2</v>
      </c>
      <c r="D80" s="345"/>
      <c r="E80" s="345"/>
      <c r="F80" s="345"/>
      <c r="G80" s="345"/>
      <c r="H80" s="345"/>
      <c r="I80" s="345"/>
      <c r="J80" s="345"/>
      <c r="K80" s="345"/>
      <c r="L80" s="345"/>
      <c r="M80" s="345"/>
      <c r="N80" s="345"/>
      <c r="O80" s="345"/>
      <c r="P80" s="345"/>
      <c r="Q80" s="345"/>
    </row>
    <row r="81" spans="1:17">
      <c r="A81" s="914" t="s">
        <v>1032</v>
      </c>
      <c r="B81" s="917"/>
      <c r="C81" s="932">
        <v>4.7500000000000001E-2</v>
      </c>
      <c r="D81" s="345"/>
      <c r="E81" s="345"/>
      <c r="F81" s="345"/>
      <c r="G81" s="345"/>
      <c r="H81" s="345"/>
      <c r="I81" s="345"/>
      <c r="J81" s="345"/>
      <c r="K81" s="345"/>
      <c r="L81" s="345"/>
      <c r="M81" s="345"/>
      <c r="N81" s="345"/>
      <c r="O81" s="345"/>
      <c r="P81" s="345"/>
      <c r="Q81" s="345"/>
    </row>
    <row r="82" spans="1:17">
      <c r="A82" s="914" t="s">
        <v>290</v>
      </c>
      <c r="B82" s="917"/>
      <c r="C82" s="932">
        <v>3.1399999999999997E-2</v>
      </c>
      <c r="D82" s="345"/>
      <c r="E82" s="345"/>
      <c r="F82" s="345"/>
      <c r="G82" s="345"/>
      <c r="H82" s="345"/>
      <c r="I82" s="345"/>
      <c r="J82" s="345"/>
      <c r="K82" s="345"/>
      <c r="L82" s="345"/>
      <c r="M82" s="345"/>
      <c r="N82" s="345"/>
      <c r="O82" s="345"/>
      <c r="P82" s="345"/>
      <c r="Q82" s="345"/>
    </row>
    <row r="83" spans="1:17">
      <c r="A83" s="914" t="s">
        <v>1025</v>
      </c>
      <c r="B83" s="917"/>
      <c r="C83" s="932">
        <v>5.9700000000000003E-2</v>
      </c>
      <c r="D83" s="345"/>
      <c r="E83" s="345"/>
      <c r="F83" s="345"/>
      <c r="G83" s="345"/>
      <c r="H83" s="345"/>
      <c r="I83" s="345"/>
      <c r="J83" s="345"/>
      <c r="K83" s="345"/>
      <c r="L83" s="345"/>
      <c r="M83" s="345"/>
      <c r="N83" s="345"/>
      <c r="O83" s="345"/>
      <c r="P83" s="345"/>
      <c r="Q83" s="345"/>
    </row>
    <row r="84" spans="1:17">
      <c r="A84" s="914" t="s">
        <v>1026</v>
      </c>
      <c r="B84" s="917"/>
      <c r="C84" s="932">
        <v>2.4799999999999999E-2</v>
      </c>
      <c r="D84" s="345"/>
      <c r="E84" s="345"/>
      <c r="F84" s="345"/>
      <c r="G84" s="345"/>
      <c r="H84" s="345"/>
      <c r="I84" s="345"/>
      <c r="J84" s="345"/>
      <c r="K84" s="345"/>
      <c r="L84" s="345"/>
      <c r="M84" s="345"/>
      <c r="N84" s="345"/>
      <c r="O84" s="345"/>
      <c r="P84" s="345"/>
      <c r="Q84" s="345"/>
    </row>
    <row r="85" spans="1:17">
      <c r="A85" s="914" t="s">
        <v>1329</v>
      </c>
      <c r="B85" s="917"/>
      <c r="C85" s="932">
        <v>6.6699999999999995E-2</v>
      </c>
      <c r="D85" s="345"/>
      <c r="E85" s="345"/>
      <c r="F85" s="345"/>
      <c r="G85" s="345"/>
      <c r="H85" s="345"/>
      <c r="I85" s="345"/>
      <c r="J85" s="345"/>
      <c r="K85" s="345"/>
      <c r="L85" s="345"/>
      <c r="M85" s="345"/>
      <c r="N85" s="345"/>
      <c r="O85" s="345"/>
      <c r="P85" s="345"/>
      <c r="Q85" s="345"/>
    </row>
    <row r="86" spans="1:17">
      <c r="A86" s="345"/>
      <c r="B86" s="345"/>
      <c r="C86" s="345"/>
      <c r="D86" s="345"/>
      <c r="E86" s="345"/>
      <c r="F86" s="345"/>
      <c r="G86" s="345"/>
      <c r="H86" s="345"/>
      <c r="I86" s="345"/>
      <c r="J86" s="345"/>
      <c r="K86" s="345"/>
      <c r="L86" s="345"/>
      <c r="M86" s="345"/>
      <c r="N86" s="345"/>
      <c r="O86" s="345"/>
      <c r="P86" s="345"/>
      <c r="Q86" s="345"/>
    </row>
    <row r="87" spans="1:17">
      <c r="A87" s="345"/>
      <c r="B87" s="345"/>
      <c r="C87" s="345"/>
      <c r="D87" s="345"/>
      <c r="E87" s="345"/>
      <c r="F87" s="345"/>
      <c r="G87" s="345"/>
      <c r="H87" s="345"/>
      <c r="I87" s="345"/>
      <c r="J87" s="345"/>
      <c r="K87" s="345"/>
      <c r="L87" s="345"/>
      <c r="M87" s="345"/>
      <c r="N87" s="345"/>
      <c r="O87" s="345"/>
      <c r="P87" s="345"/>
      <c r="Q87" s="345"/>
    </row>
    <row r="88" spans="1:17" ht="14.95">
      <c r="A88" s="936" t="s">
        <v>1034</v>
      </c>
      <c r="B88" s="345"/>
      <c r="C88" s="345"/>
      <c r="D88" s="345"/>
      <c r="E88" s="345"/>
      <c r="F88" s="345"/>
      <c r="G88" s="345"/>
      <c r="H88" s="345"/>
      <c r="I88" s="345"/>
      <c r="J88" s="345"/>
      <c r="K88" s="345"/>
      <c r="L88" s="345"/>
      <c r="M88" s="345"/>
      <c r="N88" s="345"/>
      <c r="O88" s="345"/>
      <c r="P88" s="345"/>
      <c r="Q88" s="345"/>
    </row>
    <row r="89" spans="1:17">
      <c r="A89" s="345"/>
      <c r="B89" s="345"/>
      <c r="C89" s="345"/>
      <c r="D89" s="345"/>
      <c r="E89" s="345"/>
      <c r="F89" s="345"/>
      <c r="G89" s="345"/>
      <c r="H89" s="345"/>
      <c r="I89" s="345"/>
      <c r="J89" s="345"/>
      <c r="K89" s="345"/>
      <c r="L89" s="345"/>
      <c r="M89" s="345"/>
      <c r="N89" s="345"/>
      <c r="O89" s="345"/>
      <c r="P89" s="345"/>
      <c r="Q89" s="345"/>
    </row>
    <row r="90" spans="1:17">
      <c r="A90" s="345"/>
      <c r="B90" s="345"/>
      <c r="C90" s="345"/>
      <c r="D90" s="345"/>
      <c r="E90" s="345"/>
      <c r="F90" s="345"/>
      <c r="G90" s="345"/>
      <c r="H90" s="345"/>
      <c r="I90" s="345"/>
      <c r="J90" s="345"/>
      <c r="K90" s="345"/>
      <c r="L90" s="345"/>
      <c r="M90" s="345"/>
      <c r="N90" s="345"/>
      <c r="O90" s="345"/>
      <c r="P90" s="345"/>
      <c r="Q90" s="345"/>
    </row>
    <row r="91" spans="1:17">
      <c r="A91" s="345"/>
      <c r="B91" s="345"/>
      <c r="C91" s="345"/>
      <c r="D91" s="345"/>
      <c r="E91" s="345"/>
      <c r="F91" s="345"/>
      <c r="G91" s="345"/>
      <c r="H91" s="345"/>
      <c r="I91" s="345"/>
      <c r="J91" s="345"/>
      <c r="K91" s="345"/>
      <c r="L91" s="345"/>
      <c r="M91" s="345"/>
      <c r="N91" s="345"/>
      <c r="O91" s="345"/>
      <c r="P91" s="345"/>
      <c r="Q91" s="345"/>
    </row>
    <row r="92" spans="1:17">
      <c r="A92" s="345"/>
      <c r="B92" s="345"/>
      <c r="C92" s="345"/>
      <c r="D92" s="345"/>
      <c r="E92" s="345"/>
      <c r="F92" s="345"/>
      <c r="G92" s="345"/>
      <c r="H92" s="345"/>
      <c r="I92" s="345"/>
      <c r="J92" s="345"/>
      <c r="K92" s="345"/>
      <c r="L92" s="345"/>
      <c r="M92" s="345"/>
      <c r="N92" s="345"/>
      <c r="O92" s="345"/>
      <c r="P92" s="345"/>
      <c r="Q92" s="345"/>
    </row>
    <row r="93" spans="1:17">
      <c r="A93" s="345"/>
      <c r="B93" s="345"/>
      <c r="C93" s="345"/>
      <c r="D93" s="345"/>
      <c r="E93" s="345"/>
      <c r="F93" s="345"/>
      <c r="G93" s="345"/>
      <c r="H93" s="345"/>
      <c r="I93" s="345"/>
      <c r="J93" s="345"/>
      <c r="K93" s="345"/>
      <c r="L93" s="345"/>
      <c r="M93" s="345"/>
      <c r="N93" s="345"/>
      <c r="O93" s="345"/>
      <c r="P93" s="345"/>
      <c r="Q93" s="345"/>
    </row>
    <row r="94" spans="1:17">
      <c r="A94" s="345"/>
      <c r="B94" s="345"/>
      <c r="C94" s="345"/>
      <c r="D94" s="345"/>
      <c r="E94" s="345"/>
      <c r="F94" s="345"/>
      <c r="G94" s="345"/>
      <c r="H94" s="345"/>
      <c r="I94" s="345"/>
      <c r="J94" s="345"/>
      <c r="K94" s="345"/>
      <c r="L94" s="345"/>
      <c r="M94" s="345"/>
      <c r="N94" s="345"/>
      <c r="O94" s="345"/>
      <c r="P94" s="345"/>
      <c r="Q94" s="345"/>
    </row>
    <row r="95" spans="1:17">
      <c r="A95" s="345"/>
      <c r="B95" s="345"/>
      <c r="C95" s="345"/>
      <c r="D95" s="345"/>
      <c r="E95" s="345"/>
      <c r="F95" s="345"/>
      <c r="G95" s="345"/>
      <c r="H95" s="345"/>
      <c r="I95" s="345"/>
      <c r="J95" s="345"/>
      <c r="K95" s="345"/>
      <c r="L95" s="345"/>
      <c r="M95" s="345"/>
      <c r="N95" s="345"/>
      <c r="O95" s="345"/>
      <c r="P95" s="345"/>
      <c r="Q95" s="345"/>
    </row>
    <row r="96" spans="1:17">
      <c r="A96" s="345"/>
      <c r="B96" s="345"/>
      <c r="C96" s="345"/>
      <c r="D96" s="345"/>
      <c r="E96" s="345"/>
      <c r="F96" s="345"/>
      <c r="G96" s="345"/>
      <c r="H96" s="345"/>
      <c r="I96" s="345"/>
      <c r="J96" s="345"/>
      <c r="K96" s="345"/>
      <c r="L96" s="345"/>
      <c r="M96" s="345"/>
      <c r="N96" s="345"/>
      <c r="O96" s="345"/>
      <c r="P96" s="345"/>
      <c r="Q96" s="345"/>
    </row>
    <row r="97" spans="1:17">
      <c r="A97" s="345"/>
      <c r="B97" s="345"/>
      <c r="C97" s="345"/>
      <c r="D97" s="345"/>
      <c r="E97" s="345"/>
      <c r="F97" s="345"/>
      <c r="G97" s="345"/>
      <c r="H97" s="345"/>
      <c r="I97" s="345"/>
      <c r="J97" s="345"/>
      <c r="K97" s="345"/>
      <c r="L97" s="345"/>
      <c r="M97" s="345"/>
      <c r="N97" s="345"/>
      <c r="O97" s="345"/>
      <c r="P97" s="345"/>
      <c r="Q97" s="345"/>
    </row>
    <row r="98" spans="1:17">
      <c r="A98" s="345"/>
      <c r="B98" s="345"/>
      <c r="C98" s="345"/>
      <c r="D98" s="345"/>
      <c r="E98" s="345"/>
      <c r="F98" s="345"/>
      <c r="G98" s="345"/>
      <c r="H98" s="345"/>
      <c r="I98" s="345"/>
      <c r="J98" s="345"/>
      <c r="K98" s="345"/>
      <c r="L98" s="345"/>
      <c r="M98" s="345"/>
      <c r="N98" s="345"/>
      <c r="O98" s="345"/>
      <c r="P98" s="345"/>
      <c r="Q98" s="345"/>
    </row>
    <row r="99" spans="1:17">
      <c r="A99" s="345"/>
      <c r="B99" s="345"/>
      <c r="C99" s="345"/>
      <c r="D99" s="345"/>
      <c r="E99" s="345"/>
      <c r="F99" s="345"/>
      <c r="G99" s="345"/>
      <c r="H99" s="345"/>
      <c r="I99" s="345"/>
      <c r="J99" s="345"/>
      <c r="K99" s="345"/>
      <c r="L99" s="345"/>
      <c r="M99" s="345"/>
      <c r="N99" s="345"/>
      <c r="O99" s="345"/>
      <c r="P99" s="345"/>
      <c r="Q99" s="345"/>
    </row>
    <row r="100" spans="1:17">
      <c r="A100" s="345"/>
      <c r="B100" s="345"/>
      <c r="C100" s="345"/>
      <c r="D100" s="345"/>
      <c r="E100" s="345"/>
      <c r="F100" s="345"/>
      <c r="G100" s="345"/>
      <c r="H100" s="345"/>
      <c r="I100" s="345"/>
      <c r="J100" s="345"/>
      <c r="K100" s="345"/>
      <c r="L100" s="345"/>
      <c r="M100" s="345"/>
      <c r="N100" s="345"/>
      <c r="O100" s="345"/>
      <c r="P100" s="345"/>
      <c r="Q100" s="345"/>
    </row>
    <row r="101" spans="1:17">
      <c r="A101" s="345"/>
      <c r="B101" s="345"/>
      <c r="C101" s="345"/>
      <c r="D101" s="345"/>
      <c r="E101" s="345"/>
      <c r="F101" s="345"/>
      <c r="G101" s="345"/>
      <c r="H101" s="345"/>
      <c r="I101" s="345"/>
      <c r="J101" s="345"/>
      <c r="K101" s="345"/>
      <c r="L101" s="345"/>
      <c r="M101" s="345"/>
      <c r="N101" s="345"/>
      <c r="O101" s="345"/>
      <c r="P101" s="345"/>
      <c r="Q101" s="345"/>
    </row>
    <row r="102" spans="1:17">
      <c r="A102" s="345"/>
      <c r="B102" s="345"/>
      <c r="C102" s="345"/>
      <c r="D102" s="345"/>
      <c r="E102" s="345"/>
      <c r="F102" s="345"/>
      <c r="G102" s="345"/>
      <c r="H102" s="345"/>
      <c r="I102" s="345"/>
      <c r="J102" s="345"/>
      <c r="K102" s="345"/>
      <c r="L102" s="345"/>
      <c r="M102" s="345"/>
      <c r="N102" s="345"/>
      <c r="O102" s="345"/>
      <c r="P102" s="345"/>
      <c r="Q102" s="345"/>
    </row>
  </sheetData>
  <mergeCells count="8">
    <mergeCell ref="A46:C46"/>
    <mergeCell ref="A47:C47"/>
    <mergeCell ref="A49:C49"/>
    <mergeCell ref="A1:C1"/>
    <mergeCell ref="A2:C2"/>
    <mergeCell ref="A3:C3"/>
    <mergeCell ref="A5:C5"/>
    <mergeCell ref="A45:C45"/>
  </mergeCells>
  <phoneticPr fontId="45" type="noConversion"/>
  <printOptions horizontalCentered="1"/>
  <pageMargins left="0.5" right="0.5" top="0.75" bottom="0.5" header="0.5" footer="0.5"/>
  <pageSetup fitToHeight="2" orientation="portrait" r:id="rId1"/>
  <headerFooter>
    <oddHeader>&amp;RPage &amp;P of &amp;N</oddHeader>
  </headerFooter>
  <rowBreaks count="1" manualBreakCount="1">
    <brk id="44" max="2" man="1"/>
  </rowBreaks>
</worksheet>
</file>

<file path=xl/worksheets/sheet2.xml><?xml version="1.0" encoding="utf-8"?>
<worksheet xmlns="http://schemas.openxmlformats.org/spreadsheetml/2006/main" xmlns:r="http://schemas.openxmlformats.org/officeDocument/2006/relationships">
  <sheetPr codeName="Sheet1"/>
  <dimension ref="A1:J890"/>
  <sheetViews>
    <sheetView view="pageBreakPreview" zoomScale="70" zoomScaleNormal="70" zoomScaleSheetLayoutView="70" workbookViewId="0">
      <selection sqref="A1:I1"/>
    </sheetView>
  </sheetViews>
  <sheetFormatPr defaultRowHeight="12.9"/>
  <cols>
    <col min="1" max="1" width="39.125" style="162" customWidth="1"/>
    <col min="2" max="2" width="31.375" customWidth="1"/>
    <col min="3" max="3" width="1.75" customWidth="1"/>
    <col min="4" max="4" width="16.625" customWidth="1"/>
    <col min="5" max="5" width="20.75" customWidth="1"/>
    <col min="6" max="6" width="16.875" customWidth="1"/>
    <col min="7" max="7" width="14.375" customWidth="1"/>
    <col min="8" max="8" width="16.625" customWidth="1"/>
    <col min="9" max="9" width="97" customWidth="1"/>
  </cols>
  <sheetData>
    <row r="1" spans="1:9" ht="18.350000000000001">
      <c r="A1" s="1160" t="str">
        <f>'Appendix A'!A4</f>
        <v xml:space="preserve">Virginia Electric and Power Company  </v>
      </c>
      <c r="B1" s="1160"/>
      <c r="C1" s="1160"/>
      <c r="D1" s="1160"/>
      <c r="E1" s="1160"/>
      <c r="F1" s="1160"/>
      <c r="G1" s="1160"/>
      <c r="H1" s="1160"/>
      <c r="I1" s="1160"/>
    </row>
    <row r="2" spans="1:9" ht="18.350000000000001">
      <c r="A2" s="1160" t="s">
        <v>880</v>
      </c>
      <c r="B2" s="1160"/>
      <c r="C2" s="1160"/>
      <c r="D2" s="1160"/>
      <c r="E2" s="1160"/>
      <c r="F2" s="1160"/>
      <c r="G2" s="1160"/>
      <c r="H2" s="1160"/>
      <c r="I2" s="1160"/>
    </row>
    <row r="3" spans="1:9" ht="15.65">
      <c r="A3" s="1053" t="s">
        <v>1683</v>
      </c>
      <c r="B3" s="314"/>
      <c r="C3" s="314"/>
      <c r="D3" s="314"/>
      <c r="E3" s="314"/>
      <c r="F3" s="314"/>
      <c r="G3" s="314"/>
      <c r="H3" s="314"/>
      <c r="I3" s="314"/>
    </row>
    <row r="4" spans="1:9" ht="15.65">
      <c r="A4" s="186"/>
      <c r="B4" s="314"/>
      <c r="C4" s="314"/>
      <c r="D4" s="314"/>
      <c r="E4" s="314"/>
      <c r="F4" s="314"/>
      <c r="G4" s="314"/>
      <c r="H4" s="314"/>
      <c r="I4" s="314"/>
    </row>
    <row r="5" spans="1:9">
      <c r="A5" s="282"/>
      <c r="B5" s="125"/>
      <c r="C5" s="125"/>
      <c r="D5" s="125"/>
      <c r="E5" s="125"/>
      <c r="F5" s="125"/>
      <c r="G5" s="125"/>
      <c r="H5" s="172"/>
      <c r="I5" s="125"/>
    </row>
    <row r="6" spans="1:9">
      <c r="A6" s="282"/>
      <c r="B6" s="125"/>
      <c r="C6" s="125"/>
      <c r="D6" s="125"/>
      <c r="E6" s="128" t="s">
        <v>321</v>
      </c>
      <c r="F6" s="128"/>
      <c r="G6" s="125"/>
      <c r="H6" s="128"/>
      <c r="I6" s="167"/>
    </row>
    <row r="7" spans="1:9" ht="13.6">
      <c r="A7" s="282"/>
      <c r="B7" s="125"/>
      <c r="C7" s="125"/>
      <c r="D7" s="125"/>
      <c r="E7" s="128" t="s">
        <v>312</v>
      </c>
      <c r="F7" s="128" t="s">
        <v>317</v>
      </c>
      <c r="G7" s="128" t="s">
        <v>319</v>
      </c>
      <c r="H7" s="128" t="s">
        <v>813</v>
      </c>
      <c r="I7" s="139"/>
    </row>
    <row r="8" spans="1:9" ht="13.6">
      <c r="A8" s="282"/>
      <c r="B8" s="125"/>
      <c r="C8" s="125"/>
      <c r="D8" s="125"/>
      <c r="E8" s="128" t="s">
        <v>318</v>
      </c>
      <c r="F8" s="128" t="s">
        <v>318</v>
      </c>
      <c r="G8" s="128" t="s">
        <v>318</v>
      </c>
      <c r="H8" s="128" t="s">
        <v>326</v>
      </c>
      <c r="I8" s="139"/>
    </row>
    <row r="9" spans="1:9" ht="13.6">
      <c r="A9" s="282"/>
      <c r="B9" s="125"/>
      <c r="C9" s="125"/>
      <c r="D9" s="125"/>
      <c r="E9" s="125"/>
      <c r="F9" s="125"/>
      <c r="G9" s="125"/>
      <c r="H9" s="125"/>
      <c r="I9" s="139"/>
    </row>
    <row r="10" spans="1:9">
      <c r="A10" s="282"/>
      <c r="B10" s="125"/>
      <c r="C10" s="125"/>
      <c r="D10" s="125"/>
      <c r="E10" s="125"/>
      <c r="F10" s="125"/>
      <c r="G10" s="125"/>
      <c r="H10" s="125"/>
      <c r="I10" s="167"/>
    </row>
    <row r="11" spans="1:9" ht="13.6">
      <c r="A11" s="259" t="s">
        <v>314</v>
      </c>
      <c r="C11" s="125"/>
      <c r="D11" s="125"/>
      <c r="E11" s="673">
        <f>+F494</f>
        <v>-890469.77261521225</v>
      </c>
      <c r="F11" s="673">
        <f>+G494</f>
        <v>-73238.588000000003</v>
      </c>
      <c r="G11" s="673">
        <f>+H494</f>
        <v>-76794.87000000001</v>
      </c>
      <c r="H11" s="674"/>
      <c r="I11" s="125"/>
    </row>
    <row r="12" spans="1:9" ht="13.6">
      <c r="A12" s="259" t="s">
        <v>315</v>
      </c>
      <c r="C12" s="125"/>
      <c r="D12" s="125"/>
      <c r="E12" s="673">
        <f>+F812</f>
        <v>0</v>
      </c>
      <c r="F12" s="673">
        <f>+G812</f>
        <v>-4593.0010000000002</v>
      </c>
      <c r="G12" s="673">
        <f>+H812</f>
        <v>-1567.3760000000002</v>
      </c>
      <c r="H12" s="674"/>
      <c r="I12" s="125"/>
    </row>
    <row r="13" spans="1:9" ht="13.6">
      <c r="A13" s="259" t="s">
        <v>313</v>
      </c>
      <c r="C13" s="125"/>
      <c r="D13" s="125"/>
      <c r="E13" s="673">
        <f>+F312</f>
        <v>13817.15</v>
      </c>
      <c r="F13" s="673">
        <f>+G312</f>
        <v>221674.07199999996</v>
      </c>
      <c r="G13" s="673">
        <f>+H312</f>
        <v>108419.98800000001</v>
      </c>
      <c r="H13" s="674"/>
      <c r="I13" s="183"/>
    </row>
    <row r="14" spans="1:9" ht="13.6">
      <c r="A14" s="259" t="s">
        <v>856</v>
      </c>
      <c r="C14" s="125"/>
      <c r="D14" s="125"/>
      <c r="E14" s="673">
        <f>SUM(E11:E13)</f>
        <v>-876652.62261521223</v>
      </c>
      <c r="F14" s="673">
        <f>SUM(F11:F13)</f>
        <v>143842.48299999995</v>
      </c>
      <c r="G14" s="673">
        <f>SUM(G11:G13)</f>
        <v>30057.741999999998</v>
      </c>
      <c r="H14" s="674"/>
      <c r="I14" s="183"/>
    </row>
    <row r="15" spans="1:9" ht="13.6">
      <c r="A15" s="259" t="s">
        <v>723</v>
      </c>
      <c r="C15" s="125"/>
      <c r="D15" s="125"/>
      <c r="E15" s="674"/>
      <c r="F15" s="674"/>
      <c r="G15" s="786">
        <f>'Appendix A'!H18</f>
        <v>7.4610569211962935E-2</v>
      </c>
      <c r="H15" s="674"/>
      <c r="I15" s="125"/>
    </row>
    <row r="16" spans="1:9" ht="13.6">
      <c r="A16" s="259" t="s">
        <v>612</v>
      </c>
      <c r="C16" s="125"/>
      <c r="D16" s="125"/>
      <c r="E16" s="674"/>
      <c r="F16" s="786">
        <f>'Appendix A'!H34</f>
        <v>0.17746429425606966</v>
      </c>
      <c r="G16" s="674"/>
      <c r="H16" s="674"/>
      <c r="I16" s="125"/>
    </row>
    <row r="17" spans="1:9" ht="13.6">
      <c r="A17" s="259" t="s">
        <v>75</v>
      </c>
      <c r="C17" s="125"/>
      <c r="D17" s="125"/>
      <c r="E17" s="673">
        <f>+E14</f>
        <v>-876652.62261521223</v>
      </c>
      <c r="F17" s="673">
        <f>+F16*F14</f>
        <v>25526.904729635688</v>
      </c>
      <c r="G17" s="673">
        <f>+G15*G14</f>
        <v>2242.6252398463253</v>
      </c>
      <c r="H17" s="673">
        <f>SUM(E17:G17)</f>
        <v>-848883.09264573024</v>
      </c>
      <c r="I17" s="125"/>
    </row>
    <row r="18" spans="1:9" ht="13.6">
      <c r="A18" s="259" t="s">
        <v>73</v>
      </c>
      <c r="C18" s="125"/>
      <c r="D18" s="125"/>
      <c r="E18" s="673">
        <f>'ATT1A-ADIT'!E17</f>
        <v>-881854.98961521219</v>
      </c>
      <c r="F18" s="673">
        <f>'ATT1A-ADIT'!F17</f>
        <v>19935.101535667302</v>
      </c>
      <c r="G18" s="673">
        <f>'ATT1A-ADIT'!G17</f>
        <v>707.50240744106645</v>
      </c>
      <c r="H18" s="673">
        <f>'ATT1A-ADIT'!H17</f>
        <v>-861212.38567210385</v>
      </c>
      <c r="I18" s="125"/>
    </row>
    <row r="19" spans="1:9" ht="13.6">
      <c r="A19" s="259" t="s">
        <v>74</v>
      </c>
      <c r="C19" s="125"/>
      <c r="D19" s="125"/>
      <c r="E19" s="673">
        <f>(E17+E18)/2</f>
        <v>-879253.80611521215</v>
      </c>
      <c r="F19" s="673">
        <f>(F17+F18)/2</f>
        <v>22731.003132651495</v>
      </c>
      <c r="G19" s="673">
        <f>(G17+G18)/2</f>
        <v>1475.0638236436957</v>
      </c>
      <c r="H19" s="673">
        <f>(H17+H18)/2</f>
        <v>-855047.73915891699</v>
      </c>
      <c r="I19" s="125"/>
    </row>
    <row r="20" spans="1:9" ht="13.6">
      <c r="A20" s="172"/>
      <c r="C20" s="125"/>
      <c r="D20" s="125"/>
      <c r="E20" s="673"/>
      <c r="F20" s="673"/>
      <c r="G20" s="673"/>
      <c r="H20" s="673"/>
      <c r="I20" s="125"/>
    </row>
    <row r="21" spans="1:9" ht="13.6">
      <c r="A21" s="125"/>
      <c r="C21" s="125"/>
      <c r="D21" s="125"/>
      <c r="E21" s="674"/>
      <c r="F21" s="674"/>
      <c r="G21" s="674"/>
      <c r="H21" s="674"/>
      <c r="I21" s="125"/>
    </row>
    <row r="22" spans="1:9" ht="13.6">
      <c r="A22" s="125"/>
      <c r="C22" s="125"/>
      <c r="D22" s="125"/>
      <c r="E22" s="674"/>
      <c r="F22" s="674"/>
      <c r="G22" s="674"/>
      <c r="H22" s="674"/>
      <c r="I22" s="125"/>
    </row>
    <row r="23" spans="1:9" ht="14.3">
      <c r="A23" s="172" t="s">
        <v>75</v>
      </c>
      <c r="C23" s="125"/>
      <c r="D23" s="125"/>
      <c r="E23" s="673">
        <f>H17</f>
        <v>-848883.09264573024</v>
      </c>
      <c r="F23" s="674"/>
      <c r="G23" s="674"/>
      <c r="H23" s="674"/>
      <c r="I23" s="1131" t="s">
        <v>1827</v>
      </c>
    </row>
    <row r="24" spans="1:9" ht="13.6">
      <c r="A24" s="172" t="s">
        <v>371</v>
      </c>
      <c r="C24" s="125"/>
      <c r="D24" s="167"/>
      <c r="E24" s="673">
        <f>H18</f>
        <v>-861212.38567210385</v>
      </c>
      <c r="F24" s="675"/>
      <c r="G24" s="674"/>
      <c r="H24" s="674"/>
      <c r="I24" s="125"/>
    </row>
    <row r="25" spans="1:9" ht="13.6">
      <c r="A25" s="172" t="s">
        <v>1808</v>
      </c>
      <c r="C25" s="125"/>
      <c r="D25" s="167"/>
      <c r="E25" s="673">
        <f>(E23+E24)/2</f>
        <v>-855047.73915891699</v>
      </c>
      <c r="F25" s="675"/>
      <c r="G25" s="674"/>
      <c r="H25" s="674"/>
      <c r="I25" s="125"/>
    </row>
    <row r="26" spans="1:9" ht="13.6">
      <c r="A26" s="282"/>
      <c r="B26" s="125"/>
      <c r="C26" s="125"/>
      <c r="D26" s="125"/>
      <c r="E26" s="674"/>
      <c r="F26" s="674"/>
      <c r="G26" s="674"/>
      <c r="H26" s="674"/>
      <c r="I26" s="125"/>
    </row>
    <row r="27" spans="1:9" ht="13.6">
      <c r="A27" s="1129" t="s">
        <v>1809</v>
      </c>
      <c r="B27" s="125"/>
      <c r="C27" s="125"/>
      <c r="D27" s="125"/>
      <c r="E27" s="674"/>
      <c r="F27" s="674"/>
      <c r="G27" s="674"/>
      <c r="H27" s="674"/>
      <c r="I27" s="125"/>
    </row>
    <row r="28" spans="1:9" ht="13.6">
      <c r="A28" s="282"/>
      <c r="B28" s="125"/>
      <c r="C28" s="125"/>
      <c r="D28" s="125"/>
      <c r="E28" s="674"/>
      <c r="F28" s="674"/>
      <c r="G28" s="674"/>
      <c r="H28" s="674"/>
      <c r="I28" s="125"/>
    </row>
    <row r="29" spans="1:9">
      <c r="A29" s="282" t="s">
        <v>488</v>
      </c>
      <c r="B29" s="125"/>
      <c r="C29" s="125"/>
      <c r="D29" s="125"/>
      <c r="E29" s="125"/>
      <c r="F29" s="125"/>
      <c r="G29" s="125"/>
      <c r="H29" s="125"/>
      <c r="I29" s="125"/>
    </row>
    <row r="30" spans="1:9">
      <c r="A30" s="282" t="s">
        <v>826</v>
      </c>
      <c r="B30" s="125"/>
      <c r="C30" s="125"/>
      <c r="D30" s="125"/>
      <c r="E30" s="125"/>
      <c r="F30" s="125"/>
      <c r="G30" s="125"/>
      <c r="H30" s="125"/>
      <c r="I30" s="125"/>
    </row>
    <row r="31" spans="1:9" ht="15.65">
      <c r="A31" s="282"/>
      <c r="B31" s="186"/>
      <c r="C31" s="186"/>
      <c r="D31" s="186"/>
      <c r="E31" s="186"/>
      <c r="F31" s="186"/>
      <c r="G31" s="186"/>
      <c r="H31" s="186"/>
      <c r="I31" s="125"/>
    </row>
    <row r="32" spans="1:9" ht="13.6">
      <c r="A32" s="203" t="s">
        <v>116</v>
      </c>
      <c r="B32" s="125"/>
      <c r="C32" s="125"/>
      <c r="D32" s="125"/>
      <c r="E32" s="125"/>
      <c r="F32" s="125"/>
      <c r="G32" s="125"/>
      <c r="H32" s="172"/>
      <c r="I32" s="125"/>
    </row>
    <row r="33" spans="1:10" ht="13.6">
      <c r="A33" s="178" t="s">
        <v>632</v>
      </c>
      <c r="B33" s="178"/>
      <c r="C33" s="178"/>
      <c r="D33" s="918" t="s">
        <v>814</v>
      </c>
      <c r="E33" s="918" t="s">
        <v>610</v>
      </c>
      <c r="F33" s="918" t="s">
        <v>633</v>
      </c>
      <c r="G33" s="918" t="s">
        <v>631</v>
      </c>
      <c r="H33" s="918" t="s">
        <v>419</v>
      </c>
      <c r="I33" s="918" t="s">
        <v>634</v>
      </c>
    </row>
    <row r="34" spans="1:10">
      <c r="A34" s="314"/>
      <c r="B34" s="919"/>
      <c r="C34" s="125"/>
      <c r="E34" s="128" t="s">
        <v>160</v>
      </c>
      <c r="F34" s="128" t="s">
        <v>321</v>
      </c>
      <c r="G34" s="128"/>
      <c r="H34" s="128"/>
      <c r="I34" s="167"/>
    </row>
    <row r="35" spans="1:10" ht="13.6">
      <c r="A35" s="717" t="s">
        <v>313</v>
      </c>
      <c r="B35" s="919"/>
      <c r="C35" s="125"/>
      <c r="D35" s="128" t="s">
        <v>813</v>
      </c>
      <c r="E35" s="128" t="s">
        <v>320</v>
      </c>
      <c r="F35" s="128" t="s">
        <v>312</v>
      </c>
      <c r="G35" s="128" t="s">
        <v>317</v>
      </c>
      <c r="H35" s="128" t="s">
        <v>319</v>
      </c>
      <c r="I35" s="128" t="s">
        <v>529</v>
      </c>
    </row>
    <row r="36" spans="1:10">
      <c r="A36" s="282"/>
      <c r="B36" s="125"/>
      <c r="C36" s="125"/>
      <c r="D36" s="128"/>
      <c r="E36" s="128" t="s">
        <v>318</v>
      </c>
      <c r="F36" s="128" t="s">
        <v>318</v>
      </c>
      <c r="G36" s="128" t="s">
        <v>318</v>
      </c>
      <c r="H36" s="128" t="s">
        <v>318</v>
      </c>
      <c r="I36" s="128"/>
    </row>
    <row r="37" spans="1:10" ht="16.5" customHeight="1">
      <c r="A37" s="283"/>
      <c r="B37" s="167"/>
      <c r="C37" s="167"/>
      <c r="D37" s="167"/>
      <c r="E37" s="167"/>
      <c r="F37" s="284"/>
      <c r="G37" s="284"/>
      <c r="H37" s="284"/>
      <c r="I37" s="167"/>
    </row>
    <row r="38" spans="1:10" s="341" customFormat="1" ht="17.149999999999999" customHeight="1">
      <c r="A38" s="1152" t="s">
        <v>737</v>
      </c>
      <c r="B38" s="1153"/>
      <c r="C38" s="677"/>
      <c r="D38" s="897">
        <f t="shared" ref="D38:D129" si="0">SUM(E38:H38)</f>
        <v>-29516.032092500001</v>
      </c>
      <c r="E38" s="899">
        <f>-29516.0320925</f>
        <v>-29516.032092500001</v>
      </c>
      <c r="F38" s="899"/>
      <c r="G38" s="899"/>
      <c r="H38" s="899"/>
      <c r="I38" s="1149" t="s">
        <v>658</v>
      </c>
      <c r="J38" s="678"/>
    </row>
    <row r="39" spans="1:10" s="341" customFormat="1" ht="17.149999999999999" customHeight="1">
      <c r="A39" s="1152" t="s">
        <v>547</v>
      </c>
      <c r="B39" s="1153"/>
      <c r="C39" s="677"/>
      <c r="D39" s="897">
        <f t="shared" si="0"/>
        <v>10095.392</v>
      </c>
      <c r="E39" s="899">
        <v>10095.392</v>
      </c>
      <c r="F39" s="899"/>
      <c r="G39" s="899"/>
      <c r="H39" s="899"/>
      <c r="I39" s="1149" t="s">
        <v>885</v>
      </c>
      <c r="J39" s="678"/>
    </row>
    <row r="40" spans="1:10" s="341" customFormat="1" ht="17.149999999999999" customHeight="1">
      <c r="A40" s="1152" t="s">
        <v>762</v>
      </c>
      <c r="B40" s="1153"/>
      <c r="C40" s="677"/>
      <c r="D40" s="897">
        <f t="shared" si="0"/>
        <v>0</v>
      </c>
      <c r="E40" s="899"/>
      <c r="F40" s="899"/>
      <c r="G40" s="899"/>
      <c r="H40" s="899"/>
      <c r="I40" s="1149" t="s">
        <v>658</v>
      </c>
      <c r="J40" s="678"/>
    </row>
    <row r="41" spans="1:10" s="341" customFormat="1" ht="17.149999999999999" customHeight="1">
      <c r="A41" s="1152" t="s">
        <v>747</v>
      </c>
      <c r="B41" s="1153"/>
      <c r="C41" s="677"/>
      <c r="D41" s="897">
        <f t="shared" si="0"/>
        <v>0</v>
      </c>
      <c r="E41" s="899"/>
      <c r="F41" s="899"/>
      <c r="G41" s="899"/>
      <c r="H41" s="899"/>
      <c r="I41" s="1149" t="s">
        <v>658</v>
      </c>
      <c r="J41" s="678"/>
    </row>
    <row r="42" spans="1:10" s="341" customFormat="1" ht="17.149999999999999" customHeight="1">
      <c r="A42" s="1152" t="s">
        <v>746</v>
      </c>
      <c r="B42" s="1153"/>
      <c r="C42" s="677"/>
      <c r="D42" s="897">
        <f t="shared" si="0"/>
        <v>0</v>
      </c>
      <c r="E42" s="899"/>
      <c r="F42" s="899"/>
      <c r="G42" s="899"/>
      <c r="H42" s="899"/>
      <c r="I42" s="1149" t="s">
        <v>658</v>
      </c>
      <c r="J42" s="678"/>
    </row>
    <row r="43" spans="1:10" s="341" customFormat="1" ht="17.149999999999999" customHeight="1">
      <c r="A43" s="1152" t="s">
        <v>745</v>
      </c>
      <c r="B43" s="1153"/>
      <c r="C43" s="677"/>
      <c r="D43" s="897">
        <f t="shared" si="0"/>
        <v>0</v>
      </c>
      <c r="E43" s="899"/>
      <c r="F43" s="899"/>
      <c r="G43" s="899"/>
      <c r="H43" s="899"/>
      <c r="I43" s="1149" t="s">
        <v>658</v>
      </c>
      <c r="J43" s="678"/>
    </row>
    <row r="44" spans="1:10" s="341" customFormat="1" ht="17.149999999999999" customHeight="1">
      <c r="A44" s="1152" t="s">
        <v>558</v>
      </c>
      <c r="B44" s="1153"/>
      <c r="C44" s="677"/>
      <c r="D44" s="897">
        <f t="shared" si="0"/>
        <v>127225.66</v>
      </c>
      <c r="E44" s="899">
        <v>127225.66</v>
      </c>
      <c r="F44" s="899"/>
      <c r="G44" s="899"/>
      <c r="H44" s="899"/>
      <c r="I44" s="1149" t="s">
        <v>0</v>
      </c>
      <c r="J44" s="678"/>
    </row>
    <row r="45" spans="1:10" s="341" customFormat="1" ht="17.149999999999999" customHeight="1">
      <c r="A45" s="1152" t="s">
        <v>559</v>
      </c>
      <c r="B45" s="1153"/>
      <c r="C45" s="677"/>
      <c r="D45" s="897">
        <f t="shared" si="0"/>
        <v>196279.378</v>
      </c>
      <c r="E45" s="899"/>
      <c r="F45" s="899"/>
      <c r="G45" s="899">
        <v>196279.378</v>
      </c>
      <c r="H45" s="899"/>
      <c r="I45" s="1149" t="s">
        <v>1</v>
      </c>
      <c r="J45" s="678"/>
    </row>
    <row r="46" spans="1:10" s="341" customFormat="1" ht="17.149999999999999" customHeight="1">
      <c r="A46" s="1152" t="s">
        <v>1330</v>
      </c>
      <c r="B46" s="1153"/>
      <c r="C46" s="677"/>
      <c r="D46" s="897">
        <f t="shared" si="0"/>
        <v>7000.0020000000004</v>
      </c>
      <c r="E46" s="899">
        <v>7000.0020000000004</v>
      </c>
      <c r="F46" s="899"/>
      <c r="G46" s="899"/>
      <c r="H46" s="899"/>
      <c r="I46" s="1149" t="s">
        <v>658</v>
      </c>
      <c r="J46" s="678"/>
    </row>
    <row r="47" spans="1:10" s="896" customFormat="1" ht="17.149999999999999" customHeight="1">
      <c r="A47" s="1152" t="s">
        <v>1476</v>
      </c>
      <c r="B47" s="1153"/>
      <c r="C47" s="677"/>
      <c r="D47" s="897">
        <f t="shared" si="0"/>
        <v>3022.5540000000001</v>
      </c>
      <c r="E47" s="899">
        <v>3022.5540000000001</v>
      </c>
      <c r="F47" s="899"/>
      <c r="G47" s="899"/>
      <c r="H47" s="899"/>
      <c r="I47" s="1149" t="s">
        <v>658</v>
      </c>
      <c r="J47" s="898"/>
    </row>
    <row r="48" spans="1:10" s="341" customFormat="1" ht="17.149999999999999" customHeight="1">
      <c r="A48" s="1152" t="s">
        <v>1331</v>
      </c>
      <c r="B48" s="1153"/>
      <c r="C48" s="677"/>
      <c r="D48" s="897">
        <f t="shared" si="0"/>
        <v>444.279</v>
      </c>
      <c r="E48" s="899">
        <v>444.279</v>
      </c>
      <c r="F48" s="899"/>
      <c r="G48" s="899"/>
      <c r="H48" s="899"/>
      <c r="I48" s="1149" t="s">
        <v>658</v>
      </c>
      <c r="J48" s="678"/>
    </row>
    <row r="49" spans="1:10" s="341" customFormat="1" ht="17.149999999999999" customHeight="1">
      <c r="A49" s="1152" t="s">
        <v>1053</v>
      </c>
      <c r="B49" s="1153"/>
      <c r="C49" s="677"/>
      <c r="D49" s="897">
        <f t="shared" si="0"/>
        <v>1380.8977866666701</v>
      </c>
      <c r="E49" s="899">
        <v>1380.8977866666701</v>
      </c>
      <c r="F49" s="899"/>
      <c r="G49" s="899"/>
      <c r="H49" s="899"/>
      <c r="I49" s="1149" t="s">
        <v>658</v>
      </c>
      <c r="J49" s="678"/>
    </row>
    <row r="50" spans="1:10" s="341" customFormat="1" ht="17.149999999999999" customHeight="1">
      <c r="A50" s="1152" t="s">
        <v>735</v>
      </c>
      <c r="B50" s="1153"/>
      <c r="C50" s="677"/>
      <c r="D50" s="897">
        <f t="shared" si="0"/>
        <v>207.45099999999999</v>
      </c>
      <c r="E50" s="899">
        <v>207.45099999999999</v>
      </c>
      <c r="F50" s="899"/>
      <c r="G50" s="899"/>
      <c r="H50" s="899"/>
      <c r="I50" s="1149" t="s">
        <v>658</v>
      </c>
      <c r="J50" s="678"/>
    </row>
    <row r="51" spans="1:10" s="341" customFormat="1" ht="17.149999999999999" customHeight="1">
      <c r="A51" s="1152" t="s">
        <v>752</v>
      </c>
      <c r="B51" s="1153"/>
      <c r="C51" s="677"/>
      <c r="D51" s="897">
        <f t="shared" si="0"/>
        <v>1638.00755</v>
      </c>
      <c r="E51" s="899">
        <v>1638.00755</v>
      </c>
      <c r="F51" s="899"/>
      <c r="G51" s="899"/>
      <c r="H51" s="899"/>
      <c r="I51" s="1149" t="s">
        <v>658</v>
      </c>
      <c r="J51" s="678"/>
    </row>
    <row r="52" spans="1:10" s="341" customFormat="1" ht="17.149999999999999" customHeight="1">
      <c r="A52" s="1152" t="s">
        <v>732</v>
      </c>
      <c r="B52" s="1153"/>
      <c r="C52" s="677"/>
      <c r="D52" s="897">
        <f t="shared" si="0"/>
        <v>35933.837</v>
      </c>
      <c r="E52" s="899">
        <v>35933.837</v>
      </c>
      <c r="F52" s="899"/>
      <c r="G52" s="899"/>
      <c r="H52" s="899"/>
      <c r="I52" s="1149" t="s">
        <v>658</v>
      </c>
      <c r="J52" s="678"/>
    </row>
    <row r="53" spans="1:10" s="341" customFormat="1" ht="17.149999999999999" customHeight="1">
      <c r="A53" s="1152" t="s">
        <v>756</v>
      </c>
      <c r="B53" s="1153"/>
      <c r="C53" s="677"/>
      <c r="D53" s="897">
        <f t="shared" si="0"/>
        <v>71188.504261666705</v>
      </c>
      <c r="E53" s="899">
        <v>71188.504261666705</v>
      </c>
      <c r="F53" s="899"/>
      <c r="G53" s="899"/>
      <c r="H53" s="899"/>
      <c r="I53" s="1149" t="s">
        <v>658</v>
      </c>
      <c r="J53" s="678"/>
    </row>
    <row r="54" spans="1:10" s="341" customFormat="1" ht="17.149999999999999" customHeight="1">
      <c r="A54" s="1152" t="s">
        <v>772</v>
      </c>
      <c r="B54" s="1153"/>
      <c r="C54" s="677"/>
      <c r="D54" s="897">
        <f t="shared" si="0"/>
        <v>0</v>
      </c>
      <c r="E54" s="899">
        <v>0</v>
      </c>
      <c r="F54" s="899"/>
      <c r="G54" s="899"/>
      <c r="H54" s="899"/>
      <c r="I54" s="1149" t="s">
        <v>658</v>
      </c>
      <c r="J54" s="678"/>
    </row>
    <row r="55" spans="1:10" s="341" customFormat="1" ht="17.149999999999999" customHeight="1">
      <c r="A55" s="1152" t="s">
        <v>771</v>
      </c>
      <c r="B55" s="1153"/>
      <c r="C55" s="677"/>
      <c r="D55" s="897">
        <f t="shared" si="0"/>
        <v>0</v>
      </c>
      <c r="E55" s="899">
        <v>0</v>
      </c>
      <c r="F55" s="899"/>
      <c r="G55" s="899"/>
      <c r="H55" s="899"/>
      <c r="I55" s="1149" t="s">
        <v>658</v>
      </c>
      <c r="J55" s="678"/>
    </row>
    <row r="56" spans="1:10" s="896" customFormat="1" ht="17.149999999999999" customHeight="1">
      <c r="A56" s="1152" t="s">
        <v>1614</v>
      </c>
      <c r="B56" s="1153"/>
      <c r="C56" s="677"/>
      <c r="D56" s="897">
        <f t="shared" si="0"/>
        <v>-1125.771</v>
      </c>
      <c r="E56" s="899">
        <v>-1125.771</v>
      </c>
      <c r="F56" s="899"/>
      <c r="G56" s="899"/>
      <c r="H56" s="899"/>
      <c r="I56" s="1149" t="s">
        <v>14</v>
      </c>
      <c r="J56" s="898"/>
    </row>
    <row r="57" spans="1:10" s="896" customFormat="1" ht="17.149999999999999" customHeight="1">
      <c r="A57" s="1152" t="s">
        <v>1615</v>
      </c>
      <c r="B57" s="1153"/>
      <c r="C57" s="677"/>
      <c r="D57" s="897">
        <f t="shared" si="0"/>
        <v>-1918.105</v>
      </c>
      <c r="E57" s="899">
        <v>0</v>
      </c>
      <c r="F57" s="899"/>
      <c r="G57" s="899"/>
      <c r="H57" s="899">
        <v>-1918.105</v>
      </c>
      <c r="I57" s="1149" t="s">
        <v>14</v>
      </c>
      <c r="J57" s="898"/>
    </row>
    <row r="58" spans="1:10" s="896" customFormat="1" ht="17.149999999999999" customHeight="1">
      <c r="A58" s="1152" t="s">
        <v>1616</v>
      </c>
      <c r="B58" s="1153"/>
      <c r="C58" s="677"/>
      <c r="D58" s="897">
        <f t="shared" si="0"/>
        <v>33398.525000000001</v>
      </c>
      <c r="E58" s="899">
        <v>33398.525000000001</v>
      </c>
      <c r="F58" s="899"/>
      <c r="G58" s="899"/>
      <c r="H58" s="899"/>
      <c r="I58" s="1149" t="s">
        <v>14</v>
      </c>
      <c r="J58" s="898"/>
    </row>
    <row r="59" spans="1:10" s="896" customFormat="1" ht="17.149999999999999" customHeight="1">
      <c r="A59" s="1152" t="s">
        <v>1617</v>
      </c>
      <c r="B59" s="1153"/>
      <c r="C59" s="677"/>
      <c r="D59" s="897">
        <f t="shared" si="0"/>
        <v>-9908.4660000000003</v>
      </c>
      <c r="E59" s="899">
        <v>-9908.4660000000003</v>
      </c>
      <c r="F59" s="899"/>
      <c r="G59" s="899"/>
      <c r="H59" s="899"/>
      <c r="I59" s="1149" t="s">
        <v>14</v>
      </c>
      <c r="J59" s="898"/>
    </row>
    <row r="60" spans="1:10" s="896" customFormat="1" ht="17.149999999999999" customHeight="1">
      <c r="A60" s="1152" t="s">
        <v>1618</v>
      </c>
      <c r="B60" s="1153"/>
      <c r="C60" s="677"/>
      <c r="D60" s="897">
        <f t="shared" si="0"/>
        <v>13727.963</v>
      </c>
      <c r="E60" s="899">
        <v>0</v>
      </c>
      <c r="F60" s="899">
        <v>13727.963</v>
      </c>
      <c r="G60" s="899"/>
      <c r="H60" s="899"/>
      <c r="I60" s="1149" t="s">
        <v>14</v>
      </c>
      <c r="J60" s="898"/>
    </row>
    <row r="61" spans="1:10" s="341" customFormat="1" ht="17.149999999999999" customHeight="1">
      <c r="A61" s="1152" t="s">
        <v>1054</v>
      </c>
      <c r="B61" s="1153"/>
      <c r="C61" s="677"/>
      <c r="D61" s="897">
        <f t="shared" si="0"/>
        <v>4.0000000000000001E-3</v>
      </c>
      <c r="E61" s="899">
        <v>4.0000000000000001E-3</v>
      </c>
      <c r="F61" s="899"/>
      <c r="G61" s="899"/>
      <c r="H61" s="899"/>
      <c r="I61" s="1149" t="s">
        <v>658</v>
      </c>
      <c r="J61" s="678"/>
    </row>
    <row r="62" spans="1:10" s="341" customFormat="1" ht="17.149999999999999" customHeight="1">
      <c r="A62" s="1152" t="s">
        <v>1055</v>
      </c>
      <c r="B62" s="1153"/>
      <c r="C62" s="677"/>
      <c r="D62" s="897">
        <f t="shared" si="0"/>
        <v>-1E-3</v>
      </c>
      <c r="E62" s="899">
        <v>-1E-3</v>
      </c>
      <c r="F62" s="899"/>
      <c r="G62" s="899"/>
      <c r="H62" s="899"/>
      <c r="I62" s="1149" t="s">
        <v>658</v>
      </c>
      <c r="J62" s="678"/>
    </row>
    <row r="63" spans="1:10" s="896" customFormat="1" ht="17.149999999999999" customHeight="1">
      <c r="A63" s="1152" t="s">
        <v>1452</v>
      </c>
      <c r="B63" s="1153"/>
      <c r="C63" s="677"/>
      <c r="D63" s="897">
        <f t="shared" si="0"/>
        <v>979.63699999999994</v>
      </c>
      <c r="E63" s="899">
        <v>979.63699999999994</v>
      </c>
      <c r="F63" s="899"/>
      <c r="G63" s="899"/>
      <c r="H63" s="899"/>
      <c r="I63" s="1149" t="s">
        <v>658</v>
      </c>
      <c r="J63" s="898"/>
    </row>
    <row r="64" spans="1:10" s="896" customFormat="1" ht="17.149999999999999" customHeight="1">
      <c r="A64" s="1152" t="s">
        <v>1619</v>
      </c>
      <c r="B64" s="1153"/>
      <c r="C64" s="677"/>
      <c r="D64" s="897">
        <f t="shared" si="0"/>
        <v>65041.7</v>
      </c>
      <c r="E64" s="899">
        <v>65041.7</v>
      </c>
      <c r="F64" s="899"/>
      <c r="G64" s="899"/>
      <c r="H64" s="899"/>
      <c r="I64" s="1149" t="s">
        <v>658</v>
      </c>
      <c r="J64" s="898"/>
    </row>
    <row r="65" spans="1:10" s="896" customFormat="1" ht="17.149999999999999" customHeight="1">
      <c r="A65" s="1152" t="s">
        <v>1620</v>
      </c>
      <c r="B65" s="1153"/>
      <c r="C65" s="677"/>
      <c r="D65" s="897">
        <f t="shared" si="0"/>
        <v>880.23400000000004</v>
      </c>
      <c r="E65" s="899">
        <v>880.23400000000004</v>
      </c>
      <c r="F65" s="899"/>
      <c r="G65" s="899"/>
      <c r="H65" s="899"/>
      <c r="I65" s="1149" t="s">
        <v>658</v>
      </c>
      <c r="J65" s="898"/>
    </row>
    <row r="66" spans="1:10" s="341" customFormat="1" ht="34" customHeight="1">
      <c r="A66" s="1152" t="s">
        <v>560</v>
      </c>
      <c r="B66" s="1153"/>
      <c r="C66" s="677"/>
      <c r="D66" s="897">
        <f t="shared" si="0"/>
        <v>0</v>
      </c>
      <c r="E66" s="899">
        <v>0</v>
      </c>
      <c r="F66" s="899"/>
      <c r="G66" s="899"/>
      <c r="H66" s="899"/>
      <c r="I66" s="1149" t="s">
        <v>2</v>
      </c>
      <c r="J66" s="678"/>
    </row>
    <row r="67" spans="1:10" s="896" customFormat="1" ht="17.149999999999999" customHeight="1">
      <c r="A67" s="1152" t="s">
        <v>1397</v>
      </c>
      <c r="B67" s="1153"/>
      <c r="C67" s="677"/>
      <c r="D67" s="897">
        <f t="shared" si="0"/>
        <v>0</v>
      </c>
      <c r="E67" s="899">
        <v>0</v>
      </c>
      <c r="F67" s="899"/>
      <c r="G67" s="899"/>
      <c r="H67" s="899"/>
      <c r="I67" s="1149" t="s">
        <v>658</v>
      </c>
      <c r="J67" s="898"/>
    </row>
    <row r="68" spans="1:10" s="341" customFormat="1" ht="17.149999999999999" customHeight="1">
      <c r="A68" s="1152" t="s">
        <v>733</v>
      </c>
      <c r="B68" s="1153"/>
      <c r="C68" s="677"/>
      <c r="D68" s="897">
        <f t="shared" si="0"/>
        <v>-52.912999999999997</v>
      </c>
      <c r="E68" s="899">
        <v>-52.912999999999997</v>
      </c>
      <c r="F68" s="899"/>
      <c r="G68" s="899"/>
      <c r="H68" s="899"/>
      <c r="I68" s="1149" t="s">
        <v>658</v>
      </c>
      <c r="J68" s="678"/>
    </row>
    <row r="69" spans="1:10" s="896" customFormat="1" ht="17.149999999999999" customHeight="1">
      <c r="A69" s="1152" t="s">
        <v>1477</v>
      </c>
      <c r="B69" s="1153"/>
      <c r="C69" s="677"/>
      <c r="D69" s="897">
        <f t="shared" si="0"/>
        <v>-125.1</v>
      </c>
      <c r="E69" s="899">
        <v>-125.1</v>
      </c>
      <c r="F69" s="899"/>
      <c r="G69" s="899"/>
      <c r="H69" s="899"/>
      <c r="I69" s="1149" t="s">
        <v>658</v>
      </c>
      <c r="J69" s="898"/>
    </row>
    <row r="70" spans="1:10" s="896" customFormat="1" ht="17.149999999999999" customHeight="1">
      <c r="A70" s="1152" t="s">
        <v>1478</v>
      </c>
      <c r="B70" s="1153"/>
      <c r="C70" s="677"/>
      <c r="D70" s="897">
        <f t="shared" si="0"/>
        <v>33.478999999999999</v>
      </c>
      <c r="E70" s="899">
        <v>33.478999999999999</v>
      </c>
      <c r="F70" s="899"/>
      <c r="G70" s="899"/>
      <c r="H70" s="899"/>
      <c r="I70" s="1149" t="s">
        <v>658</v>
      </c>
      <c r="J70" s="898"/>
    </row>
    <row r="71" spans="1:10" s="896" customFormat="1" ht="17.149999999999999" customHeight="1">
      <c r="A71" s="1152" t="s">
        <v>1479</v>
      </c>
      <c r="B71" s="1153"/>
      <c r="C71" s="677"/>
      <c r="D71" s="897">
        <f t="shared" si="0"/>
        <v>106.33499999999999</v>
      </c>
      <c r="E71" s="899">
        <v>106.33499999999999</v>
      </c>
      <c r="F71" s="899"/>
      <c r="G71" s="899"/>
      <c r="H71" s="899"/>
      <c r="I71" s="1149" t="s">
        <v>658</v>
      </c>
      <c r="J71" s="898"/>
    </row>
    <row r="72" spans="1:10" s="896" customFormat="1" ht="17.149999999999999" customHeight="1">
      <c r="A72" s="1152" t="s">
        <v>1480</v>
      </c>
      <c r="B72" s="1153"/>
      <c r="C72" s="677"/>
      <c r="D72" s="897">
        <f t="shared" si="0"/>
        <v>-10.211</v>
      </c>
      <c r="E72" s="899">
        <v>-10.211</v>
      </c>
      <c r="F72" s="899"/>
      <c r="G72" s="899"/>
      <c r="H72" s="899"/>
      <c r="I72" s="1149" t="s">
        <v>658</v>
      </c>
      <c r="J72" s="898"/>
    </row>
    <row r="73" spans="1:10" s="896" customFormat="1" ht="17.149999999999999" customHeight="1">
      <c r="A73" s="1152" t="s">
        <v>1481</v>
      </c>
      <c r="B73" s="1153"/>
      <c r="C73" s="677"/>
      <c r="D73" s="897">
        <f t="shared" si="0"/>
        <v>0</v>
      </c>
      <c r="E73" s="899">
        <v>0</v>
      </c>
      <c r="F73" s="899">
        <v>0</v>
      </c>
      <c r="G73" s="899"/>
      <c r="H73" s="899"/>
      <c r="I73" s="1149" t="s">
        <v>3</v>
      </c>
      <c r="J73" s="898"/>
    </row>
    <row r="74" spans="1:10" s="341" customFormat="1" ht="17.149999999999999" customHeight="1">
      <c r="A74" s="1152" t="s">
        <v>561</v>
      </c>
      <c r="B74" s="1153"/>
      <c r="C74" s="677"/>
      <c r="D74" s="897">
        <f t="shared" si="0"/>
        <v>0</v>
      </c>
      <c r="E74" s="899"/>
      <c r="F74" s="899"/>
      <c r="G74" s="899"/>
      <c r="H74" s="899"/>
      <c r="I74" s="1149" t="s">
        <v>3</v>
      </c>
      <c r="J74" s="678"/>
    </row>
    <row r="75" spans="1:10" s="341" customFormat="1" ht="17.149999999999999" customHeight="1">
      <c r="A75" s="1152" t="s">
        <v>731</v>
      </c>
      <c r="B75" s="1153"/>
      <c r="C75" s="677"/>
      <c r="D75" s="897">
        <f t="shared" si="0"/>
        <v>-736.34</v>
      </c>
      <c r="E75" s="899">
        <v>-736.34</v>
      </c>
      <c r="F75" s="899"/>
      <c r="G75" s="899"/>
      <c r="H75" s="899"/>
      <c r="I75" s="1149" t="s">
        <v>658</v>
      </c>
      <c r="J75" s="678"/>
    </row>
    <row r="76" spans="1:10" s="341" customFormat="1" ht="17.149999999999999" customHeight="1">
      <c r="A76" s="1152" t="s">
        <v>751</v>
      </c>
      <c r="B76" s="1153"/>
      <c r="C76" s="677"/>
      <c r="D76" s="897">
        <f t="shared" si="0"/>
        <v>1916.761</v>
      </c>
      <c r="E76" s="899">
        <v>1916.761</v>
      </c>
      <c r="F76" s="899"/>
      <c r="G76" s="899"/>
      <c r="H76" s="899"/>
      <c r="I76" s="1149" t="s">
        <v>658</v>
      </c>
      <c r="J76" s="678"/>
    </row>
    <row r="77" spans="1:10" s="341" customFormat="1" ht="17.149999999999999" customHeight="1">
      <c r="A77" s="1152" t="s">
        <v>736</v>
      </c>
      <c r="B77" s="1153"/>
      <c r="C77" s="677"/>
      <c r="D77" s="897">
        <f t="shared" si="0"/>
        <v>482.26612</v>
      </c>
      <c r="E77" s="899">
        <v>482.26612</v>
      </c>
      <c r="F77" s="899"/>
      <c r="G77" s="899"/>
      <c r="H77" s="899"/>
      <c r="I77" s="1149" t="s">
        <v>658</v>
      </c>
      <c r="J77" s="678"/>
    </row>
    <row r="78" spans="1:10" s="341" customFormat="1" ht="17.149999999999999" customHeight="1">
      <c r="A78" s="1152" t="s">
        <v>1332</v>
      </c>
      <c r="B78" s="1153"/>
      <c r="C78" s="677"/>
      <c r="D78" s="897">
        <f t="shared" si="0"/>
        <v>2932.6080000000002</v>
      </c>
      <c r="E78" s="899">
        <v>2932.6080000000002</v>
      </c>
      <c r="F78" s="899"/>
      <c r="G78" s="899"/>
      <c r="H78" s="899"/>
      <c r="I78" s="1149" t="s">
        <v>658</v>
      </c>
      <c r="J78" s="678"/>
    </row>
    <row r="79" spans="1:10" s="341" customFormat="1" ht="17.149999999999999" customHeight="1">
      <c r="A79" s="1152" t="s">
        <v>734</v>
      </c>
      <c r="B79" s="1153"/>
      <c r="C79" s="677"/>
      <c r="D79" s="897">
        <f t="shared" si="0"/>
        <v>-5567.1755300000004</v>
      </c>
      <c r="E79" s="899">
        <v>-5567.1755300000004</v>
      </c>
      <c r="F79" s="899"/>
      <c r="G79" s="899"/>
      <c r="H79" s="899"/>
      <c r="I79" s="1149" t="s">
        <v>658</v>
      </c>
      <c r="J79" s="678"/>
    </row>
    <row r="80" spans="1:10" s="341" customFormat="1" ht="17.149999999999999" customHeight="1">
      <c r="A80" s="1152" t="s">
        <v>888</v>
      </c>
      <c r="B80" s="1153"/>
      <c r="C80" s="677"/>
      <c r="D80" s="897">
        <f t="shared" si="0"/>
        <v>0</v>
      </c>
      <c r="E80" s="899"/>
      <c r="F80" s="899"/>
      <c r="G80" s="899"/>
      <c r="H80" s="899"/>
      <c r="I80" s="1149" t="s">
        <v>658</v>
      </c>
      <c r="J80" s="678"/>
    </row>
    <row r="81" spans="1:10" s="341" customFormat="1" ht="17.149999999999999" customHeight="1">
      <c r="A81" s="1152" t="s">
        <v>889</v>
      </c>
      <c r="B81" s="1153"/>
      <c r="C81" s="677"/>
      <c r="D81" s="897">
        <f t="shared" si="0"/>
        <v>0</v>
      </c>
      <c r="E81" s="899"/>
      <c r="F81" s="899"/>
      <c r="G81" s="899"/>
      <c r="H81" s="899"/>
      <c r="I81" s="1149" t="s">
        <v>658</v>
      </c>
      <c r="J81" s="678"/>
    </row>
    <row r="82" spans="1:10" s="341" customFormat="1" ht="17.149999999999999" customHeight="1">
      <c r="A82" s="1152" t="s">
        <v>768</v>
      </c>
      <c r="B82" s="1153"/>
      <c r="C82" s="677"/>
      <c r="D82" s="897">
        <f t="shared" si="0"/>
        <v>0</v>
      </c>
      <c r="E82" s="899"/>
      <c r="F82" s="899"/>
      <c r="G82" s="899"/>
      <c r="H82" s="899"/>
      <c r="I82" s="1149" t="s">
        <v>658</v>
      </c>
      <c r="J82" s="678"/>
    </row>
    <row r="83" spans="1:10" s="341" customFormat="1" ht="17.149999999999999" customHeight="1">
      <c r="A83" s="1152" t="s">
        <v>743</v>
      </c>
      <c r="B83" s="1153"/>
      <c r="C83" s="677"/>
      <c r="D83" s="897">
        <f t="shared" si="0"/>
        <v>0</v>
      </c>
      <c r="E83" s="899"/>
      <c r="F83" s="899"/>
      <c r="G83" s="899"/>
      <c r="H83" s="899"/>
      <c r="I83" s="1149" t="s">
        <v>658</v>
      </c>
      <c r="J83" s="678"/>
    </row>
    <row r="84" spans="1:10" s="341" customFormat="1" ht="17.149999999999999" customHeight="1">
      <c r="A84" s="1152" t="s">
        <v>753</v>
      </c>
      <c r="B84" s="1153"/>
      <c r="C84" s="677"/>
      <c r="D84" s="897">
        <f t="shared" si="0"/>
        <v>0</v>
      </c>
      <c r="E84" s="899"/>
      <c r="F84" s="899"/>
      <c r="G84" s="899"/>
      <c r="H84" s="899"/>
      <c r="I84" s="1149" t="s">
        <v>658</v>
      </c>
      <c r="J84" s="678"/>
    </row>
    <row r="85" spans="1:10" s="341" customFormat="1" ht="17.149999999999999" customHeight="1">
      <c r="A85" s="1152" t="s">
        <v>759</v>
      </c>
      <c r="B85" s="1153"/>
      <c r="C85" s="677"/>
      <c r="D85" s="897">
        <f t="shared" si="0"/>
        <v>0</v>
      </c>
      <c r="E85" s="899"/>
      <c r="F85" s="899"/>
      <c r="G85" s="899"/>
      <c r="H85" s="899"/>
      <c r="I85" s="1149" t="s">
        <v>658</v>
      </c>
      <c r="J85" s="678"/>
    </row>
    <row r="86" spans="1:10" s="341" customFormat="1" ht="17.149999999999999" customHeight="1">
      <c r="A86" s="1152" t="s">
        <v>1056</v>
      </c>
      <c r="B86" s="1153"/>
      <c r="C86" s="677"/>
      <c r="D86" s="897">
        <f t="shared" si="0"/>
        <v>0</v>
      </c>
      <c r="E86" s="899"/>
      <c r="F86" s="899"/>
      <c r="G86" s="899"/>
      <c r="H86" s="899"/>
      <c r="I86" s="1149" t="s">
        <v>658</v>
      </c>
      <c r="J86" s="678"/>
    </row>
    <row r="87" spans="1:10" s="341" customFormat="1" ht="17.149999999999999" customHeight="1">
      <c r="A87" s="1152" t="s">
        <v>767</v>
      </c>
      <c r="B87" s="1153"/>
      <c r="C87" s="677"/>
      <c r="D87" s="897">
        <f t="shared" si="0"/>
        <v>0</v>
      </c>
      <c r="E87" s="899"/>
      <c r="F87" s="899"/>
      <c r="G87" s="899"/>
      <c r="H87" s="899"/>
      <c r="I87" s="1149" t="s">
        <v>658</v>
      </c>
      <c r="J87" s="678"/>
    </row>
    <row r="88" spans="1:10" s="341" customFormat="1" ht="17.149999999999999" customHeight="1">
      <c r="A88" s="1152" t="s">
        <v>1057</v>
      </c>
      <c r="B88" s="1153"/>
      <c r="C88" s="677"/>
      <c r="D88" s="897">
        <f t="shared" si="0"/>
        <v>0</v>
      </c>
      <c r="E88" s="899"/>
      <c r="F88" s="899"/>
      <c r="G88" s="899"/>
      <c r="H88" s="899"/>
      <c r="I88" s="1149" t="s">
        <v>658</v>
      </c>
      <c r="J88" s="678"/>
    </row>
    <row r="89" spans="1:10" s="341" customFormat="1" ht="17.149999999999999" customHeight="1">
      <c r="A89" s="1152" t="s">
        <v>748</v>
      </c>
      <c r="B89" s="1153"/>
      <c r="C89" s="677"/>
      <c r="D89" s="897">
        <f t="shared" si="0"/>
        <v>1780.9439024999999</v>
      </c>
      <c r="E89" s="899">
        <v>1780.9439024999999</v>
      </c>
      <c r="F89" s="899"/>
      <c r="G89" s="899"/>
      <c r="H89" s="899"/>
      <c r="I89" s="1149" t="s">
        <v>658</v>
      </c>
      <c r="J89" s="678"/>
    </row>
    <row r="90" spans="1:10" s="341" customFormat="1" ht="17.149999999999999" customHeight="1">
      <c r="A90" s="1152" t="s">
        <v>744</v>
      </c>
      <c r="B90" s="1153"/>
      <c r="C90" s="677"/>
      <c r="D90" s="897">
        <f t="shared" si="0"/>
        <v>157.5</v>
      </c>
      <c r="E90" s="899">
        <v>157.5</v>
      </c>
      <c r="F90" s="899"/>
      <c r="G90" s="899"/>
      <c r="H90" s="899"/>
      <c r="I90" s="1149" t="s">
        <v>658</v>
      </c>
      <c r="J90" s="678"/>
    </row>
    <row r="91" spans="1:10" s="896" customFormat="1" ht="17.149999999999999" customHeight="1">
      <c r="A91" s="1152" t="s">
        <v>1482</v>
      </c>
      <c r="B91" s="1153"/>
      <c r="C91" s="677"/>
      <c r="D91" s="897">
        <f t="shared" si="0"/>
        <v>0</v>
      </c>
      <c r="E91" s="899">
        <v>0</v>
      </c>
      <c r="F91" s="899"/>
      <c r="G91" s="899"/>
      <c r="H91" s="899"/>
      <c r="I91" s="1149" t="s">
        <v>658</v>
      </c>
      <c r="J91" s="898"/>
    </row>
    <row r="92" spans="1:10" s="341" customFormat="1" ht="17.149999999999999" customHeight="1">
      <c r="A92" s="1152" t="s">
        <v>1095</v>
      </c>
      <c r="B92" s="1153"/>
      <c r="C92" s="677"/>
      <c r="D92" s="897">
        <f t="shared" si="0"/>
        <v>0</v>
      </c>
      <c r="E92" s="899">
        <v>0</v>
      </c>
      <c r="F92" s="899"/>
      <c r="G92" s="899"/>
      <c r="H92" s="899"/>
      <c r="I92" s="1149" t="s">
        <v>658</v>
      </c>
      <c r="J92" s="678"/>
    </row>
    <row r="93" spans="1:10" s="341" customFormat="1" ht="17.149999999999999" customHeight="1">
      <c r="A93" s="1152" t="s">
        <v>1096</v>
      </c>
      <c r="B93" s="1153"/>
      <c r="C93" s="677"/>
      <c r="D93" s="897">
        <f t="shared" si="0"/>
        <v>4231.4930000000004</v>
      </c>
      <c r="E93" s="899">
        <v>4231.4930000000004</v>
      </c>
      <c r="F93" s="899"/>
      <c r="G93" s="899"/>
      <c r="H93" s="899"/>
      <c r="I93" s="1149" t="s">
        <v>658</v>
      </c>
      <c r="J93" s="678"/>
    </row>
    <row r="94" spans="1:10" s="896" customFormat="1" ht="17.149999999999999" customHeight="1">
      <c r="A94" s="1152" t="s">
        <v>1621</v>
      </c>
      <c r="B94" s="1153"/>
      <c r="C94" s="677"/>
      <c r="D94" s="897">
        <f t="shared" si="0"/>
        <v>216.20852000000099</v>
      </c>
      <c r="E94" s="899">
        <v>216.20852000000099</v>
      </c>
      <c r="F94" s="899"/>
      <c r="G94" s="899"/>
      <c r="H94" s="899"/>
      <c r="I94" s="1149" t="s">
        <v>658</v>
      </c>
      <c r="J94" s="898"/>
    </row>
    <row r="95" spans="1:10" s="896" customFormat="1" ht="17.149999999999999" customHeight="1">
      <c r="A95" s="1152" t="s">
        <v>1622</v>
      </c>
      <c r="B95" s="1153"/>
      <c r="C95" s="677"/>
      <c r="D95" s="897">
        <f t="shared" si="0"/>
        <v>106.48399999999999</v>
      </c>
      <c r="E95" s="899">
        <v>106.48399999999999</v>
      </c>
      <c r="F95" s="899"/>
      <c r="G95" s="899"/>
      <c r="H95" s="899"/>
      <c r="I95" s="1149" t="s">
        <v>658</v>
      </c>
      <c r="J95" s="898"/>
    </row>
    <row r="96" spans="1:10" s="341" customFormat="1" ht="17.149999999999999" customHeight="1">
      <c r="A96" s="1152" t="s">
        <v>1058</v>
      </c>
      <c r="B96" s="1153"/>
      <c r="C96" s="677"/>
      <c r="D96" s="897">
        <f t="shared" si="0"/>
        <v>0</v>
      </c>
      <c r="E96" s="899"/>
      <c r="F96" s="899"/>
      <c r="G96" s="899"/>
      <c r="H96" s="899"/>
      <c r="I96" s="1149" t="s">
        <v>658</v>
      </c>
      <c r="J96" s="678"/>
    </row>
    <row r="97" spans="1:10" s="341" customFormat="1" ht="17.149999999999999" customHeight="1">
      <c r="A97" s="1152" t="s">
        <v>890</v>
      </c>
      <c r="B97" s="1153"/>
      <c r="C97" s="677"/>
      <c r="D97" s="897">
        <f t="shared" si="0"/>
        <v>0</v>
      </c>
      <c r="E97" s="899"/>
      <c r="F97" s="899"/>
      <c r="G97" s="899"/>
      <c r="H97" s="899"/>
      <c r="I97" s="1149" t="s">
        <v>658</v>
      </c>
      <c r="J97" s="678"/>
    </row>
    <row r="98" spans="1:10" s="341" customFormat="1" ht="17.149999999999999" customHeight="1">
      <c r="A98" s="1152" t="s">
        <v>891</v>
      </c>
      <c r="B98" s="1153"/>
      <c r="C98" s="677"/>
      <c r="D98" s="897">
        <f t="shared" si="0"/>
        <v>0</v>
      </c>
      <c r="E98" s="899"/>
      <c r="F98" s="899"/>
      <c r="G98" s="899"/>
      <c r="H98" s="899"/>
      <c r="I98" s="1149" t="s">
        <v>658</v>
      </c>
      <c r="J98" s="678"/>
    </row>
    <row r="99" spans="1:10" s="341" customFormat="1" ht="17.149999999999999" customHeight="1">
      <c r="A99" s="1152" t="s">
        <v>892</v>
      </c>
      <c r="B99" s="1153"/>
      <c r="C99" s="677"/>
      <c r="D99" s="897">
        <f t="shared" si="0"/>
        <v>0</v>
      </c>
      <c r="E99" s="899"/>
      <c r="F99" s="899"/>
      <c r="G99" s="899"/>
      <c r="H99" s="899"/>
      <c r="I99" s="1149" t="s">
        <v>658</v>
      </c>
      <c r="J99" s="678"/>
    </row>
    <row r="100" spans="1:10" s="341" customFormat="1" ht="17.149999999999999" customHeight="1">
      <c r="A100" s="1152" t="s">
        <v>1059</v>
      </c>
      <c r="B100" s="1153"/>
      <c r="C100" s="677"/>
      <c r="D100" s="897">
        <f t="shared" si="0"/>
        <v>0</v>
      </c>
      <c r="E100" s="899"/>
      <c r="F100" s="899"/>
      <c r="G100" s="899"/>
      <c r="H100" s="899"/>
      <c r="I100" s="1149" t="s">
        <v>658</v>
      </c>
      <c r="J100" s="678"/>
    </row>
    <row r="101" spans="1:10" s="341" customFormat="1" ht="17.149999999999999" customHeight="1">
      <c r="A101" s="1152" t="s">
        <v>754</v>
      </c>
      <c r="B101" s="1153"/>
      <c r="C101" s="677"/>
      <c r="D101" s="897">
        <f t="shared" si="0"/>
        <v>0</v>
      </c>
      <c r="E101" s="899"/>
      <c r="F101" s="899"/>
      <c r="G101" s="899"/>
      <c r="H101" s="899"/>
      <c r="I101" s="1149" t="s">
        <v>658</v>
      </c>
      <c r="J101" s="678"/>
    </row>
    <row r="102" spans="1:10" s="341" customFormat="1" ht="17.149999999999999" customHeight="1">
      <c r="A102" s="1152" t="s">
        <v>755</v>
      </c>
      <c r="B102" s="1153"/>
      <c r="C102" s="677"/>
      <c r="D102" s="897">
        <f t="shared" si="0"/>
        <v>0</v>
      </c>
      <c r="E102" s="899"/>
      <c r="F102" s="899"/>
      <c r="G102" s="899"/>
      <c r="H102" s="899"/>
      <c r="I102" s="1149" t="s">
        <v>658</v>
      </c>
      <c r="J102" s="678"/>
    </row>
    <row r="103" spans="1:10" s="341" customFormat="1" ht="17.149999999999999" customHeight="1">
      <c r="A103" s="1152" t="s">
        <v>796</v>
      </c>
      <c r="B103" s="1153"/>
      <c r="C103" s="677"/>
      <c r="D103" s="897">
        <f t="shared" si="0"/>
        <v>0</v>
      </c>
      <c r="E103" s="899"/>
      <c r="F103" s="899"/>
      <c r="G103" s="899"/>
      <c r="H103" s="899"/>
      <c r="I103" s="1149" t="s">
        <v>658</v>
      </c>
      <c r="J103" s="678"/>
    </row>
    <row r="104" spans="1:10" s="341" customFormat="1" ht="17.149999999999999" customHeight="1">
      <c r="A104" s="1152" t="s">
        <v>1060</v>
      </c>
      <c r="B104" s="1153"/>
      <c r="C104" s="677"/>
      <c r="D104" s="897">
        <f t="shared" si="0"/>
        <v>0</v>
      </c>
      <c r="E104" s="899"/>
      <c r="F104" s="899"/>
      <c r="G104" s="899"/>
      <c r="H104" s="899"/>
      <c r="I104" s="1149" t="s">
        <v>658</v>
      </c>
      <c r="J104" s="678"/>
    </row>
    <row r="105" spans="1:10" s="341" customFormat="1" ht="17.149999999999999" customHeight="1">
      <c r="A105" s="1152" t="s">
        <v>893</v>
      </c>
      <c r="B105" s="1153"/>
      <c r="C105" s="677"/>
      <c r="D105" s="897">
        <f t="shared" si="0"/>
        <v>0</v>
      </c>
      <c r="E105" s="899"/>
      <c r="F105" s="899"/>
      <c r="G105" s="899"/>
      <c r="H105" s="899"/>
      <c r="I105" s="1149" t="s">
        <v>658</v>
      </c>
      <c r="J105" s="678"/>
    </row>
    <row r="106" spans="1:10" s="341" customFormat="1" ht="17.149999999999999" customHeight="1">
      <c r="A106" s="1152" t="s">
        <v>894</v>
      </c>
      <c r="B106" s="1153"/>
      <c r="C106" s="677"/>
      <c r="D106" s="897">
        <f t="shared" si="0"/>
        <v>0</v>
      </c>
      <c r="E106" s="899"/>
      <c r="F106" s="899"/>
      <c r="G106" s="899"/>
      <c r="H106" s="899"/>
      <c r="I106" s="1149" t="s">
        <v>658</v>
      </c>
      <c r="J106" s="678"/>
    </row>
    <row r="107" spans="1:10" s="341" customFormat="1" ht="17.149999999999999" customHeight="1">
      <c r="A107" s="1152" t="s">
        <v>895</v>
      </c>
      <c r="B107" s="1153"/>
      <c r="C107" s="677"/>
      <c r="D107" s="897">
        <f t="shared" si="0"/>
        <v>0</v>
      </c>
      <c r="E107" s="899"/>
      <c r="F107" s="899"/>
      <c r="G107" s="899"/>
      <c r="H107" s="899"/>
      <c r="I107" s="1149" t="s">
        <v>658</v>
      </c>
      <c r="J107" s="678"/>
    </row>
    <row r="108" spans="1:10" s="341" customFormat="1" ht="17.149999999999999" customHeight="1">
      <c r="A108" s="1152" t="s">
        <v>1061</v>
      </c>
      <c r="B108" s="1153"/>
      <c r="C108" s="677"/>
      <c r="D108" s="897">
        <f t="shared" si="0"/>
        <v>0</v>
      </c>
      <c r="E108" s="899"/>
      <c r="F108" s="899"/>
      <c r="G108" s="899"/>
      <c r="H108" s="899"/>
      <c r="I108" s="1149" t="s">
        <v>658</v>
      </c>
      <c r="J108" s="678"/>
    </row>
    <row r="109" spans="1:10" s="341" customFormat="1" ht="17.149999999999999" customHeight="1">
      <c r="A109" s="1152" t="s">
        <v>896</v>
      </c>
      <c r="B109" s="1153"/>
      <c r="C109" s="677"/>
      <c r="D109" s="897">
        <f t="shared" si="0"/>
        <v>0</v>
      </c>
      <c r="E109" s="899"/>
      <c r="F109" s="899"/>
      <c r="G109" s="899"/>
      <c r="H109" s="899"/>
      <c r="I109" s="1149" t="s">
        <v>658</v>
      </c>
      <c r="J109" s="678"/>
    </row>
    <row r="110" spans="1:10" s="341" customFormat="1" ht="17.149999999999999" customHeight="1">
      <c r="A110" s="1152" t="s">
        <v>897</v>
      </c>
      <c r="B110" s="1153"/>
      <c r="C110" s="677"/>
      <c r="D110" s="897">
        <f t="shared" si="0"/>
        <v>0</v>
      </c>
      <c r="E110" s="899"/>
      <c r="F110" s="899"/>
      <c r="G110" s="899"/>
      <c r="H110" s="899"/>
      <c r="I110" s="1149" t="s">
        <v>658</v>
      </c>
      <c r="J110" s="678"/>
    </row>
    <row r="111" spans="1:10" s="341" customFormat="1" ht="17.149999999999999" customHeight="1">
      <c r="A111" s="1152" t="s">
        <v>898</v>
      </c>
      <c r="B111" s="1153"/>
      <c r="C111" s="677"/>
      <c r="D111" s="897">
        <f t="shared" si="0"/>
        <v>0</v>
      </c>
      <c r="E111" s="899"/>
      <c r="F111" s="899"/>
      <c r="G111" s="899"/>
      <c r="H111" s="899"/>
      <c r="I111" s="1149" t="s">
        <v>658</v>
      </c>
      <c r="J111" s="678"/>
    </row>
    <row r="112" spans="1:10" s="341" customFormat="1" ht="17.149999999999999" customHeight="1">
      <c r="A112" s="1152" t="s">
        <v>1062</v>
      </c>
      <c r="B112" s="1153"/>
      <c r="C112" s="677"/>
      <c r="D112" s="897">
        <f t="shared" si="0"/>
        <v>0</v>
      </c>
      <c r="E112" s="899"/>
      <c r="F112" s="899"/>
      <c r="G112" s="899"/>
      <c r="H112" s="899"/>
      <c r="I112" s="1149" t="s">
        <v>658</v>
      </c>
      <c r="J112" s="678"/>
    </row>
    <row r="113" spans="1:10" s="341" customFormat="1" ht="17.149999999999999" customHeight="1">
      <c r="A113" s="1152" t="s">
        <v>909</v>
      </c>
      <c r="B113" s="1153"/>
      <c r="C113" s="677"/>
      <c r="D113" s="897">
        <f t="shared" si="0"/>
        <v>0</v>
      </c>
      <c r="E113" s="899"/>
      <c r="F113" s="899"/>
      <c r="G113" s="899"/>
      <c r="H113" s="899"/>
      <c r="I113" s="1149" t="s">
        <v>658</v>
      </c>
      <c r="J113" s="678"/>
    </row>
    <row r="114" spans="1:10" s="341" customFormat="1" ht="17.149999999999999" customHeight="1">
      <c r="A114" s="1152" t="s">
        <v>910</v>
      </c>
      <c r="B114" s="1153"/>
      <c r="C114" s="677"/>
      <c r="D114" s="897">
        <f t="shared" si="0"/>
        <v>0</v>
      </c>
      <c r="E114" s="899"/>
      <c r="F114" s="899"/>
      <c r="G114" s="899"/>
      <c r="H114" s="899"/>
      <c r="I114" s="1149" t="s">
        <v>658</v>
      </c>
      <c r="J114" s="678"/>
    </row>
    <row r="115" spans="1:10" s="341" customFormat="1" ht="17.149999999999999" customHeight="1">
      <c r="A115" s="1152" t="s">
        <v>911</v>
      </c>
      <c r="B115" s="1153"/>
      <c r="C115" s="677"/>
      <c r="D115" s="897">
        <f t="shared" si="0"/>
        <v>0</v>
      </c>
      <c r="E115" s="899"/>
      <c r="F115" s="899"/>
      <c r="G115" s="899"/>
      <c r="H115" s="899"/>
      <c r="I115" s="1149" t="s">
        <v>658</v>
      </c>
      <c r="J115" s="678"/>
    </row>
    <row r="116" spans="1:10" s="341" customFormat="1" ht="17.149999999999999" customHeight="1">
      <c r="A116" s="1152" t="s">
        <v>1333</v>
      </c>
      <c r="B116" s="1153"/>
      <c r="C116" s="677"/>
      <c r="D116" s="897">
        <f t="shared" si="0"/>
        <v>0</v>
      </c>
      <c r="E116" s="899"/>
      <c r="F116" s="899"/>
      <c r="G116" s="899"/>
      <c r="H116" s="899"/>
      <c r="I116" s="1149" t="s">
        <v>658</v>
      </c>
      <c r="J116" s="678"/>
    </row>
    <row r="117" spans="1:10" s="341" customFormat="1" ht="17.149999999999999" customHeight="1">
      <c r="A117" s="1152" t="s">
        <v>1334</v>
      </c>
      <c r="B117" s="1153"/>
      <c r="C117" s="677"/>
      <c r="D117" s="897">
        <f t="shared" si="0"/>
        <v>42.856000000000002</v>
      </c>
      <c r="E117" s="899">
        <v>42.856000000000002</v>
      </c>
      <c r="F117" s="899"/>
      <c r="G117" s="899"/>
      <c r="H117" s="899"/>
      <c r="I117" s="1149" t="s">
        <v>658</v>
      </c>
      <c r="J117" s="678"/>
    </row>
    <row r="118" spans="1:10" s="341" customFormat="1" ht="17.149999999999999" customHeight="1">
      <c r="A118" s="1152" t="s">
        <v>1335</v>
      </c>
      <c r="B118" s="1153"/>
      <c r="C118" s="677"/>
      <c r="D118" s="897">
        <f t="shared" si="0"/>
        <v>5129.3365987250099</v>
      </c>
      <c r="E118" s="899">
        <v>5129.3365987250099</v>
      </c>
      <c r="F118" s="899"/>
      <c r="G118" s="899"/>
      <c r="H118" s="899"/>
      <c r="I118" s="1149" t="s">
        <v>658</v>
      </c>
      <c r="J118" s="678"/>
    </row>
    <row r="119" spans="1:10" s="341" customFormat="1" ht="17.149999999999999" customHeight="1">
      <c r="A119" s="1152" t="s">
        <v>1336</v>
      </c>
      <c r="B119" s="1153"/>
      <c r="C119" s="677"/>
      <c r="D119" s="897">
        <f t="shared" si="0"/>
        <v>108953.126</v>
      </c>
      <c r="E119" s="899">
        <v>108953.126</v>
      </c>
      <c r="F119" s="899"/>
      <c r="G119" s="899"/>
      <c r="H119" s="899"/>
      <c r="I119" s="1149" t="s">
        <v>658</v>
      </c>
      <c r="J119" s="678"/>
    </row>
    <row r="120" spans="1:10" s="341" customFormat="1" ht="17.149999999999999" customHeight="1">
      <c r="A120" s="1152" t="s">
        <v>1337</v>
      </c>
      <c r="B120" s="1153"/>
      <c r="C120" s="677"/>
      <c r="D120" s="897">
        <f t="shared" si="0"/>
        <v>3059.636</v>
      </c>
      <c r="E120" s="899">
        <v>3059.636</v>
      </c>
      <c r="F120" s="899"/>
      <c r="G120" s="899"/>
      <c r="H120" s="899"/>
      <c r="I120" s="1149" t="s">
        <v>658</v>
      </c>
      <c r="J120" s="678"/>
    </row>
    <row r="121" spans="1:10" s="341" customFormat="1" ht="17.149999999999999" customHeight="1">
      <c r="A121" s="1152" t="s">
        <v>1338</v>
      </c>
      <c r="B121" s="1153"/>
      <c r="C121" s="677"/>
      <c r="D121" s="897">
        <f t="shared" si="0"/>
        <v>37.417999999999999</v>
      </c>
      <c r="E121" s="899">
        <v>37.417999999999999</v>
      </c>
      <c r="F121" s="899"/>
      <c r="G121" s="899"/>
      <c r="H121" s="899"/>
      <c r="I121" s="1149" t="s">
        <v>658</v>
      </c>
      <c r="J121" s="678"/>
    </row>
    <row r="122" spans="1:10" s="341" customFormat="1" ht="17.149999999999999" customHeight="1">
      <c r="A122" s="1152" t="s">
        <v>1339</v>
      </c>
      <c r="B122" s="1153"/>
      <c r="C122" s="677"/>
      <c r="D122" s="897">
        <f t="shared" si="0"/>
        <v>4701.3379999999997</v>
      </c>
      <c r="E122" s="899">
        <v>4701.3379999999997</v>
      </c>
      <c r="F122" s="899"/>
      <c r="G122" s="899"/>
      <c r="H122" s="899"/>
      <c r="I122" s="1149" t="s">
        <v>658</v>
      </c>
      <c r="J122" s="678"/>
    </row>
    <row r="123" spans="1:10" s="341" customFormat="1" ht="17.149999999999999" customHeight="1">
      <c r="A123" s="1152" t="s">
        <v>1340</v>
      </c>
      <c r="B123" s="1153"/>
      <c r="C123" s="677"/>
      <c r="D123" s="897">
        <f t="shared" si="0"/>
        <v>95127.547000000006</v>
      </c>
      <c r="E123" s="899">
        <v>95127.547000000006</v>
      </c>
      <c r="F123" s="899"/>
      <c r="G123" s="899"/>
      <c r="H123" s="899"/>
      <c r="I123" s="1149" t="s">
        <v>658</v>
      </c>
      <c r="J123" s="678"/>
    </row>
    <row r="124" spans="1:10" s="341" customFormat="1" ht="17.149999999999999" customHeight="1">
      <c r="A124" s="1152" t="s">
        <v>1341</v>
      </c>
      <c r="B124" s="1153"/>
      <c r="C124" s="677"/>
      <c r="D124" s="897">
        <f t="shared" si="0"/>
        <v>2755.9690000000001</v>
      </c>
      <c r="E124" s="899">
        <v>2755.9690000000001</v>
      </c>
      <c r="F124" s="899"/>
      <c r="G124" s="899"/>
      <c r="H124" s="899"/>
      <c r="I124" s="1149" t="s">
        <v>658</v>
      </c>
      <c r="J124" s="678"/>
    </row>
    <row r="125" spans="1:10" s="341" customFormat="1" ht="17.149999999999999" customHeight="1">
      <c r="A125" s="1152" t="s">
        <v>1063</v>
      </c>
      <c r="B125" s="1153"/>
      <c r="C125" s="677"/>
      <c r="D125" s="897">
        <f t="shared" si="0"/>
        <v>0</v>
      </c>
      <c r="E125" s="899"/>
      <c r="F125" s="899"/>
      <c r="G125" s="899"/>
      <c r="H125" s="899"/>
      <c r="I125" s="1149" t="s">
        <v>658</v>
      </c>
      <c r="J125" s="678"/>
    </row>
    <row r="126" spans="1:10" s="341" customFormat="1" ht="17.149999999999999" customHeight="1">
      <c r="A126" s="1152" t="s">
        <v>899</v>
      </c>
      <c r="B126" s="1153"/>
      <c r="C126" s="677"/>
      <c r="D126" s="897">
        <f t="shared" si="0"/>
        <v>0</v>
      </c>
      <c r="E126" s="899"/>
      <c r="F126" s="899"/>
      <c r="G126" s="899"/>
      <c r="H126" s="899"/>
      <c r="I126" s="1149" t="s">
        <v>658</v>
      </c>
      <c r="J126" s="678"/>
    </row>
    <row r="127" spans="1:10" s="341" customFormat="1" ht="17.149999999999999" customHeight="1">
      <c r="A127" s="1152" t="s">
        <v>900</v>
      </c>
      <c r="B127" s="1153"/>
      <c r="C127" s="677"/>
      <c r="D127" s="897">
        <f t="shared" si="0"/>
        <v>0</v>
      </c>
      <c r="E127" s="899"/>
      <c r="F127" s="899"/>
      <c r="G127" s="899"/>
      <c r="H127" s="899"/>
      <c r="I127" s="1149" t="s">
        <v>658</v>
      </c>
      <c r="J127" s="678"/>
    </row>
    <row r="128" spans="1:10" s="341" customFormat="1" ht="17.149999999999999" customHeight="1">
      <c r="A128" s="1152" t="s">
        <v>901</v>
      </c>
      <c r="B128" s="1153"/>
      <c r="C128" s="677"/>
      <c r="D128" s="897">
        <f t="shared" si="0"/>
        <v>0</v>
      </c>
      <c r="E128" s="899"/>
      <c r="F128" s="899"/>
      <c r="G128" s="899"/>
      <c r="H128" s="899"/>
      <c r="I128" s="1149" t="s">
        <v>658</v>
      </c>
      <c r="J128" s="678"/>
    </row>
    <row r="129" spans="1:10" s="341" customFormat="1" ht="17.149999999999999" customHeight="1">
      <c r="A129" s="1152" t="s">
        <v>794</v>
      </c>
      <c r="B129" s="1153"/>
      <c r="C129" s="677"/>
      <c r="D129" s="897">
        <f t="shared" si="0"/>
        <v>0</v>
      </c>
      <c r="E129" s="899"/>
      <c r="F129" s="899"/>
      <c r="G129" s="899"/>
      <c r="H129" s="899"/>
      <c r="I129" s="1149" t="s">
        <v>658</v>
      </c>
      <c r="J129" s="678"/>
    </row>
    <row r="130" spans="1:10" s="341" customFormat="1" ht="17.149999999999999" customHeight="1">
      <c r="A130" s="1152" t="s">
        <v>793</v>
      </c>
      <c r="B130" s="1153"/>
      <c r="C130" s="677"/>
      <c r="D130" s="897">
        <f t="shared" ref="D130:D203" si="1">SUM(E130:H130)</f>
        <v>0</v>
      </c>
      <c r="E130" s="899"/>
      <c r="F130" s="899"/>
      <c r="G130" s="899"/>
      <c r="H130" s="899"/>
      <c r="I130" s="1149" t="s">
        <v>658</v>
      </c>
      <c r="J130" s="678"/>
    </row>
    <row r="131" spans="1:10" s="341" customFormat="1" ht="17.149999999999999" customHeight="1">
      <c r="A131" s="1152" t="s">
        <v>795</v>
      </c>
      <c r="B131" s="1153"/>
      <c r="C131" s="677"/>
      <c r="D131" s="897">
        <f t="shared" si="1"/>
        <v>0</v>
      </c>
      <c r="E131" s="899"/>
      <c r="F131" s="899"/>
      <c r="G131" s="899"/>
      <c r="H131" s="899"/>
      <c r="I131" s="1149" t="s">
        <v>658</v>
      </c>
      <c r="J131" s="678"/>
    </row>
    <row r="132" spans="1:10" s="341" customFormat="1" ht="17.149999999999999" customHeight="1">
      <c r="A132" s="1152" t="s">
        <v>562</v>
      </c>
      <c r="B132" s="1153"/>
      <c r="C132" s="677"/>
      <c r="D132" s="897">
        <f t="shared" si="1"/>
        <v>0</v>
      </c>
      <c r="E132" s="899"/>
      <c r="F132" s="899"/>
      <c r="G132" s="899"/>
      <c r="H132" s="899"/>
      <c r="I132" s="1149" t="s">
        <v>658</v>
      </c>
      <c r="J132" s="678"/>
    </row>
    <row r="133" spans="1:10" s="341" customFormat="1" ht="17.149999999999999" customHeight="1">
      <c r="A133" s="1152" t="s">
        <v>563</v>
      </c>
      <c r="B133" s="1153"/>
      <c r="C133" s="677"/>
      <c r="D133" s="897">
        <f t="shared" si="1"/>
        <v>0</v>
      </c>
      <c r="E133" s="899"/>
      <c r="F133" s="899"/>
      <c r="G133" s="899"/>
      <c r="H133" s="899"/>
      <c r="I133" s="1149" t="s">
        <v>658</v>
      </c>
      <c r="J133" s="678"/>
    </row>
    <row r="134" spans="1:10" s="341" customFormat="1" ht="17.149999999999999" customHeight="1">
      <c r="A134" s="1152" t="s">
        <v>730</v>
      </c>
      <c r="B134" s="1153"/>
      <c r="C134" s="677"/>
      <c r="D134" s="897">
        <f t="shared" si="1"/>
        <v>0</v>
      </c>
      <c r="E134" s="899"/>
      <c r="F134" s="899"/>
      <c r="G134" s="899"/>
      <c r="H134" s="899"/>
      <c r="I134" s="1149" t="s">
        <v>658</v>
      </c>
      <c r="J134" s="678"/>
    </row>
    <row r="135" spans="1:10" s="341" customFormat="1" ht="17.149999999999999" customHeight="1">
      <c r="A135" s="1152" t="s">
        <v>766</v>
      </c>
      <c r="B135" s="1153"/>
      <c r="C135" s="677"/>
      <c r="D135" s="897">
        <f t="shared" si="1"/>
        <v>4478.5950000000003</v>
      </c>
      <c r="E135" s="899">
        <v>4478.5950000000003</v>
      </c>
      <c r="F135" s="899"/>
      <c r="G135" s="899"/>
      <c r="H135" s="899"/>
      <c r="I135" s="1149" t="s">
        <v>658</v>
      </c>
      <c r="J135" s="678"/>
    </row>
    <row r="136" spans="1:10" s="896" customFormat="1" ht="17.149999999999999" customHeight="1">
      <c r="A136" s="1152" t="s">
        <v>1623</v>
      </c>
      <c r="B136" s="1153"/>
      <c r="C136" s="677"/>
      <c r="D136" s="897">
        <f t="shared" si="1"/>
        <v>9.7859999999999996</v>
      </c>
      <c r="E136" s="899">
        <v>9.7859999999999996</v>
      </c>
      <c r="F136" s="899"/>
      <c r="G136" s="899"/>
      <c r="H136" s="899"/>
      <c r="I136" s="1149" t="s">
        <v>658</v>
      </c>
      <c r="J136" s="898"/>
    </row>
    <row r="137" spans="1:10" s="341" customFormat="1" ht="17.149999999999999" customHeight="1">
      <c r="A137" s="1152" t="s">
        <v>1064</v>
      </c>
      <c r="B137" s="1153"/>
      <c r="C137" s="677"/>
      <c r="D137" s="897">
        <f t="shared" si="1"/>
        <v>0.31</v>
      </c>
      <c r="E137" s="899">
        <v>0.31</v>
      </c>
      <c r="F137" s="899"/>
      <c r="G137" s="899"/>
      <c r="H137" s="899"/>
      <c r="I137" s="1149" t="s">
        <v>658</v>
      </c>
      <c r="J137" s="678"/>
    </row>
    <row r="138" spans="1:10" s="341" customFormat="1" ht="17.149999999999999" customHeight="1">
      <c r="A138" s="1152" t="s">
        <v>912</v>
      </c>
      <c r="B138" s="1153"/>
      <c r="C138" s="677"/>
      <c r="D138" s="897">
        <f t="shared" si="1"/>
        <v>36.997999999999998</v>
      </c>
      <c r="E138" s="899">
        <v>36.997999999999998</v>
      </c>
      <c r="F138" s="899"/>
      <c r="G138" s="899"/>
      <c r="H138" s="899"/>
      <c r="I138" s="1149" t="s">
        <v>658</v>
      </c>
      <c r="J138" s="678"/>
    </row>
    <row r="139" spans="1:10" s="341" customFormat="1" ht="17.149999999999999" customHeight="1">
      <c r="A139" s="1152" t="s">
        <v>764</v>
      </c>
      <c r="B139" s="1153"/>
      <c r="C139" s="677"/>
      <c r="D139" s="897">
        <f t="shared" si="1"/>
        <v>763.15899999999999</v>
      </c>
      <c r="E139" s="899">
        <v>763.15899999999999</v>
      </c>
      <c r="F139" s="899"/>
      <c r="G139" s="899"/>
      <c r="H139" s="899"/>
      <c r="I139" s="1149" t="s">
        <v>658</v>
      </c>
      <c r="J139" s="678"/>
    </row>
    <row r="140" spans="1:10" s="341" customFormat="1" ht="17.149999999999999" customHeight="1">
      <c r="A140" s="1152" t="s">
        <v>913</v>
      </c>
      <c r="B140" s="1153"/>
      <c r="C140" s="677"/>
      <c r="D140" s="897">
        <f t="shared" si="1"/>
        <v>22.91</v>
      </c>
      <c r="E140" s="899">
        <v>22.91</v>
      </c>
      <c r="F140" s="899"/>
      <c r="G140" s="899"/>
      <c r="H140" s="899"/>
      <c r="I140" s="1149" t="s">
        <v>658</v>
      </c>
      <c r="J140" s="678"/>
    </row>
    <row r="141" spans="1:10" s="341" customFormat="1" ht="17.149999999999999" customHeight="1">
      <c r="A141" s="1152" t="s">
        <v>1065</v>
      </c>
      <c r="B141" s="1153"/>
      <c r="C141" s="677"/>
      <c r="D141" s="897">
        <f t="shared" si="1"/>
        <v>0.2</v>
      </c>
      <c r="E141" s="899">
        <v>0.2</v>
      </c>
      <c r="F141" s="899"/>
      <c r="G141" s="899"/>
      <c r="H141" s="899"/>
      <c r="I141" s="1149" t="s">
        <v>658</v>
      </c>
      <c r="J141" s="678"/>
    </row>
    <row r="142" spans="1:10" s="341" customFormat="1" ht="17.149999999999999" customHeight="1">
      <c r="A142" s="1152" t="s">
        <v>914</v>
      </c>
      <c r="B142" s="1153"/>
      <c r="C142" s="677"/>
      <c r="D142" s="897">
        <f t="shared" si="1"/>
        <v>23.574000000000002</v>
      </c>
      <c r="E142" s="899">
        <v>23.574000000000002</v>
      </c>
      <c r="F142" s="899"/>
      <c r="G142" s="899"/>
      <c r="H142" s="899"/>
      <c r="I142" s="1149" t="s">
        <v>658</v>
      </c>
      <c r="J142" s="678"/>
    </row>
    <row r="143" spans="1:10" s="341" customFormat="1" ht="17.149999999999999" customHeight="1">
      <c r="A143" s="1152" t="s">
        <v>761</v>
      </c>
      <c r="B143" s="1153"/>
      <c r="C143" s="677"/>
      <c r="D143" s="897">
        <f t="shared" si="1"/>
        <v>486.31900000000002</v>
      </c>
      <c r="E143" s="899">
        <v>486.31900000000002</v>
      </c>
      <c r="F143" s="899"/>
      <c r="G143" s="899"/>
      <c r="H143" s="899"/>
      <c r="I143" s="1149" t="s">
        <v>658</v>
      </c>
      <c r="J143" s="678"/>
    </row>
    <row r="144" spans="1:10" s="341" customFormat="1" ht="17.149999999999999" customHeight="1">
      <c r="A144" s="1152" t="s">
        <v>915</v>
      </c>
      <c r="B144" s="1153"/>
      <c r="C144" s="677"/>
      <c r="D144" s="897">
        <f t="shared" si="1"/>
        <v>14.601000000000001</v>
      </c>
      <c r="E144" s="899">
        <v>14.601000000000001</v>
      </c>
      <c r="F144" s="899"/>
      <c r="G144" s="899"/>
      <c r="H144" s="899"/>
      <c r="I144" s="1149" t="s">
        <v>658</v>
      </c>
      <c r="J144" s="678"/>
    </row>
    <row r="145" spans="1:10" s="341" customFormat="1" ht="17.149999999999999" customHeight="1">
      <c r="A145" s="1152" t="s">
        <v>765</v>
      </c>
      <c r="B145" s="1153"/>
      <c r="C145" s="677"/>
      <c r="D145" s="897">
        <f t="shared" si="1"/>
        <v>2853.942</v>
      </c>
      <c r="E145" s="899">
        <v>2853.942</v>
      </c>
      <c r="F145" s="899"/>
      <c r="G145" s="899"/>
      <c r="H145" s="899"/>
      <c r="I145" s="1149" t="s">
        <v>658</v>
      </c>
      <c r="J145" s="678"/>
    </row>
    <row r="146" spans="1:10" s="896" customFormat="1" ht="17.149999999999999" customHeight="1">
      <c r="A146" s="1152" t="s">
        <v>1624</v>
      </c>
      <c r="B146" s="1153"/>
      <c r="C146" s="677"/>
      <c r="D146" s="897">
        <f t="shared" si="1"/>
        <v>6.234</v>
      </c>
      <c r="E146" s="899">
        <v>6.234</v>
      </c>
      <c r="F146" s="899"/>
      <c r="G146" s="899"/>
      <c r="H146" s="899"/>
      <c r="I146" s="1149" t="s">
        <v>658</v>
      </c>
      <c r="J146" s="898"/>
    </row>
    <row r="147" spans="1:10" s="341" customFormat="1" ht="17.149999999999999" customHeight="1">
      <c r="A147" s="1152" t="s">
        <v>917</v>
      </c>
      <c r="B147" s="1153"/>
      <c r="C147" s="677"/>
      <c r="D147" s="897">
        <f t="shared" si="1"/>
        <v>0</v>
      </c>
      <c r="E147" s="899"/>
      <c r="F147" s="899"/>
      <c r="G147" s="899"/>
      <c r="H147" s="899"/>
      <c r="I147" s="1149" t="s">
        <v>658</v>
      </c>
      <c r="J147" s="678"/>
    </row>
    <row r="148" spans="1:10" s="341" customFormat="1" ht="17.149999999999999" customHeight="1">
      <c r="A148" s="1152" t="s">
        <v>739</v>
      </c>
      <c r="B148" s="1153"/>
      <c r="C148" s="677"/>
      <c r="D148" s="897">
        <f t="shared" si="1"/>
        <v>0</v>
      </c>
      <c r="E148" s="899">
        <v>0</v>
      </c>
      <c r="F148" s="899"/>
      <c r="G148" s="899"/>
      <c r="H148" s="899"/>
      <c r="I148" s="1149" t="s">
        <v>658</v>
      </c>
      <c r="J148" s="678"/>
    </row>
    <row r="149" spans="1:10" s="341" customFormat="1" ht="17.149999999999999" customHeight="1">
      <c r="A149" s="1152" t="s">
        <v>1197</v>
      </c>
      <c r="B149" s="1153"/>
      <c r="C149" s="677"/>
      <c r="D149" s="897">
        <f t="shared" si="1"/>
        <v>-1E-3</v>
      </c>
      <c r="E149" s="899">
        <v>-1E-3</v>
      </c>
      <c r="F149" s="899"/>
      <c r="G149" s="899"/>
      <c r="H149" s="899"/>
      <c r="I149" s="1149" t="s">
        <v>658</v>
      </c>
      <c r="J149" s="678"/>
    </row>
    <row r="150" spans="1:10" s="341" customFormat="1" ht="17.149999999999999" customHeight="1">
      <c r="A150" s="1152" t="s">
        <v>1401</v>
      </c>
      <c r="B150" s="1153"/>
      <c r="C150" s="677"/>
      <c r="D150" s="897">
        <f t="shared" si="1"/>
        <v>1639.5740000000001</v>
      </c>
      <c r="E150" s="899">
        <v>1639.5740000000001</v>
      </c>
      <c r="F150" s="899"/>
      <c r="G150" s="899"/>
      <c r="H150" s="899"/>
      <c r="I150" s="1149" t="s">
        <v>658</v>
      </c>
      <c r="J150" s="678"/>
    </row>
    <row r="151" spans="1:10" s="341" customFormat="1" ht="17.149999999999999" customHeight="1">
      <c r="A151" s="1152" t="s">
        <v>1402</v>
      </c>
      <c r="B151" s="1153"/>
      <c r="C151" s="677"/>
      <c r="D151" s="897">
        <f t="shared" si="1"/>
        <v>17190.295999999998</v>
      </c>
      <c r="E151" s="899">
        <v>17190.295999999998</v>
      </c>
      <c r="F151" s="899"/>
      <c r="G151" s="899"/>
      <c r="H151" s="899"/>
      <c r="I151" s="1149" t="s">
        <v>658</v>
      </c>
      <c r="J151" s="678"/>
    </row>
    <row r="152" spans="1:10" s="341" customFormat="1" ht="17.149999999999999" customHeight="1">
      <c r="A152" s="1152" t="s">
        <v>1097</v>
      </c>
      <c r="B152" s="1153"/>
      <c r="C152" s="677"/>
      <c r="D152" s="897">
        <f t="shared" si="1"/>
        <v>0</v>
      </c>
      <c r="E152" s="899">
        <v>0</v>
      </c>
      <c r="F152" s="899"/>
      <c r="G152" s="899"/>
      <c r="H152" s="899"/>
      <c r="I152" s="1149" t="s">
        <v>658</v>
      </c>
      <c r="J152" s="678"/>
    </row>
    <row r="153" spans="1:10" s="341" customFormat="1" ht="17.149999999999999" customHeight="1">
      <c r="A153" s="1152" t="s">
        <v>1066</v>
      </c>
      <c r="B153" s="1153"/>
      <c r="C153" s="677"/>
      <c r="D153" s="897">
        <f t="shared" si="1"/>
        <v>0</v>
      </c>
      <c r="E153" s="899"/>
      <c r="F153" s="899"/>
      <c r="G153" s="899"/>
      <c r="H153" s="899"/>
      <c r="I153" s="1149" t="s">
        <v>658</v>
      </c>
      <c r="J153" s="678"/>
    </row>
    <row r="154" spans="1:10" s="341" customFormat="1" ht="17.149999999999999" customHeight="1">
      <c r="A154" s="1152" t="s">
        <v>1147</v>
      </c>
      <c r="B154" s="1153"/>
      <c r="C154" s="677"/>
      <c r="D154" s="897">
        <f t="shared" si="1"/>
        <v>-1E-3</v>
      </c>
      <c r="E154" s="899">
        <v>-1E-3</v>
      </c>
      <c r="F154" s="899"/>
      <c r="G154" s="899"/>
      <c r="H154" s="899"/>
      <c r="I154" s="1149" t="s">
        <v>658</v>
      </c>
      <c r="J154" s="678"/>
    </row>
    <row r="155" spans="1:10" s="341" customFormat="1" ht="17.149999999999999" customHeight="1">
      <c r="A155" s="1152" t="s">
        <v>1098</v>
      </c>
      <c r="B155" s="1153"/>
      <c r="C155" s="677"/>
      <c r="D155" s="897">
        <f t="shared" si="1"/>
        <v>-1E-3</v>
      </c>
      <c r="E155" s="899">
        <v>-1E-3</v>
      </c>
      <c r="F155" s="899"/>
      <c r="G155" s="899"/>
      <c r="H155" s="899"/>
      <c r="I155" s="1149" t="s">
        <v>658</v>
      </c>
      <c r="J155" s="678"/>
    </row>
    <row r="156" spans="1:10" s="341" customFormat="1" ht="17.149999999999999" customHeight="1">
      <c r="A156" s="1152" t="s">
        <v>1067</v>
      </c>
      <c r="B156" s="1153"/>
      <c r="C156" s="677"/>
      <c r="D156" s="897">
        <f t="shared" si="1"/>
        <v>0</v>
      </c>
      <c r="E156" s="899"/>
      <c r="F156" s="899"/>
      <c r="G156" s="899"/>
      <c r="H156" s="899"/>
      <c r="I156" s="1149" t="s">
        <v>658</v>
      </c>
      <c r="J156" s="678"/>
    </row>
    <row r="157" spans="1:10" s="341" customFormat="1" ht="17.149999999999999" customHeight="1">
      <c r="A157" s="1152" t="s">
        <v>1416</v>
      </c>
      <c r="B157" s="1153"/>
      <c r="C157" s="677"/>
      <c r="D157" s="897">
        <f t="shared" si="1"/>
        <v>0</v>
      </c>
      <c r="E157" s="899"/>
      <c r="F157" s="899"/>
      <c r="G157" s="899"/>
      <c r="H157" s="899"/>
      <c r="I157" s="1149" t="s">
        <v>4</v>
      </c>
      <c r="J157" s="678"/>
    </row>
    <row r="158" spans="1:10" s="896" customFormat="1" ht="17.149999999999999" customHeight="1">
      <c r="A158" s="1152" t="s">
        <v>1483</v>
      </c>
      <c r="B158" s="1153"/>
      <c r="C158" s="677"/>
      <c r="D158" s="897">
        <f t="shared" si="1"/>
        <v>1084.376</v>
      </c>
      <c r="E158" s="899">
        <v>1084.376</v>
      </c>
      <c r="F158" s="899"/>
      <c r="G158" s="899"/>
      <c r="H158" s="899"/>
      <c r="I158" s="1149" t="s">
        <v>4</v>
      </c>
      <c r="J158" s="898"/>
    </row>
    <row r="159" spans="1:10" s="896" customFormat="1" ht="17.149999999999999" customHeight="1">
      <c r="A159" s="1152" t="s">
        <v>1484</v>
      </c>
      <c r="B159" s="1153"/>
      <c r="C159" s="677"/>
      <c r="D159" s="897">
        <f t="shared" si="1"/>
        <v>78.617999999999995</v>
      </c>
      <c r="E159" s="899">
        <v>78.617999999999995</v>
      </c>
      <c r="F159" s="899"/>
      <c r="G159" s="899"/>
      <c r="H159" s="899"/>
      <c r="I159" s="1149" t="s">
        <v>4</v>
      </c>
      <c r="J159" s="898"/>
    </row>
    <row r="160" spans="1:10" s="896" customFormat="1" ht="17.149999999999999" customHeight="1">
      <c r="A160" s="1152" t="s">
        <v>1485</v>
      </c>
      <c r="B160" s="1153"/>
      <c r="C160" s="677"/>
      <c r="D160" s="897">
        <f t="shared" si="1"/>
        <v>442.428</v>
      </c>
      <c r="E160" s="899">
        <v>442.428</v>
      </c>
      <c r="F160" s="899"/>
      <c r="G160" s="899"/>
      <c r="H160" s="899"/>
      <c r="I160" s="1149" t="s">
        <v>4</v>
      </c>
      <c r="J160" s="898"/>
    </row>
    <row r="161" spans="1:10" s="896" customFormat="1" ht="17.149999999999999" customHeight="1">
      <c r="A161" s="1152" t="s">
        <v>1486</v>
      </c>
      <c r="B161" s="1153"/>
      <c r="C161" s="677"/>
      <c r="D161" s="897">
        <f t="shared" si="1"/>
        <v>34982.222999999998</v>
      </c>
      <c r="E161" s="899">
        <v>34982.222999999998</v>
      </c>
      <c r="F161" s="899"/>
      <c r="G161" s="899"/>
      <c r="H161" s="899"/>
      <c r="I161" s="1149" t="s">
        <v>4</v>
      </c>
      <c r="J161" s="898"/>
    </row>
    <row r="162" spans="1:10" s="896" customFormat="1" ht="17.149999999999999" customHeight="1">
      <c r="A162" s="1152" t="s">
        <v>1487</v>
      </c>
      <c r="B162" s="1153"/>
      <c r="C162" s="677"/>
      <c r="D162" s="897">
        <f t="shared" si="1"/>
        <v>89.186999999999998</v>
      </c>
      <c r="E162" s="899">
        <v>0</v>
      </c>
      <c r="F162" s="899">
        <v>89.186999999999998</v>
      </c>
      <c r="G162" s="899"/>
      <c r="H162" s="899"/>
      <c r="I162" s="1149" t="s">
        <v>4</v>
      </c>
      <c r="J162" s="898"/>
    </row>
    <row r="163" spans="1:10" s="341" customFormat="1" ht="17.149999999999999" customHeight="1">
      <c r="A163" s="1152" t="s">
        <v>1342</v>
      </c>
      <c r="B163" s="1153"/>
      <c r="C163" s="677"/>
      <c r="D163" s="897">
        <f t="shared" si="1"/>
        <v>135734.01199999999</v>
      </c>
      <c r="E163" s="899">
        <v>135734.01199999999</v>
      </c>
      <c r="F163" s="899"/>
      <c r="G163" s="899"/>
      <c r="H163" s="899"/>
      <c r="I163" s="1149" t="s">
        <v>4</v>
      </c>
      <c r="J163" s="678"/>
    </row>
    <row r="164" spans="1:10" s="341" customFormat="1" ht="17.149999999999999" customHeight="1">
      <c r="A164" s="1152" t="s">
        <v>1343</v>
      </c>
      <c r="B164" s="1153"/>
      <c r="C164" s="677"/>
      <c r="D164" s="897">
        <f t="shared" si="1"/>
        <v>192188.095</v>
      </c>
      <c r="E164" s="899">
        <v>192188.095</v>
      </c>
      <c r="F164" s="899"/>
      <c r="G164" s="899"/>
      <c r="H164" s="899"/>
      <c r="I164" s="1149" t="s">
        <v>4</v>
      </c>
      <c r="J164" s="678"/>
    </row>
    <row r="165" spans="1:10" s="341" customFormat="1" ht="17.149999999999999" customHeight="1">
      <c r="A165" s="1152" t="s">
        <v>1344</v>
      </c>
      <c r="B165" s="1153"/>
      <c r="C165" s="677"/>
      <c r="D165" s="897">
        <f t="shared" si="1"/>
        <v>18074.837950000001</v>
      </c>
      <c r="E165" s="899">
        <v>18074.837950000001</v>
      </c>
      <c r="F165" s="899"/>
      <c r="G165" s="899"/>
      <c r="H165" s="899"/>
      <c r="I165" s="1149" t="s">
        <v>658</v>
      </c>
      <c r="J165" s="678"/>
    </row>
    <row r="166" spans="1:10" s="341" customFormat="1" ht="17.149999999999999" customHeight="1">
      <c r="A166" s="1152" t="s">
        <v>1345</v>
      </c>
      <c r="B166" s="1153"/>
      <c r="C166" s="677"/>
      <c r="D166" s="897">
        <f t="shared" si="1"/>
        <v>163130.04889999999</v>
      </c>
      <c r="E166" s="899">
        <v>163130.04889999999</v>
      </c>
      <c r="F166" s="899"/>
      <c r="G166" s="899"/>
      <c r="H166" s="899"/>
      <c r="I166" s="1149" t="s">
        <v>658</v>
      </c>
      <c r="J166" s="678"/>
    </row>
    <row r="167" spans="1:10" s="341" customFormat="1" ht="17.149999999999999" customHeight="1">
      <c r="A167" s="1152" t="s">
        <v>763</v>
      </c>
      <c r="B167" s="1153"/>
      <c r="C167" s="677"/>
      <c r="D167" s="897">
        <f t="shared" si="1"/>
        <v>0</v>
      </c>
      <c r="E167" s="899"/>
      <c r="F167" s="899"/>
      <c r="G167" s="899"/>
      <c r="H167" s="899"/>
      <c r="I167" s="1149" t="s">
        <v>658</v>
      </c>
      <c r="J167" s="678"/>
    </row>
    <row r="168" spans="1:10" s="341" customFormat="1" ht="17.149999999999999" customHeight="1">
      <c r="A168" s="1152" t="s">
        <v>1346</v>
      </c>
      <c r="B168" s="1153"/>
      <c r="C168" s="677"/>
      <c r="D168" s="897">
        <f t="shared" si="1"/>
        <v>1424.83038476348</v>
      </c>
      <c r="E168" s="899">
        <v>1424.83038476348</v>
      </c>
      <c r="F168" s="899"/>
      <c r="G168" s="899"/>
      <c r="H168" s="899"/>
      <c r="I168" s="1149" t="s">
        <v>658</v>
      </c>
      <c r="J168" s="678"/>
    </row>
    <row r="169" spans="1:10" s="896" customFormat="1" ht="17.149999999999999" customHeight="1">
      <c r="A169" s="1152" t="s">
        <v>1488</v>
      </c>
      <c r="B169" s="1153"/>
      <c r="C169" s="677"/>
      <c r="D169" s="897">
        <f t="shared" si="1"/>
        <v>854.95541855347506</v>
      </c>
      <c r="E169" s="899">
        <v>854.95541855347506</v>
      </c>
      <c r="F169" s="899"/>
      <c r="G169" s="899"/>
      <c r="H169" s="899"/>
      <c r="I169" s="1149" t="s">
        <v>658</v>
      </c>
      <c r="J169" s="898"/>
    </row>
    <row r="170" spans="1:10" s="341" customFormat="1" ht="17.149999999999999" customHeight="1">
      <c r="A170" s="1152" t="s">
        <v>1347</v>
      </c>
      <c r="B170" s="1153"/>
      <c r="C170" s="677"/>
      <c r="D170" s="897">
        <f t="shared" si="1"/>
        <v>0</v>
      </c>
      <c r="E170" s="899">
        <v>0</v>
      </c>
      <c r="F170" s="899"/>
      <c r="G170" s="899"/>
      <c r="H170" s="899"/>
      <c r="I170" s="1149" t="s">
        <v>658</v>
      </c>
      <c r="J170" s="678"/>
    </row>
    <row r="171" spans="1:10" s="341" customFormat="1" ht="17.149999999999999" customHeight="1">
      <c r="A171" s="1152" t="s">
        <v>1099</v>
      </c>
      <c r="B171" s="1153"/>
      <c r="C171" s="677"/>
      <c r="D171" s="897">
        <f t="shared" si="1"/>
        <v>0</v>
      </c>
      <c r="E171" s="899"/>
      <c r="F171" s="899"/>
      <c r="G171" s="899"/>
      <c r="H171" s="899"/>
      <c r="I171" s="1149" t="s">
        <v>658</v>
      </c>
      <c r="J171" s="678"/>
    </row>
    <row r="172" spans="1:10" s="341" customFormat="1" ht="34" customHeight="1">
      <c r="A172" s="1152" t="s">
        <v>548</v>
      </c>
      <c r="B172" s="1153"/>
      <c r="C172" s="677"/>
      <c r="D172" s="897">
        <f t="shared" si="1"/>
        <v>0</v>
      </c>
      <c r="E172" s="899"/>
      <c r="F172" s="899"/>
      <c r="G172" s="899">
        <v>0</v>
      </c>
      <c r="H172" s="899"/>
      <c r="I172" s="1149" t="s">
        <v>34</v>
      </c>
      <c r="J172" s="678"/>
    </row>
    <row r="173" spans="1:10" s="341" customFormat="1" ht="34" customHeight="1">
      <c r="A173" s="1152" t="s">
        <v>564</v>
      </c>
      <c r="B173" s="1153"/>
      <c r="C173" s="677"/>
      <c r="D173" s="897">
        <f t="shared" si="1"/>
        <v>0</v>
      </c>
      <c r="E173" s="899"/>
      <c r="F173" s="899"/>
      <c r="G173" s="899">
        <v>0</v>
      </c>
      <c r="H173" s="899"/>
      <c r="I173" s="1149" t="s">
        <v>18</v>
      </c>
      <c r="J173" s="678"/>
    </row>
    <row r="174" spans="1:10" s="341" customFormat="1" ht="17.149999999999999" customHeight="1">
      <c r="A174" s="1152" t="s">
        <v>1100</v>
      </c>
      <c r="B174" s="1153"/>
      <c r="C174" s="677"/>
      <c r="D174" s="897">
        <f t="shared" si="1"/>
        <v>152.77199999999999</v>
      </c>
      <c r="E174" s="899">
        <v>152.77199999999999</v>
      </c>
      <c r="F174" s="899"/>
      <c r="G174" s="899"/>
      <c r="H174" s="899"/>
      <c r="I174" s="1149" t="s">
        <v>658</v>
      </c>
      <c r="J174" s="678"/>
    </row>
    <row r="175" spans="1:10" s="341" customFormat="1" ht="17.149999999999999" customHeight="1">
      <c r="A175" s="1152" t="s">
        <v>1101</v>
      </c>
      <c r="B175" s="1153"/>
      <c r="C175" s="677"/>
      <c r="D175" s="897">
        <f t="shared" si="1"/>
        <v>2469.0169999999998</v>
      </c>
      <c r="E175" s="899">
        <v>2469.0169999999998</v>
      </c>
      <c r="F175" s="899"/>
      <c r="G175" s="899"/>
      <c r="H175" s="899"/>
      <c r="I175" s="1149" t="s">
        <v>658</v>
      </c>
      <c r="J175" s="678"/>
    </row>
    <row r="176" spans="1:10" s="896" customFormat="1" ht="17.149999999999999" customHeight="1">
      <c r="A176" s="1152" t="s">
        <v>1625</v>
      </c>
      <c r="B176" s="1153"/>
      <c r="C176" s="677"/>
      <c r="D176" s="897">
        <f t="shared" si="1"/>
        <v>5155.6963619999997</v>
      </c>
      <c r="E176" s="899">
        <v>5155.6963619999997</v>
      </c>
      <c r="F176" s="899"/>
      <c r="G176" s="899"/>
      <c r="H176" s="899"/>
      <c r="I176" s="1149" t="s">
        <v>658</v>
      </c>
      <c r="J176" s="898"/>
    </row>
    <row r="177" spans="1:10" s="341" customFormat="1" ht="17.149999999999999" customHeight="1">
      <c r="A177" s="1152" t="s">
        <v>1102</v>
      </c>
      <c r="B177" s="1153"/>
      <c r="C177" s="677"/>
      <c r="D177" s="897">
        <f t="shared" si="1"/>
        <v>0</v>
      </c>
      <c r="E177" s="899">
        <v>0</v>
      </c>
      <c r="F177" s="899"/>
      <c r="G177" s="899"/>
      <c r="H177" s="899"/>
      <c r="I177" s="1149" t="s">
        <v>658</v>
      </c>
      <c r="J177" s="678"/>
    </row>
    <row r="178" spans="1:10" s="341" customFormat="1" ht="17.149999999999999" customHeight="1">
      <c r="A178" s="1152" t="s">
        <v>757</v>
      </c>
      <c r="B178" s="1153"/>
      <c r="C178" s="677"/>
      <c r="D178" s="897">
        <f t="shared" si="1"/>
        <v>0</v>
      </c>
      <c r="E178" s="899"/>
      <c r="F178" s="899"/>
      <c r="G178" s="899"/>
      <c r="H178" s="899"/>
      <c r="I178" s="1149" t="s">
        <v>658</v>
      </c>
      <c r="J178" s="678"/>
    </row>
    <row r="179" spans="1:10" s="896" customFormat="1" ht="17.149999999999999" customHeight="1">
      <c r="A179" s="1152" t="s">
        <v>1489</v>
      </c>
      <c r="B179" s="1153"/>
      <c r="C179" s="677"/>
      <c r="D179" s="897">
        <f t="shared" si="1"/>
        <v>1342.23</v>
      </c>
      <c r="E179" s="899">
        <v>1342.23</v>
      </c>
      <c r="F179" s="899"/>
      <c r="G179" s="899"/>
      <c r="H179" s="899"/>
      <c r="I179" s="1149" t="s">
        <v>658</v>
      </c>
      <c r="J179" s="898"/>
    </row>
    <row r="180" spans="1:10" s="341" customFormat="1" ht="17.149999999999999" customHeight="1">
      <c r="A180" s="1152" t="s">
        <v>553</v>
      </c>
      <c r="B180" s="1153"/>
      <c r="C180" s="677"/>
      <c r="D180" s="897">
        <f t="shared" si="1"/>
        <v>122.886</v>
      </c>
      <c r="E180" s="899">
        <v>122.886</v>
      </c>
      <c r="F180" s="899"/>
      <c r="G180" s="899"/>
      <c r="H180" s="899"/>
      <c r="I180" s="1149" t="s">
        <v>886</v>
      </c>
      <c r="J180" s="678"/>
    </row>
    <row r="181" spans="1:10" s="341" customFormat="1" ht="17.149999999999999" customHeight="1">
      <c r="A181" s="1152" t="s">
        <v>770</v>
      </c>
      <c r="B181" s="1153"/>
      <c r="C181" s="677"/>
      <c r="D181" s="897">
        <f t="shared" si="1"/>
        <v>1159.636</v>
      </c>
      <c r="E181" s="899">
        <v>1159.636</v>
      </c>
      <c r="F181" s="899"/>
      <c r="G181" s="899"/>
      <c r="H181" s="899"/>
      <c r="I181" s="1149" t="s">
        <v>658</v>
      </c>
      <c r="J181" s="678"/>
    </row>
    <row r="182" spans="1:10" s="341" customFormat="1" ht="34" customHeight="1">
      <c r="A182" s="1152" t="s">
        <v>565</v>
      </c>
      <c r="B182" s="1153"/>
      <c r="C182" s="677"/>
      <c r="D182" s="897">
        <f t="shared" si="1"/>
        <v>1720.7460000000001</v>
      </c>
      <c r="E182" s="899">
        <v>1720.7460000000001</v>
      </c>
      <c r="F182" s="899"/>
      <c r="G182" s="899"/>
      <c r="H182" s="899"/>
      <c r="I182" s="1149" t="s">
        <v>264</v>
      </c>
      <c r="J182" s="678"/>
    </row>
    <row r="183" spans="1:10" s="341" customFormat="1" ht="34" customHeight="1">
      <c r="A183" s="1152" t="s">
        <v>566</v>
      </c>
      <c r="B183" s="1153"/>
      <c r="C183" s="677"/>
      <c r="D183" s="897">
        <f t="shared" si="1"/>
        <v>424.39800000000002</v>
      </c>
      <c r="E183" s="899">
        <v>424.39800000000002</v>
      </c>
      <c r="F183" s="899"/>
      <c r="G183" s="899"/>
      <c r="H183" s="899"/>
      <c r="I183" s="1149" t="s">
        <v>264</v>
      </c>
      <c r="J183" s="678"/>
    </row>
    <row r="184" spans="1:10" s="341" customFormat="1" ht="17.149999999999999" customHeight="1">
      <c r="A184" s="1152" t="s">
        <v>567</v>
      </c>
      <c r="B184" s="1153"/>
      <c r="C184" s="677"/>
      <c r="D184" s="897">
        <f t="shared" si="1"/>
        <v>7628.4080000000004</v>
      </c>
      <c r="E184" s="899">
        <v>0</v>
      </c>
      <c r="F184" s="899"/>
      <c r="G184" s="899"/>
      <c r="H184" s="899">
        <v>7628.4080000000004</v>
      </c>
      <c r="I184" s="1149" t="s">
        <v>5</v>
      </c>
      <c r="J184" s="678"/>
    </row>
    <row r="185" spans="1:10" s="341" customFormat="1" ht="17.149999999999999" customHeight="1">
      <c r="A185" s="1152" t="s">
        <v>568</v>
      </c>
      <c r="B185" s="1153"/>
      <c r="C185" s="677"/>
      <c r="D185" s="897">
        <f t="shared" si="1"/>
        <v>325.44200000000001</v>
      </c>
      <c r="E185" s="899">
        <v>325.44200000000001</v>
      </c>
      <c r="F185" s="899"/>
      <c r="G185" s="899"/>
      <c r="H185" s="899"/>
      <c r="I185" s="1149" t="s">
        <v>6</v>
      </c>
      <c r="J185" s="678"/>
    </row>
    <row r="186" spans="1:10" s="341" customFormat="1" ht="17.149999999999999" customHeight="1">
      <c r="A186" s="1152" t="s">
        <v>1198</v>
      </c>
      <c r="B186" s="1153"/>
      <c r="C186" s="677"/>
      <c r="D186" s="897">
        <f t="shared" si="1"/>
        <v>65421.777750000001</v>
      </c>
      <c r="E186" s="899">
        <v>65421.777750000001</v>
      </c>
      <c r="F186" s="899"/>
      <c r="G186" s="899"/>
      <c r="H186" s="899"/>
      <c r="I186" s="1149" t="s">
        <v>658</v>
      </c>
      <c r="J186" s="678"/>
    </row>
    <row r="187" spans="1:10" s="341" customFormat="1" ht="17.149999999999999" customHeight="1">
      <c r="A187" s="1152" t="s">
        <v>554</v>
      </c>
      <c r="B187" s="1153"/>
      <c r="C187" s="677"/>
      <c r="D187" s="897">
        <f t="shared" si="1"/>
        <v>0</v>
      </c>
      <c r="E187" s="899"/>
      <c r="F187" s="899"/>
      <c r="G187" s="899"/>
      <c r="H187" s="899"/>
      <c r="I187" s="1149" t="s">
        <v>237</v>
      </c>
      <c r="J187" s="678"/>
    </row>
    <row r="188" spans="1:10" s="896" customFormat="1" ht="17.149999999999999" customHeight="1">
      <c r="A188" s="1152" t="s">
        <v>1490</v>
      </c>
      <c r="B188" s="1153"/>
      <c r="C188" s="677"/>
      <c r="D188" s="897">
        <f t="shared" si="1"/>
        <v>0.35399999999999998</v>
      </c>
      <c r="E188" s="899">
        <v>0.35399999999999998</v>
      </c>
      <c r="F188" s="899"/>
      <c r="G188" s="899"/>
      <c r="H188" s="899"/>
      <c r="I188" s="1149" t="s">
        <v>237</v>
      </c>
      <c r="J188" s="898"/>
    </row>
    <row r="189" spans="1:10" s="896" customFormat="1" ht="17.149999999999999" customHeight="1">
      <c r="A189" s="1152" t="s">
        <v>1491</v>
      </c>
      <c r="B189" s="1153"/>
      <c r="C189" s="677"/>
      <c r="D189" s="897">
        <f t="shared" si="1"/>
        <v>2.105</v>
      </c>
      <c r="E189" s="899">
        <v>2.105</v>
      </c>
      <c r="F189" s="899"/>
      <c r="G189" s="899"/>
      <c r="H189" s="899"/>
      <c r="I189" s="1149" t="s">
        <v>237</v>
      </c>
      <c r="J189" s="898"/>
    </row>
    <row r="190" spans="1:10" s="341" customFormat="1" ht="17.149999999999999" customHeight="1">
      <c r="A190" s="1152" t="s">
        <v>760</v>
      </c>
      <c r="B190" s="1153"/>
      <c r="C190" s="677"/>
      <c r="D190" s="897">
        <f t="shared" si="1"/>
        <v>3748.739</v>
      </c>
      <c r="E190" s="899">
        <v>3748.739</v>
      </c>
      <c r="F190" s="899"/>
      <c r="G190" s="899"/>
      <c r="H190" s="899"/>
      <c r="I190" s="1149" t="s">
        <v>658</v>
      </c>
      <c r="J190" s="678"/>
    </row>
    <row r="191" spans="1:10" s="896" customFormat="1" ht="17.149999999999999" customHeight="1">
      <c r="A191" s="1152" t="s">
        <v>1492</v>
      </c>
      <c r="B191" s="1153"/>
      <c r="C191" s="679"/>
      <c r="D191" s="897">
        <f t="shared" si="1"/>
        <v>0</v>
      </c>
      <c r="E191" s="899"/>
      <c r="F191" s="899"/>
      <c r="G191" s="899"/>
      <c r="H191" s="899"/>
      <c r="I191" s="1149" t="s">
        <v>658</v>
      </c>
      <c r="J191" s="898"/>
    </row>
    <row r="192" spans="1:10" s="341" customFormat="1" ht="17.149999999999999" customHeight="1">
      <c r="A192" s="1152" t="s">
        <v>569</v>
      </c>
      <c r="B192" s="1153"/>
      <c r="C192" s="679"/>
      <c r="D192" s="897">
        <f t="shared" si="1"/>
        <v>0</v>
      </c>
      <c r="E192" s="899"/>
      <c r="F192" s="899"/>
      <c r="G192" s="899"/>
      <c r="H192" s="899">
        <v>0</v>
      </c>
      <c r="I192" s="1149" t="s">
        <v>270</v>
      </c>
      <c r="J192" s="678"/>
    </row>
    <row r="193" spans="1:10" s="341" customFormat="1" ht="17.149999999999999" customHeight="1">
      <c r="A193" s="1152" t="s">
        <v>916</v>
      </c>
      <c r="B193" s="1153"/>
      <c r="C193" s="679"/>
      <c r="D193" s="897">
        <f t="shared" si="1"/>
        <v>0</v>
      </c>
      <c r="E193" s="899"/>
      <c r="F193" s="899"/>
      <c r="G193" s="899"/>
      <c r="H193" s="899"/>
      <c r="I193" s="1149" t="s">
        <v>658</v>
      </c>
      <c r="J193" s="678"/>
    </row>
    <row r="194" spans="1:10" s="341" customFormat="1" ht="17.149999999999999" customHeight="1">
      <c r="A194" s="1152" t="s">
        <v>570</v>
      </c>
      <c r="B194" s="1153"/>
      <c r="C194" s="677"/>
      <c r="D194" s="897">
        <f t="shared" si="1"/>
        <v>0</v>
      </c>
      <c r="E194" s="899">
        <v>0</v>
      </c>
      <c r="F194" s="899"/>
      <c r="G194" s="899"/>
      <c r="H194" s="899"/>
      <c r="I194" s="1149" t="s">
        <v>270</v>
      </c>
      <c r="J194" s="678"/>
    </row>
    <row r="195" spans="1:10" s="341" customFormat="1" ht="17.149999999999999" customHeight="1">
      <c r="A195" s="1152" t="s">
        <v>571</v>
      </c>
      <c r="B195" s="1153"/>
      <c r="C195" s="677"/>
      <c r="D195" s="897">
        <f t="shared" si="1"/>
        <v>2687.7449999999999</v>
      </c>
      <c r="E195" s="899"/>
      <c r="F195" s="899"/>
      <c r="G195" s="899">
        <v>2687.7449999999999</v>
      </c>
      <c r="H195" s="899"/>
      <c r="I195" s="1149" t="s">
        <v>35</v>
      </c>
      <c r="J195" s="678"/>
    </row>
    <row r="196" spans="1:10" s="896" customFormat="1" ht="17.149999999999999" customHeight="1">
      <c r="A196" s="1152" t="s">
        <v>1493</v>
      </c>
      <c r="B196" s="1153"/>
      <c r="C196" s="677"/>
      <c r="D196" s="897">
        <f t="shared" si="1"/>
        <v>7612.0219999999999</v>
      </c>
      <c r="E196" s="899">
        <v>7612.0219999999999</v>
      </c>
      <c r="F196" s="899"/>
      <c r="G196" s="899"/>
      <c r="H196" s="899"/>
      <c r="I196" s="1149" t="s">
        <v>658</v>
      </c>
      <c r="J196" s="898"/>
    </row>
    <row r="197" spans="1:10" s="341" customFormat="1" ht="17.149999999999999" customHeight="1">
      <c r="A197" s="1152" t="s">
        <v>738</v>
      </c>
      <c r="B197" s="1153"/>
      <c r="C197" s="677"/>
      <c r="D197" s="897">
        <f t="shared" si="1"/>
        <v>0</v>
      </c>
      <c r="E197" s="899">
        <v>0</v>
      </c>
      <c r="F197" s="899"/>
      <c r="G197" s="899"/>
      <c r="H197" s="899"/>
      <c r="I197" s="1149" t="s">
        <v>658</v>
      </c>
      <c r="J197" s="678"/>
    </row>
    <row r="198" spans="1:10" s="341" customFormat="1" ht="17.149999999999999" customHeight="1">
      <c r="A198" s="1152" t="s">
        <v>740</v>
      </c>
      <c r="B198" s="1153"/>
      <c r="C198" s="677"/>
      <c r="D198" s="897">
        <f t="shared" si="1"/>
        <v>169.02600000000001</v>
      </c>
      <c r="E198" s="899">
        <v>169.02600000000001</v>
      </c>
      <c r="F198" s="899"/>
      <c r="G198" s="899"/>
      <c r="H198" s="899"/>
      <c r="I198" s="1149" t="s">
        <v>658</v>
      </c>
      <c r="J198" s="678"/>
    </row>
    <row r="199" spans="1:10" s="341" customFormat="1" ht="17.149999999999999" customHeight="1">
      <c r="A199" s="1152" t="s">
        <v>742</v>
      </c>
      <c r="B199" s="1153"/>
      <c r="C199" s="677"/>
      <c r="D199" s="897">
        <f t="shared" si="1"/>
        <v>0</v>
      </c>
      <c r="E199" s="899"/>
      <c r="F199" s="899"/>
      <c r="G199" s="899"/>
      <c r="H199" s="899"/>
      <c r="I199" s="1149" t="s">
        <v>658</v>
      </c>
      <c r="J199" s="678"/>
    </row>
    <row r="200" spans="1:10" s="341" customFormat="1" ht="17.149999999999999" customHeight="1">
      <c r="A200" s="1152" t="s">
        <v>572</v>
      </c>
      <c r="B200" s="1153"/>
      <c r="C200" s="677"/>
      <c r="D200" s="897">
        <f t="shared" si="1"/>
        <v>0</v>
      </c>
      <c r="E200" s="899"/>
      <c r="F200" s="899"/>
      <c r="G200" s="899"/>
      <c r="H200" s="899"/>
      <c r="I200" s="1149" t="s">
        <v>7</v>
      </c>
      <c r="J200" s="678"/>
    </row>
    <row r="201" spans="1:10" s="341" customFormat="1" ht="17.149999999999999" customHeight="1">
      <c r="A201" s="1152" t="s">
        <v>1103</v>
      </c>
      <c r="B201" s="1153"/>
      <c r="C201" s="677"/>
      <c r="D201" s="897">
        <f t="shared" si="1"/>
        <v>-4660.7809999999999</v>
      </c>
      <c r="E201" s="899">
        <v>-4660.7809999999999</v>
      </c>
      <c r="F201" s="899"/>
      <c r="G201" s="899"/>
      <c r="H201" s="899"/>
      <c r="I201" s="1149" t="s">
        <v>658</v>
      </c>
      <c r="J201" s="678"/>
    </row>
    <row r="202" spans="1:10" s="341" customFormat="1" ht="17.149999999999999" customHeight="1">
      <c r="A202" s="1152" t="s">
        <v>1104</v>
      </c>
      <c r="B202" s="1153"/>
      <c r="C202" s="677"/>
      <c r="D202" s="897">
        <f t="shared" si="1"/>
        <v>4662.0479999999998</v>
      </c>
      <c r="E202" s="899">
        <v>4662.0479999999998</v>
      </c>
      <c r="F202" s="899"/>
      <c r="G202" s="899"/>
      <c r="H202" s="899"/>
      <c r="I202" s="1149" t="s">
        <v>658</v>
      </c>
      <c r="J202" s="678"/>
    </row>
    <row r="203" spans="1:10" s="341" customFormat="1" ht="17.149999999999999" customHeight="1">
      <c r="A203" s="1152" t="s">
        <v>1068</v>
      </c>
      <c r="B203" s="1153"/>
      <c r="C203" s="677"/>
      <c r="D203" s="897">
        <f t="shared" si="1"/>
        <v>0</v>
      </c>
      <c r="E203" s="899"/>
      <c r="F203" s="899"/>
      <c r="G203" s="899"/>
      <c r="H203" s="899"/>
      <c r="I203" s="1149" t="s">
        <v>658</v>
      </c>
      <c r="J203" s="678"/>
    </row>
    <row r="204" spans="1:10" s="341" customFormat="1" ht="17.149999999999999" customHeight="1">
      <c r="A204" s="1152" t="s">
        <v>1069</v>
      </c>
      <c r="B204" s="1153"/>
      <c r="C204" s="677"/>
      <c r="D204" s="897">
        <f t="shared" ref="D204:D308" si="2">SUM(E204:H204)</f>
        <v>0</v>
      </c>
      <c r="E204" s="899"/>
      <c r="F204" s="899"/>
      <c r="G204" s="899"/>
      <c r="H204" s="899"/>
      <c r="I204" s="1149" t="s">
        <v>658</v>
      </c>
      <c r="J204" s="678"/>
    </row>
    <row r="205" spans="1:10" s="341" customFormat="1" ht="17.149999999999999" customHeight="1">
      <c r="A205" s="1152" t="s">
        <v>1070</v>
      </c>
      <c r="B205" s="1153"/>
      <c r="C205" s="677"/>
      <c r="D205" s="897">
        <f t="shared" si="2"/>
        <v>0</v>
      </c>
      <c r="E205" s="899"/>
      <c r="F205" s="899"/>
      <c r="G205" s="899"/>
      <c r="H205" s="899"/>
      <c r="I205" s="1149" t="s">
        <v>658</v>
      </c>
      <c r="J205" s="678"/>
    </row>
    <row r="206" spans="1:10" s="896" customFormat="1" ht="17.149999999999999" customHeight="1">
      <c r="A206" s="1152" t="s">
        <v>1455</v>
      </c>
      <c r="B206" s="1153"/>
      <c r="C206" s="677"/>
      <c r="D206" s="897">
        <f t="shared" si="2"/>
        <v>-1E-3</v>
      </c>
      <c r="E206" s="899">
        <v>-1E-3</v>
      </c>
      <c r="F206" s="899"/>
      <c r="G206" s="899"/>
      <c r="H206" s="899"/>
      <c r="I206" s="1149" t="s">
        <v>658</v>
      </c>
      <c r="J206" s="898"/>
    </row>
    <row r="207" spans="1:10" s="341" customFormat="1" ht="17.149999999999999" customHeight="1">
      <c r="A207" s="1152" t="s">
        <v>1105</v>
      </c>
      <c r="B207" s="1153"/>
      <c r="C207" s="677"/>
      <c r="D207" s="897">
        <f t="shared" si="2"/>
        <v>0</v>
      </c>
      <c r="E207" s="899">
        <v>0</v>
      </c>
      <c r="F207" s="899"/>
      <c r="G207" s="899"/>
      <c r="H207" s="899"/>
      <c r="I207" s="1149" t="s">
        <v>658</v>
      </c>
      <c r="J207" s="678"/>
    </row>
    <row r="208" spans="1:10" s="341" customFormat="1" ht="17.149999999999999" customHeight="1">
      <c r="A208" s="1152" t="s">
        <v>1106</v>
      </c>
      <c r="B208" s="1153"/>
      <c r="C208" s="677"/>
      <c r="D208" s="897">
        <f t="shared" si="2"/>
        <v>0</v>
      </c>
      <c r="E208" s="899"/>
      <c r="F208" s="899"/>
      <c r="G208" s="899"/>
      <c r="H208" s="899"/>
      <c r="I208" s="1149" t="s">
        <v>658</v>
      </c>
      <c r="J208" s="678"/>
    </row>
    <row r="209" spans="1:10" s="341" customFormat="1" ht="17.149999999999999" customHeight="1">
      <c r="A209" s="1152" t="s">
        <v>1107</v>
      </c>
      <c r="B209" s="1153"/>
      <c r="C209" s="677"/>
      <c r="D209" s="897">
        <f t="shared" si="2"/>
        <v>4.702</v>
      </c>
      <c r="E209" s="899">
        <v>4.702</v>
      </c>
      <c r="F209" s="899"/>
      <c r="G209" s="899"/>
      <c r="H209" s="899"/>
      <c r="I209" s="1149" t="s">
        <v>658</v>
      </c>
      <c r="J209" s="678"/>
    </row>
    <row r="210" spans="1:10" s="341" customFormat="1" ht="17.149999999999999" customHeight="1">
      <c r="A210" s="1152" t="s">
        <v>1108</v>
      </c>
      <c r="B210" s="1153"/>
      <c r="C210" s="677"/>
      <c r="D210" s="897">
        <f t="shared" si="2"/>
        <v>51.463000000000001</v>
      </c>
      <c r="E210" s="899">
        <v>51.463000000000001</v>
      </c>
      <c r="F210" s="899"/>
      <c r="G210" s="899"/>
      <c r="H210" s="899"/>
      <c r="I210" s="1149" t="s">
        <v>658</v>
      </c>
      <c r="J210" s="678"/>
    </row>
    <row r="211" spans="1:10" s="341" customFormat="1" ht="17.149999999999999" customHeight="1">
      <c r="A211" s="1152" t="s">
        <v>1109</v>
      </c>
      <c r="B211" s="1153"/>
      <c r="C211" s="677"/>
      <c r="D211" s="897">
        <f t="shared" si="2"/>
        <v>339.47199999999998</v>
      </c>
      <c r="E211" s="899">
        <v>339.47199999999998</v>
      </c>
      <c r="F211" s="899"/>
      <c r="G211" s="899"/>
      <c r="H211" s="899"/>
      <c r="I211" s="1149" t="s">
        <v>658</v>
      </c>
      <c r="J211" s="678"/>
    </row>
    <row r="212" spans="1:10" s="341" customFormat="1" ht="17.149999999999999" customHeight="1">
      <c r="A212" s="1152" t="s">
        <v>1110</v>
      </c>
      <c r="B212" s="1153"/>
      <c r="C212" s="677"/>
      <c r="D212" s="897">
        <f t="shared" si="2"/>
        <v>0</v>
      </c>
      <c r="E212" s="899">
        <v>0</v>
      </c>
      <c r="F212" s="899"/>
      <c r="G212" s="899"/>
      <c r="H212" s="899"/>
      <c r="I212" s="1149" t="s">
        <v>658</v>
      </c>
      <c r="J212" s="678"/>
    </row>
    <row r="213" spans="1:10" s="341" customFormat="1" ht="17.149999999999999" customHeight="1">
      <c r="A213" s="1152" t="s">
        <v>1111</v>
      </c>
      <c r="B213" s="1153"/>
      <c r="C213" s="677"/>
      <c r="D213" s="897">
        <f t="shared" si="2"/>
        <v>2019.501</v>
      </c>
      <c r="E213" s="899">
        <v>2019.501</v>
      </c>
      <c r="F213" s="899"/>
      <c r="G213" s="899"/>
      <c r="H213" s="899"/>
      <c r="I213" s="1149" t="s">
        <v>658</v>
      </c>
      <c r="J213" s="678"/>
    </row>
    <row r="214" spans="1:10" s="341" customFormat="1" ht="17.149999999999999" customHeight="1">
      <c r="A214" s="1152" t="s">
        <v>1348</v>
      </c>
      <c r="B214" s="1153"/>
      <c r="C214" s="677"/>
      <c r="D214" s="897">
        <f t="shared" si="2"/>
        <v>131.55000000000001</v>
      </c>
      <c r="E214" s="899">
        <v>131.55000000000001</v>
      </c>
      <c r="F214" s="899"/>
      <c r="G214" s="899"/>
      <c r="H214" s="899"/>
      <c r="I214" s="1149" t="s">
        <v>658</v>
      </c>
      <c r="J214" s="678"/>
    </row>
    <row r="215" spans="1:10" s="341" customFormat="1" ht="17.149999999999999" customHeight="1">
      <c r="A215" s="1152" t="s">
        <v>1403</v>
      </c>
      <c r="B215" s="1153"/>
      <c r="C215" s="677"/>
      <c r="D215" s="897">
        <f t="shared" si="2"/>
        <v>0</v>
      </c>
      <c r="E215" s="899">
        <v>0</v>
      </c>
      <c r="F215" s="899"/>
      <c r="G215" s="899"/>
      <c r="H215" s="899"/>
      <c r="I215" s="1149" t="s">
        <v>658</v>
      </c>
      <c r="J215" s="678"/>
    </row>
    <row r="216" spans="1:10" s="341" customFormat="1" ht="17.149999999999999" customHeight="1">
      <c r="A216" s="1152" t="s">
        <v>1112</v>
      </c>
      <c r="B216" s="1153"/>
      <c r="C216" s="677"/>
      <c r="D216" s="897">
        <f t="shared" si="2"/>
        <v>3.129</v>
      </c>
      <c r="E216" s="899">
        <v>3.129</v>
      </c>
      <c r="F216" s="899"/>
      <c r="G216" s="899"/>
      <c r="H216" s="899"/>
      <c r="I216" s="1149" t="s">
        <v>658</v>
      </c>
      <c r="J216" s="678"/>
    </row>
    <row r="217" spans="1:10" s="341" customFormat="1" ht="17.149999999999999" customHeight="1">
      <c r="A217" s="1152" t="s">
        <v>1113</v>
      </c>
      <c r="B217" s="1153"/>
      <c r="C217" s="677"/>
      <c r="D217" s="897">
        <f t="shared" si="2"/>
        <v>0</v>
      </c>
      <c r="E217" s="899">
        <v>0</v>
      </c>
      <c r="F217" s="899"/>
      <c r="G217" s="899"/>
      <c r="H217" s="899"/>
      <c r="I217" s="1149" t="s">
        <v>658</v>
      </c>
      <c r="J217" s="678"/>
    </row>
    <row r="218" spans="1:10" s="896" customFormat="1" ht="17.149999999999999" customHeight="1">
      <c r="A218" s="1152" t="s">
        <v>1626</v>
      </c>
      <c r="B218" s="1153"/>
      <c r="C218" s="677"/>
      <c r="D218" s="897">
        <f t="shared" si="2"/>
        <v>1245.6579999999999</v>
      </c>
      <c r="E218" s="899">
        <v>1245.6579999999999</v>
      </c>
      <c r="F218" s="899"/>
      <c r="G218" s="899"/>
      <c r="H218" s="899"/>
      <c r="I218" s="1149" t="s">
        <v>658</v>
      </c>
      <c r="J218" s="898"/>
    </row>
    <row r="219" spans="1:10" s="896" customFormat="1" ht="17.149999999999999" customHeight="1">
      <c r="A219" s="1152" t="s">
        <v>1453</v>
      </c>
      <c r="B219" s="1153"/>
      <c r="C219" s="677"/>
      <c r="D219" s="897">
        <f t="shared" si="2"/>
        <v>296.8</v>
      </c>
      <c r="E219" s="899">
        <v>296.8</v>
      </c>
      <c r="F219" s="899"/>
      <c r="G219" s="899"/>
      <c r="H219" s="899"/>
      <c r="I219" s="1149" t="s">
        <v>658</v>
      </c>
      <c r="J219" s="898"/>
    </row>
    <row r="220" spans="1:10" s="896" customFormat="1" ht="17.149999999999999" customHeight="1">
      <c r="A220" s="1152" t="s">
        <v>1454</v>
      </c>
      <c r="B220" s="1153"/>
      <c r="C220" s="677"/>
      <c r="D220" s="897">
        <f t="shared" si="2"/>
        <v>593.4</v>
      </c>
      <c r="E220" s="899">
        <v>593.4</v>
      </c>
      <c r="F220" s="899"/>
      <c r="G220" s="899"/>
      <c r="H220" s="899"/>
      <c r="I220" s="1149" t="s">
        <v>658</v>
      </c>
      <c r="J220" s="898"/>
    </row>
    <row r="221" spans="1:10" s="341" customFormat="1" ht="17.149999999999999" customHeight="1">
      <c r="A221" s="1152" t="s">
        <v>1114</v>
      </c>
      <c r="B221" s="1153"/>
      <c r="C221" s="677"/>
      <c r="D221" s="897">
        <f t="shared" si="2"/>
        <v>0</v>
      </c>
      <c r="E221" s="899"/>
      <c r="F221" s="899"/>
      <c r="G221" s="899"/>
      <c r="H221" s="899"/>
      <c r="I221" s="1149" t="s">
        <v>658</v>
      </c>
      <c r="J221" s="678"/>
    </row>
    <row r="222" spans="1:10" s="341" customFormat="1" ht="17.149999999999999" customHeight="1">
      <c r="A222" s="1152" t="s">
        <v>1115</v>
      </c>
      <c r="B222" s="1153"/>
      <c r="C222" s="677"/>
      <c r="D222" s="897">
        <f t="shared" si="2"/>
        <v>19964.004000000001</v>
      </c>
      <c r="E222" s="899">
        <v>19964.004000000001</v>
      </c>
      <c r="F222" s="899"/>
      <c r="G222" s="899"/>
      <c r="H222" s="899"/>
      <c r="I222" s="1149" t="s">
        <v>658</v>
      </c>
      <c r="J222" s="678"/>
    </row>
    <row r="223" spans="1:10" s="341" customFormat="1" ht="17.149999999999999" customHeight="1">
      <c r="A223" s="1152" t="s">
        <v>1349</v>
      </c>
      <c r="B223" s="1153"/>
      <c r="C223" s="677"/>
      <c r="D223" s="897">
        <f t="shared" si="2"/>
        <v>5872.4480000000003</v>
      </c>
      <c r="E223" s="899">
        <v>5872.4480000000003</v>
      </c>
      <c r="F223" s="899"/>
      <c r="G223" s="899"/>
      <c r="H223" s="899"/>
      <c r="I223" s="1149" t="s">
        <v>658</v>
      </c>
      <c r="J223" s="678"/>
    </row>
    <row r="224" spans="1:10" s="341" customFormat="1" ht="17.149999999999999" customHeight="1">
      <c r="A224" s="1152" t="s">
        <v>1071</v>
      </c>
      <c r="B224" s="1153"/>
      <c r="C224" s="677"/>
      <c r="D224" s="897">
        <f t="shared" si="2"/>
        <v>268081.052547</v>
      </c>
      <c r="E224" s="899">
        <v>268081.052547</v>
      </c>
      <c r="F224" s="899"/>
      <c r="G224" s="899"/>
      <c r="H224" s="899"/>
      <c r="I224" s="1149" t="s">
        <v>658</v>
      </c>
      <c r="J224" s="678"/>
    </row>
    <row r="225" spans="1:10" s="341" customFormat="1" ht="17.149999999999999" customHeight="1">
      <c r="A225" s="1152" t="s">
        <v>750</v>
      </c>
      <c r="B225" s="1153"/>
      <c r="C225" s="677"/>
      <c r="D225" s="897">
        <f t="shared" si="2"/>
        <v>0</v>
      </c>
      <c r="E225" s="899"/>
      <c r="F225" s="899"/>
      <c r="G225" s="899"/>
      <c r="H225" s="899"/>
      <c r="I225" s="1149" t="s">
        <v>658</v>
      </c>
      <c r="J225" s="678"/>
    </row>
    <row r="226" spans="1:10" s="341" customFormat="1" ht="17.149999999999999" customHeight="1">
      <c r="A226" s="1152" t="s">
        <v>1116</v>
      </c>
      <c r="B226" s="1153"/>
      <c r="C226" s="677"/>
      <c r="D226" s="897">
        <f t="shared" si="2"/>
        <v>3.0000000000000001E-3</v>
      </c>
      <c r="E226" s="899">
        <v>3.0000000000000001E-3</v>
      </c>
      <c r="F226" s="899"/>
      <c r="G226" s="899"/>
      <c r="H226" s="899"/>
      <c r="I226" s="1149" t="s">
        <v>658</v>
      </c>
      <c r="J226" s="678"/>
    </row>
    <row r="227" spans="1:10" s="341" customFormat="1" ht="17.149999999999999" customHeight="1">
      <c r="A227" s="1152" t="s">
        <v>1117</v>
      </c>
      <c r="B227" s="1153"/>
      <c r="C227" s="677"/>
      <c r="D227" s="897">
        <f t="shared" si="2"/>
        <v>-1E-3</v>
      </c>
      <c r="E227" s="899">
        <v>-1E-3</v>
      </c>
      <c r="F227" s="899"/>
      <c r="G227" s="899"/>
      <c r="H227" s="899"/>
      <c r="I227" s="1149" t="s">
        <v>658</v>
      </c>
      <c r="J227" s="678"/>
    </row>
    <row r="228" spans="1:10" s="341" customFormat="1" ht="17.149999999999999" customHeight="1">
      <c r="A228" s="1152" t="s">
        <v>1118</v>
      </c>
      <c r="B228" s="1153"/>
      <c r="C228" s="677"/>
      <c r="D228" s="897">
        <f t="shared" si="2"/>
        <v>0</v>
      </c>
      <c r="E228" s="899">
        <v>0</v>
      </c>
      <c r="F228" s="899"/>
      <c r="G228" s="899"/>
      <c r="H228" s="899"/>
      <c r="I228" s="1149" t="s">
        <v>658</v>
      </c>
      <c r="J228" s="678"/>
    </row>
    <row r="229" spans="1:10" s="341" customFormat="1" ht="17.149999999999999" customHeight="1">
      <c r="A229" s="1152" t="s">
        <v>593</v>
      </c>
      <c r="B229" s="1153"/>
      <c r="C229" s="677"/>
      <c r="D229" s="897">
        <f t="shared" si="2"/>
        <v>0</v>
      </c>
      <c r="E229" s="899"/>
      <c r="F229" s="899"/>
      <c r="G229" s="899"/>
      <c r="H229" s="899"/>
      <c r="I229" s="1149" t="s">
        <v>658</v>
      </c>
      <c r="J229" s="678"/>
    </row>
    <row r="230" spans="1:10" s="341" customFormat="1" ht="17.149999999999999" customHeight="1">
      <c r="A230" s="1152" t="s">
        <v>597</v>
      </c>
      <c r="B230" s="1153"/>
      <c r="C230" s="677"/>
      <c r="D230" s="897">
        <f t="shared" si="2"/>
        <v>0</v>
      </c>
      <c r="E230" s="899"/>
      <c r="F230" s="899"/>
      <c r="G230" s="899"/>
      <c r="H230" s="899"/>
      <c r="I230" s="1149" t="s">
        <v>658</v>
      </c>
      <c r="J230" s="678"/>
    </row>
    <row r="231" spans="1:10" s="896" customFormat="1" ht="17.149999999999999" customHeight="1">
      <c r="A231" s="1152" t="s">
        <v>1628</v>
      </c>
      <c r="B231" s="1153"/>
      <c r="C231" s="677"/>
      <c r="D231" s="897">
        <f t="shared" si="2"/>
        <v>5.0979999999999999</v>
      </c>
      <c r="E231" s="899">
        <v>5.0979999999999999</v>
      </c>
      <c r="F231" s="899"/>
      <c r="G231" s="899"/>
      <c r="H231" s="899"/>
      <c r="I231" s="1149" t="s">
        <v>658</v>
      </c>
      <c r="J231" s="898"/>
    </row>
    <row r="232" spans="1:10" s="341" customFormat="1" ht="17.149999999999999" customHeight="1">
      <c r="A232" s="1152" t="s">
        <v>1404</v>
      </c>
      <c r="B232" s="1153"/>
      <c r="C232" s="677"/>
      <c r="D232" s="897">
        <f t="shared" si="2"/>
        <v>0</v>
      </c>
      <c r="E232" s="899"/>
      <c r="F232" s="899"/>
      <c r="G232" s="899"/>
      <c r="H232" s="899"/>
      <c r="I232" s="1149" t="s">
        <v>658</v>
      </c>
      <c r="J232" s="678"/>
    </row>
    <row r="233" spans="1:10" s="341" customFormat="1" ht="17.149999999999999" customHeight="1">
      <c r="A233" s="1152" t="s">
        <v>749</v>
      </c>
      <c r="B233" s="1153"/>
      <c r="C233" s="677"/>
      <c r="D233" s="897">
        <f t="shared" si="2"/>
        <v>0</v>
      </c>
      <c r="E233" s="899"/>
      <c r="F233" s="899"/>
      <c r="G233" s="899"/>
      <c r="H233" s="899"/>
      <c r="I233" s="1149" t="s">
        <v>658</v>
      </c>
      <c r="J233" s="678"/>
    </row>
    <row r="234" spans="1:10" s="896" customFormat="1" ht="17.149999999999999" customHeight="1">
      <c r="A234" s="1152" t="s">
        <v>1627</v>
      </c>
      <c r="B234" s="1153"/>
      <c r="C234" s="677"/>
      <c r="D234" s="897">
        <f t="shared" si="2"/>
        <v>0</v>
      </c>
      <c r="E234" s="899"/>
      <c r="F234" s="899"/>
      <c r="G234" s="899"/>
      <c r="H234" s="899"/>
      <c r="I234" s="1149" t="s">
        <v>658</v>
      </c>
      <c r="J234" s="898"/>
    </row>
    <row r="235" spans="1:10" s="341" customFormat="1" ht="17.149999999999999" customHeight="1">
      <c r="A235" s="1152" t="s">
        <v>573</v>
      </c>
      <c r="B235" s="1153"/>
      <c r="C235" s="677"/>
      <c r="D235" s="897">
        <f t="shared" si="2"/>
        <v>94409.426000000007</v>
      </c>
      <c r="E235" s="899"/>
      <c r="F235" s="899"/>
      <c r="G235" s="899"/>
      <c r="H235" s="899">
        <v>94409.426000000007</v>
      </c>
      <c r="I235" s="1149" t="s">
        <v>5</v>
      </c>
      <c r="J235" s="678"/>
    </row>
    <row r="236" spans="1:10" s="341" customFormat="1" ht="17.149999999999999" customHeight="1">
      <c r="A236" s="1152" t="s">
        <v>741</v>
      </c>
      <c r="B236" s="1153"/>
      <c r="C236" s="677"/>
      <c r="D236" s="897">
        <f t="shared" si="2"/>
        <v>0</v>
      </c>
      <c r="E236" s="899">
        <v>0</v>
      </c>
      <c r="F236" s="899"/>
      <c r="G236" s="899"/>
      <c r="H236" s="899"/>
      <c r="I236" s="1149" t="s">
        <v>658</v>
      </c>
      <c r="J236" s="678"/>
    </row>
    <row r="237" spans="1:10" s="341" customFormat="1" ht="17.149999999999999" customHeight="1">
      <c r="A237" s="1152" t="s">
        <v>769</v>
      </c>
      <c r="B237" s="1153"/>
      <c r="C237" s="677"/>
      <c r="D237" s="897">
        <f t="shared" si="2"/>
        <v>141.054</v>
      </c>
      <c r="E237" s="899">
        <v>141.054</v>
      </c>
      <c r="F237" s="899"/>
      <c r="G237" s="899"/>
      <c r="H237" s="899"/>
      <c r="I237" s="1149" t="s">
        <v>5</v>
      </c>
      <c r="J237" s="678"/>
    </row>
    <row r="238" spans="1:10" s="896" customFormat="1" ht="17.149999999999999" customHeight="1">
      <c r="A238" s="1152" t="s">
        <v>1494</v>
      </c>
      <c r="B238" s="1153"/>
      <c r="C238" s="677"/>
      <c r="D238" s="897">
        <f t="shared" si="2"/>
        <v>7092.223</v>
      </c>
      <c r="E238" s="899">
        <v>7092.223</v>
      </c>
      <c r="F238" s="899"/>
      <c r="G238" s="899"/>
      <c r="H238" s="899"/>
      <c r="I238" s="1149" t="s">
        <v>658</v>
      </c>
      <c r="J238" s="898"/>
    </row>
    <row r="239" spans="1:10" s="896" customFormat="1" ht="17.149999999999999" customHeight="1">
      <c r="A239" s="1152" t="s">
        <v>1495</v>
      </c>
      <c r="B239" s="1153"/>
      <c r="C239" s="677"/>
      <c r="D239" s="897">
        <f t="shared" si="2"/>
        <v>7915.57</v>
      </c>
      <c r="E239" s="899">
        <v>7915.57</v>
      </c>
      <c r="F239" s="899"/>
      <c r="G239" s="899"/>
      <c r="H239" s="899"/>
      <c r="I239" s="1149" t="s">
        <v>658</v>
      </c>
      <c r="J239" s="898"/>
    </row>
    <row r="240" spans="1:10" s="341" customFormat="1" ht="34" customHeight="1">
      <c r="A240" s="1152" t="s">
        <v>555</v>
      </c>
      <c r="B240" s="1153"/>
      <c r="C240" s="677"/>
      <c r="D240" s="897">
        <f t="shared" si="2"/>
        <v>1687.6</v>
      </c>
      <c r="E240" s="899"/>
      <c r="F240" s="899"/>
      <c r="G240" s="899"/>
      <c r="H240" s="899">
        <v>1687.6</v>
      </c>
      <c r="I240" s="1149" t="s">
        <v>1319</v>
      </c>
      <c r="J240" s="678"/>
    </row>
    <row r="241" spans="1:10" s="341" customFormat="1" ht="34" customHeight="1">
      <c r="A241" s="1152" t="s">
        <v>1119</v>
      </c>
      <c r="B241" s="1153"/>
      <c r="C241" s="677"/>
      <c r="D241" s="897">
        <f t="shared" si="2"/>
        <v>0</v>
      </c>
      <c r="E241" s="899"/>
      <c r="F241" s="899"/>
      <c r="G241" s="899"/>
      <c r="H241" s="899"/>
      <c r="I241" s="1149" t="s">
        <v>1320</v>
      </c>
      <c r="J241" s="678"/>
    </row>
    <row r="242" spans="1:10" s="341" customFormat="1" ht="17.149999999999999" customHeight="1">
      <c r="A242" s="1152" t="s">
        <v>556</v>
      </c>
      <c r="B242" s="1153"/>
      <c r="C242" s="677"/>
      <c r="D242" s="897">
        <f t="shared" si="2"/>
        <v>6612.6589999999997</v>
      </c>
      <c r="E242" s="899"/>
      <c r="F242" s="899"/>
      <c r="G242" s="899"/>
      <c r="H242" s="899">
        <v>6612.6589999999997</v>
      </c>
      <c r="I242" s="1149" t="s">
        <v>592</v>
      </c>
      <c r="J242" s="678"/>
    </row>
    <row r="243" spans="1:10" s="896" customFormat="1" ht="17.149999999999999" customHeight="1">
      <c r="A243" s="1152" t="s">
        <v>1398</v>
      </c>
      <c r="B243" s="1153"/>
      <c r="C243" s="677"/>
      <c r="D243" s="897">
        <f t="shared" si="2"/>
        <v>0</v>
      </c>
      <c r="E243" s="899">
        <v>0</v>
      </c>
      <c r="F243" s="899"/>
      <c r="G243" s="899"/>
      <c r="H243" s="899"/>
      <c r="I243" s="1149" t="s">
        <v>658</v>
      </c>
      <c r="J243" s="898"/>
    </row>
    <row r="244" spans="1:10" s="341" customFormat="1" ht="17.149999999999999" customHeight="1">
      <c r="A244" s="1152" t="s">
        <v>758</v>
      </c>
      <c r="B244" s="1153"/>
      <c r="C244" s="677"/>
      <c r="D244" s="897">
        <f t="shared" si="2"/>
        <v>0</v>
      </c>
      <c r="E244" s="899"/>
      <c r="F244" s="899"/>
      <c r="G244" s="899"/>
      <c r="H244" s="899"/>
      <c r="I244" s="1149" t="s">
        <v>658</v>
      </c>
      <c r="J244" s="678"/>
    </row>
    <row r="245" spans="1:10" s="341" customFormat="1" ht="17.149999999999999" customHeight="1">
      <c r="A245" s="1152" t="s">
        <v>773</v>
      </c>
      <c r="B245" s="1153"/>
      <c r="C245" s="677"/>
      <c r="D245" s="897">
        <f t="shared" si="2"/>
        <v>7925.7439999999997</v>
      </c>
      <c r="E245" s="886">
        <v>7925.7439999999997</v>
      </c>
      <c r="F245" s="886"/>
      <c r="G245" s="886"/>
      <c r="H245" s="886"/>
      <c r="I245" s="1149" t="s">
        <v>658</v>
      </c>
      <c r="J245" s="678"/>
    </row>
    <row r="246" spans="1:10" s="341" customFormat="1" ht="17.149999999999999" customHeight="1">
      <c r="A246" s="1152" t="s">
        <v>574</v>
      </c>
      <c r="B246" s="1153"/>
      <c r="C246" s="677"/>
      <c r="D246" s="897">
        <f t="shared" si="2"/>
        <v>1607.5519999999999</v>
      </c>
      <c r="E246" s="899">
        <v>1607.5519999999999</v>
      </c>
      <c r="F246" s="899"/>
      <c r="G246" s="899"/>
      <c r="H246" s="899"/>
      <c r="I246" s="1149" t="s">
        <v>8</v>
      </c>
      <c r="J246" s="678"/>
    </row>
    <row r="247" spans="1:10" s="341" customFormat="1" ht="34" customHeight="1">
      <c r="A247" s="1152" t="s">
        <v>557</v>
      </c>
      <c r="B247" s="1153"/>
      <c r="C247" s="677"/>
      <c r="D247" s="897">
        <f t="shared" si="2"/>
        <v>3035.873</v>
      </c>
      <c r="E247" s="899">
        <v>3035.873</v>
      </c>
      <c r="F247" s="899"/>
      <c r="G247" s="899"/>
      <c r="H247" s="899"/>
      <c r="I247" s="1149" t="s">
        <v>887</v>
      </c>
      <c r="J247" s="678"/>
    </row>
    <row r="248" spans="1:10" s="896" customFormat="1" ht="17.149999999999999" customHeight="1">
      <c r="A248" s="1152" t="s">
        <v>1629</v>
      </c>
      <c r="B248" s="1153"/>
      <c r="C248" s="677"/>
      <c r="D248" s="897">
        <f t="shared" si="2"/>
        <v>5001.4120000000003</v>
      </c>
      <c r="E248" s="899">
        <v>5001.4120000000003</v>
      </c>
      <c r="F248" s="899"/>
      <c r="G248" s="899"/>
      <c r="H248" s="899"/>
      <c r="I248" s="1149" t="s">
        <v>658</v>
      </c>
      <c r="J248" s="898"/>
    </row>
    <row r="249" spans="1:10" s="896" customFormat="1" ht="17.149999999999999" customHeight="1">
      <c r="A249" s="1152" t="s">
        <v>737</v>
      </c>
      <c r="B249" s="1153"/>
      <c r="C249" s="677"/>
      <c r="D249" s="897">
        <f t="shared" si="2"/>
        <v>29555.893</v>
      </c>
      <c r="E249" s="899">
        <v>29555.893</v>
      </c>
      <c r="F249" s="899"/>
      <c r="G249" s="899"/>
      <c r="H249" s="899"/>
      <c r="I249" s="1149" t="s">
        <v>658</v>
      </c>
      <c r="J249" s="898"/>
    </row>
    <row r="250" spans="1:10" s="896" customFormat="1" ht="17.149999999999999" customHeight="1">
      <c r="A250" s="1152" t="s">
        <v>734</v>
      </c>
      <c r="B250" s="1153"/>
      <c r="C250" s="677"/>
      <c r="D250" s="897">
        <f t="shared" si="2"/>
        <v>5574.0420000000004</v>
      </c>
      <c r="E250" s="899">
        <v>5574.0420000000004</v>
      </c>
      <c r="F250" s="899"/>
      <c r="G250" s="899"/>
      <c r="H250" s="899"/>
      <c r="I250" s="1149" t="s">
        <v>658</v>
      </c>
      <c r="J250" s="898"/>
    </row>
    <row r="251" spans="1:10" s="896" customFormat="1" ht="17.149999999999999" customHeight="1">
      <c r="A251" s="1152" t="s">
        <v>748</v>
      </c>
      <c r="B251" s="1153"/>
      <c r="C251" s="677"/>
      <c r="D251" s="897">
        <f t="shared" si="2"/>
        <v>2.4009999999999998</v>
      </c>
      <c r="E251" s="899">
        <v>2.4009999999999998</v>
      </c>
      <c r="F251" s="899"/>
      <c r="G251" s="899"/>
      <c r="H251" s="899"/>
      <c r="I251" s="1149" t="s">
        <v>658</v>
      </c>
      <c r="J251" s="898"/>
    </row>
    <row r="252" spans="1:10" s="896" customFormat="1" ht="17.149999999999999" customHeight="1">
      <c r="A252" s="1152" t="s">
        <v>772</v>
      </c>
      <c r="B252" s="1153"/>
      <c r="C252" s="677"/>
      <c r="D252" s="897">
        <f t="shared" si="2"/>
        <v>0</v>
      </c>
      <c r="E252" s="899">
        <v>0</v>
      </c>
      <c r="F252" s="899"/>
      <c r="G252" s="899"/>
      <c r="H252" s="899"/>
      <c r="I252" s="1149" t="s">
        <v>658</v>
      </c>
      <c r="J252" s="898"/>
    </row>
    <row r="253" spans="1:10" s="896" customFormat="1" ht="17.149999999999999" customHeight="1">
      <c r="A253" s="1152" t="s">
        <v>1397</v>
      </c>
      <c r="B253" s="1153"/>
      <c r="C253" s="677"/>
      <c r="D253" s="897">
        <f t="shared" si="2"/>
        <v>0</v>
      </c>
      <c r="E253" s="899">
        <v>0</v>
      </c>
      <c r="F253" s="899"/>
      <c r="G253" s="899"/>
      <c r="H253" s="899"/>
      <c r="I253" s="1149" t="s">
        <v>658</v>
      </c>
      <c r="J253" s="898"/>
    </row>
    <row r="254" spans="1:10" s="896" customFormat="1" ht="34" customHeight="1">
      <c r="A254" s="1152" t="s">
        <v>548</v>
      </c>
      <c r="B254" s="1153"/>
      <c r="C254" s="677"/>
      <c r="D254" s="897">
        <f t="shared" si="2"/>
        <v>0</v>
      </c>
      <c r="E254" s="899">
        <v>0</v>
      </c>
      <c r="F254" s="899"/>
      <c r="G254" s="899"/>
      <c r="H254" s="899"/>
      <c r="I254" s="1149" t="s">
        <v>34</v>
      </c>
      <c r="J254" s="898"/>
    </row>
    <row r="255" spans="1:10" s="896" customFormat="1" ht="17.149999999999999" customHeight="1">
      <c r="A255" s="1152" t="s">
        <v>1455</v>
      </c>
      <c r="B255" s="1153"/>
      <c r="C255" s="677"/>
      <c r="D255" s="897">
        <f t="shared" si="2"/>
        <v>0</v>
      </c>
      <c r="E255" s="899">
        <v>0</v>
      </c>
      <c r="F255" s="899"/>
      <c r="G255" s="899"/>
      <c r="H255" s="899"/>
      <c r="I255" s="1149" t="s">
        <v>658</v>
      </c>
      <c r="J255" s="898"/>
    </row>
    <row r="256" spans="1:10" s="896" customFormat="1" ht="17.149999999999999" customHeight="1">
      <c r="A256" s="1152" t="s">
        <v>1332</v>
      </c>
      <c r="B256" s="1153"/>
      <c r="C256" s="677"/>
      <c r="D256" s="897">
        <f t="shared" si="2"/>
        <v>0</v>
      </c>
      <c r="E256" s="899"/>
      <c r="F256" s="899"/>
      <c r="G256" s="899"/>
      <c r="H256" s="899"/>
      <c r="I256" s="1149" t="s">
        <v>658</v>
      </c>
      <c r="J256" s="898"/>
    </row>
    <row r="257" spans="1:10" s="896" customFormat="1" ht="17.149999999999999" customHeight="1">
      <c r="A257" s="1152" t="s">
        <v>1113</v>
      </c>
      <c r="B257" s="1153"/>
      <c r="C257" s="677"/>
      <c r="D257" s="897">
        <f t="shared" si="2"/>
        <v>0</v>
      </c>
      <c r="E257" s="899">
        <v>0</v>
      </c>
      <c r="F257" s="899"/>
      <c r="G257" s="899"/>
      <c r="H257" s="899"/>
      <c r="I257" s="1149" t="s">
        <v>658</v>
      </c>
      <c r="J257" s="898"/>
    </row>
    <row r="258" spans="1:10" s="896" customFormat="1" ht="17.149999999999999" customHeight="1">
      <c r="A258" s="1152" t="s">
        <v>771</v>
      </c>
      <c r="B258" s="1153"/>
      <c r="C258" s="677"/>
      <c r="D258" s="897">
        <f t="shared" si="2"/>
        <v>0</v>
      </c>
      <c r="E258" s="899">
        <v>0</v>
      </c>
      <c r="F258" s="899"/>
      <c r="G258" s="899"/>
      <c r="H258" s="899"/>
      <c r="I258" s="1149" t="s">
        <v>658</v>
      </c>
      <c r="J258" s="898"/>
    </row>
    <row r="259" spans="1:10" s="896" customFormat="1" ht="17.149999999999999" customHeight="1">
      <c r="A259" s="1152" t="s">
        <v>1348</v>
      </c>
      <c r="B259" s="1153"/>
      <c r="C259" s="677"/>
      <c r="D259" s="897">
        <f t="shared" si="2"/>
        <v>0</v>
      </c>
      <c r="E259" s="899">
        <v>0</v>
      </c>
      <c r="F259" s="899"/>
      <c r="G259" s="899"/>
      <c r="H259" s="899"/>
      <c r="I259" s="1149" t="s">
        <v>658</v>
      </c>
      <c r="J259" s="898"/>
    </row>
    <row r="260" spans="1:10" s="896" customFormat="1" ht="17.149999999999999" customHeight="1">
      <c r="A260" s="1152" t="s">
        <v>1498</v>
      </c>
      <c r="B260" s="1153"/>
      <c r="C260" s="677"/>
      <c r="D260" s="897">
        <f t="shared" si="2"/>
        <v>0</v>
      </c>
      <c r="E260" s="899"/>
      <c r="F260" s="899"/>
      <c r="G260" s="899"/>
      <c r="H260" s="899"/>
      <c r="I260" s="1149" t="s">
        <v>658</v>
      </c>
      <c r="J260" s="898"/>
    </row>
    <row r="261" spans="1:10" s="896" customFormat="1" ht="17.149999999999999" customHeight="1">
      <c r="A261" s="1152" t="s">
        <v>1499</v>
      </c>
      <c r="B261" s="1153"/>
      <c r="C261" s="677"/>
      <c r="D261" s="897">
        <f t="shared" si="2"/>
        <v>0</v>
      </c>
      <c r="E261" s="899"/>
      <c r="F261" s="899"/>
      <c r="G261" s="899"/>
      <c r="H261" s="899"/>
      <c r="I261" s="1149" t="s">
        <v>658</v>
      </c>
      <c r="J261" s="898"/>
    </row>
    <row r="262" spans="1:10" s="896" customFormat="1" ht="17.149999999999999" customHeight="1">
      <c r="A262" s="1152" t="s">
        <v>749</v>
      </c>
      <c r="B262" s="1153"/>
      <c r="C262" s="677"/>
      <c r="D262" s="897">
        <f t="shared" si="2"/>
        <v>0</v>
      </c>
      <c r="E262" s="899">
        <v>0</v>
      </c>
      <c r="F262" s="899"/>
      <c r="G262" s="899"/>
      <c r="H262" s="937"/>
      <c r="I262" s="1149" t="s">
        <v>658</v>
      </c>
      <c r="J262" s="898"/>
    </row>
    <row r="263" spans="1:10" s="896" customFormat="1" ht="17.149999999999999" customHeight="1">
      <c r="A263" s="1152" t="s">
        <v>762</v>
      </c>
      <c r="B263" s="1153"/>
      <c r="C263" s="677"/>
      <c r="D263" s="897">
        <f t="shared" si="2"/>
        <v>0</v>
      </c>
      <c r="E263" s="899">
        <v>0</v>
      </c>
      <c r="F263" s="899"/>
      <c r="G263" s="899"/>
      <c r="H263" s="899"/>
      <c r="I263" s="1149" t="s">
        <v>658</v>
      </c>
      <c r="J263" s="898"/>
    </row>
    <row r="264" spans="1:10" s="896" customFormat="1" ht="17.149999999999999" customHeight="1">
      <c r="A264" s="1152" t="s">
        <v>1347</v>
      </c>
      <c r="B264" s="1153"/>
      <c r="C264" s="677"/>
      <c r="D264" s="897">
        <f t="shared" si="2"/>
        <v>0</v>
      </c>
      <c r="E264" s="899">
        <v>0</v>
      </c>
      <c r="F264" s="899"/>
      <c r="G264" s="899"/>
      <c r="H264" s="899"/>
      <c r="I264" s="1149" t="s">
        <v>658</v>
      </c>
      <c r="J264" s="898"/>
    </row>
    <row r="265" spans="1:10" s="896" customFormat="1" ht="17.149999999999999" customHeight="1">
      <c r="A265" s="1152" t="s">
        <v>1419</v>
      </c>
      <c r="B265" s="1153"/>
      <c r="C265" s="677"/>
      <c r="D265" s="897">
        <f t="shared" si="2"/>
        <v>0</v>
      </c>
      <c r="E265" s="899">
        <v>0</v>
      </c>
      <c r="F265" s="899"/>
      <c r="G265" s="899"/>
      <c r="H265" s="899"/>
      <c r="I265" s="1149" t="s">
        <v>14</v>
      </c>
      <c r="J265" s="898"/>
    </row>
    <row r="266" spans="1:10" s="896" customFormat="1" ht="17.149999999999999" customHeight="1">
      <c r="A266" s="1152" t="s">
        <v>1560</v>
      </c>
      <c r="B266" s="1153"/>
      <c r="C266" s="677"/>
      <c r="D266" s="897">
        <f t="shared" si="2"/>
        <v>0</v>
      </c>
      <c r="E266" s="899"/>
      <c r="F266" s="899"/>
      <c r="G266" s="899"/>
      <c r="H266" s="899"/>
      <c r="I266" s="1149" t="s">
        <v>658</v>
      </c>
      <c r="J266" s="898"/>
    </row>
    <row r="267" spans="1:10" s="896" customFormat="1" ht="17.149999999999999" customHeight="1">
      <c r="A267" s="1152" t="s">
        <v>1095</v>
      </c>
      <c r="B267" s="1153"/>
      <c r="C267" s="677"/>
      <c r="D267" s="897">
        <f t="shared" si="2"/>
        <v>0</v>
      </c>
      <c r="E267" s="899"/>
      <c r="F267" s="899"/>
      <c r="G267" s="899"/>
      <c r="H267" s="899"/>
      <c r="I267" s="1149" t="s">
        <v>658</v>
      </c>
      <c r="J267" s="898"/>
    </row>
    <row r="268" spans="1:10" s="896" customFormat="1" ht="17.149999999999999" customHeight="1">
      <c r="A268" s="1152" t="s">
        <v>554</v>
      </c>
      <c r="B268" s="1153"/>
      <c r="C268" s="677"/>
      <c r="D268" s="897">
        <f t="shared" si="2"/>
        <v>0</v>
      </c>
      <c r="E268" s="899"/>
      <c r="F268" s="899"/>
      <c r="G268" s="899"/>
      <c r="H268" s="899"/>
      <c r="I268" s="1149" t="s">
        <v>5</v>
      </c>
      <c r="J268" s="898"/>
    </row>
    <row r="269" spans="1:10" s="896" customFormat="1" ht="17.149999999999999" customHeight="1">
      <c r="A269" s="1152" t="s">
        <v>1368</v>
      </c>
      <c r="B269" s="1153"/>
      <c r="C269" s="677"/>
      <c r="D269" s="897">
        <f t="shared" si="2"/>
        <v>0</v>
      </c>
      <c r="E269" s="899"/>
      <c r="F269" s="899"/>
      <c r="G269" s="899"/>
      <c r="H269" s="899"/>
      <c r="I269" s="1149" t="s">
        <v>658</v>
      </c>
      <c r="J269" s="898"/>
    </row>
    <row r="270" spans="1:10" s="896" customFormat="1" ht="17.149999999999999" customHeight="1">
      <c r="A270" s="1152" t="s">
        <v>739</v>
      </c>
      <c r="B270" s="1153"/>
      <c r="C270" s="677"/>
      <c r="D270" s="897">
        <f t="shared" si="2"/>
        <v>0</v>
      </c>
      <c r="E270" s="899">
        <v>0</v>
      </c>
      <c r="F270" s="899"/>
      <c r="G270" s="899"/>
      <c r="H270" s="899"/>
      <c r="I270" s="1149" t="s">
        <v>658</v>
      </c>
      <c r="J270" s="898"/>
    </row>
    <row r="271" spans="1:10" s="896" customFormat="1" ht="17.149999999999999" customHeight="1">
      <c r="A271" s="1152" t="s">
        <v>1502</v>
      </c>
      <c r="B271" s="1153"/>
      <c r="C271" s="677"/>
      <c r="D271" s="897">
        <f t="shared" si="2"/>
        <v>0</v>
      </c>
      <c r="E271" s="899">
        <v>0</v>
      </c>
      <c r="F271" s="899"/>
      <c r="G271" s="899"/>
      <c r="H271" s="899"/>
      <c r="I271" s="1149" t="s">
        <v>658</v>
      </c>
      <c r="J271" s="898"/>
    </row>
    <row r="272" spans="1:10" s="341" customFormat="1" ht="17.149999999999999" customHeight="1">
      <c r="A272" s="1152" t="s">
        <v>1503</v>
      </c>
      <c r="B272" s="1153"/>
      <c r="C272" s="677"/>
      <c r="D272" s="897">
        <f t="shared" si="2"/>
        <v>107.54600000000001</v>
      </c>
      <c r="E272" s="899">
        <v>107.54600000000001</v>
      </c>
      <c r="F272" s="899"/>
      <c r="G272" s="899"/>
      <c r="H272" s="899"/>
      <c r="I272" s="1149" t="s">
        <v>658</v>
      </c>
      <c r="J272" s="678"/>
    </row>
    <row r="273" spans="1:10" s="896" customFormat="1" ht="17.149999999999999" customHeight="1">
      <c r="A273" s="1152" t="s">
        <v>1630</v>
      </c>
      <c r="B273" s="1153"/>
      <c r="C273" s="677"/>
      <c r="D273" s="897">
        <f t="shared" si="2"/>
        <v>656.89200000000005</v>
      </c>
      <c r="E273" s="899">
        <v>656.89200000000005</v>
      </c>
      <c r="F273" s="899"/>
      <c r="G273" s="899"/>
      <c r="H273" s="899"/>
      <c r="I273" s="1149" t="s">
        <v>658</v>
      </c>
      <c r="J273" s="898"/>
    </row>
    <row r="274" spans="1:10" s="896" customFormat="1" ht="17.149999999999999" customHeight="1">
      <c r="A274" s="1152" t="s">
        <v>1631</v>
      </c>
      <c r="B274" s="1153"/>
      <c r="C274" s="677"/>
      <c r="D274" s="897">
        <f t="shared" si="2"/>
        <v>2.9580000000000002</v>
      </c>
      <c r="E274" s="899">
        <v>2.9580000000000002</v>
      </c>
      <c r="F274" s="899"/>
      <c r="G274" s="899"/>
      <c r="H274" s="899"/>
      <c r="I274" s="1149" t="s">
        <v>658</v>
      </c>
      <c r="J274" s="898"/>
    </row>
    <row r="275" spans="1:10" s="896" customFormat="1" ht="17.149999999999999" customHeight="1">
      <c r="A275" s="1152" t="s">
        <v>1540</v>
      </c>
      <c r="B275" s="1153"/>
      <c r="C275" s="677"/>
      <c r="D275" s="897">
        <f t="shared" si="2"/>
        <v>16.207999999999998</v>
      </c>
      <c r="E275" s="899">
        <v>16.207999999999998</v>
      </c>
      <c r="F275" s="899"/>
      <c r="G275" s="899"/>
      <c r="H275" s="899"/>
      <c r="I275" s="1149" t="s">
        <v>658</v>
      </c>
      <c r="J275" s="898"/>
    </row>
    <row r="276" spans="1:10" s="896" customFormat="1" ht="17.149999999999999" customHeight="1">
      <c r="A276" s="1152" t="s">
        <v>1632</v>
      </c>
      <c r="B276" s="1153"/>
      <c r="C276" s="677"/>
      <c r="D276" s="897">
        <f t="shared" si="2"/>
        <v>2.2069999999999999</v>
      </c>
      <c r="E276" s="899">
        <v>2.2069999999999999</v>
      </c>
      <c r="F276" s="899"/>
      <c r="G276" s="899"/>
      <c r="H276" s="899"/>
      <c r="I276" s="1149" t="s">
        <v>658</v>
      </c>
      <c r="J276" s="898"/>
    </row>
    <row r="277" spans="1:10" s="896" customFormat="1" ht="17.149999999999999" customHeight="1">
      <c r="A277" s="1152" t="s">
        <v>1633</v>
      </c>
      <c r="B277" s="1153"/>
      <c r="C277" s="677"/>
      <c r="D277" s="897">
        <f t="shared" si="2"/>
        <v>21.414000000000001</v>
      </c>
      <c r="E277" s="899">
        <v>21.414000000000001</v>
      </c>
      <c r="F277" s="899"/>
      <c r="G277" s="899"/>
      <c r="H277" s="899"/>
      <c r="I277" s="1149" t="s">
        <v>658</v>
      </c>
      <c r="J277" s="898"/>
    </row>
    <row r="278" spans="1:10" s="896" customFormat="1" ht="17.149999999999999" customHeight="1">
      <c r="A278" s="1152" t="s">
        <v>1542</v>
      </c>
      <c r="B278" s="1153"/>
      <c r="C278" s="677"/>
      <c r="D278" s="897">
        <f t="shared" si="2"/>
        <v>165.62</v>
      </c>
      <c r="E278" s="899">
        <v>165.62</v>
      </c>
      <c r="F278" s="899"/>
      <c r="G278" s="899"/>
      <c r="H278" s="899"/>
      <c r="I278" s="1149" t="s">
        <v>658</v>
      </c>
      <c r="J278" s="898"/>
    </row>
    <row r="279" spans="1:10" s="896" customFormat="1" ht="17.149999999999999" customHeight="1">
      <c r="A279" s="1152" t="s">
        <v>1504</v>
      </c>
      <c r="B279" s="1153"/>
      <c r="C279" s="677"/>
      <c r="D279" s="897">
        <f t="shared" si="2"/>
        <v>1177.876</v>
      </c>
      <c r="E279" s="899">
        <v>1177.876</v>
      </c>
      <c r="F279" s="899"/>
      <c r="G279" s="899"/>
      <c r="H279" s="899"/>
      <c r="I279" s="1149" t="s">
        <v>658</v>
      </c>
      <c r="J279" s="898"/>
    </row>
    <row r="280" spans="1:10" s="896" customFormat="1" ht="17.149999999999999" customHeight="1">
      <c r="A280" s="1152" t="s">
        <v>1505</v>
      </c>
      <c r="B280" s="1153"/>
      <c r="C280" s="677"/>
      <c r="D280" s="897">
        <f t="shared" si="2"/>
        <v>0</v>
      </c>
      <c r="E280" s="899">
        <v>0</v>
      </c>
      <c r="F280" s="899"/>
      <c r="G280" s="899"/>
      <c r="H280" s="899"/>
      <c r="I280" s="1149" t="s">
        <v>658</v>
      </c>
      <c r="J280" s="898"/>
    </row>
    <row r="281" spans="1:10" s="341" customFormat="1" ht="17.149999999999999" customHeight="1">
      <c r="A281" s="1152" t="s">
        <v>1506</v>
      </c>
      <c r="B281" s="1153"/>
      <c r="C281" s="677"/>
      <c r="D281" s="897">
        <f t="shared" si="2"/>
        <v>54.261000000000003</v>
      </c>
      <c r="E281" s="899">
        <v>54.261000000000003</v>
      </c>
      <c r="F281" s="899"/>
      <c r="G281" s="899"/>
      <c r="H281" s="899"/>
      <c r="I281" s="1149" t="s">
        <v>658</v>
      </c>
      <c r="J281" s="678"/>
    </row>
    <row r="282" spans="1:10" s="341" customFormat="1" ht="17.149999999999999" customHeight="1">
      <c r="A282" s="1152" t="s">
        <v>1507</v>
      </c>
      <c r="B282" s="1153"/>
      <c r="C282" s="677"/>
      <c r="D282" s="897">
        <f t="shared" si="2"/>
        <v>1547.5540000000001</v>
      </c>
      <c r="E282" s="899">
        <v>1547.5540000000001</v>
      </c>
      <c r="F282" s="899"/>
      <c r="G282" s="899"/>
      <c r="H282" s="899"/>
      <c r="I282" s="1149" t="s">
        <v>658</v>
      </c>
      <c r="J282" s="678"/>
    </row>
    <row r="283" spans="1:10" s="896" customFormat="1" ht="17.149999999999999" customHeight="1">
      <c r="A283" s="1152" t="s">
        <v>1508</v>
      </c>
      <c r="B283" s="1153"/>
      <c r="C283" s="677"/>
      <c r="D283" s="897">
        <f t="shared" si="2"/>
        <v>207.637</v>
      </c>
      <c r="E283" s="899">
        <v>207.637</v>
      </c>
      <c r="F283" s="899"/>
      <c r="G283" s="899"/>
      <c r="H283" s="899"/>
      <c r="I283" s="1149" t="s">
        <v>658</v>
      </c>
      <c r="J283" s="898"/>
    </row>
    <row r="284" spans="1:10" s="896" customFormat="1" ht="17.149999999999999" customHeight="1">
      <c r="A284" s="1152" t="s">
        <v>1509</v>
      </c>
      <c r="B284" s="1153"/>
      <c r="C284" s="677"/>
      <c r="D284" s="897">
        <f t="shared" si="2"/>
        <v>0</v>
      </c>
      <c r="E284" s="899">
        <v>0</v>
      </c>
      <c r="F284" s="899"/>
      <c r="G284" s="899"/>
      <c r="H284" s="899"/>
      <c r="I284" s="1149" t="s">
        <v>658</v>
      </c>
      <c r="J284" s="898"/>
    </row>
    <row r="285" spans="1:10" s="896" customFormat="1" ht="17.149999999999999" customHeight="1">
      <c r="A285" s="1152" t="s">
        <v>1510</v>
      </c>
      <c r="B285" s="1153"/>
      <c r="C285" s="677"/>
      <c r="D285" s="897">
        <f t="shared" si="2"/>
        <v>0</v>
      </c>
      <c r="E285" s="899">
        <v>0</v>
      </c>
      <c r="F285" s="899"/>
      <c r="G285" s="899"/>
      <c r="H285" s="899"/>
      <c r="I285" s="1149" t="s">
        <v>658</v>
      </c>
      <c r="J285" s="898"/>
    </row>
    <row r="286" spans="1:10" s="896" customFormat="1" ht="17.149999999999999" customHeight="1">
      <c r="A286" s="1152" t="s">
        <v>1511</v>
      </c>
      <c r="B286" s="1153"/>
      <c r="C286" s="677"/>
      <c r="D286" s="897">
        <f t="shared" si="2"/>
        <v>0</v>
      </c>
      <c r="E286" s="899"/>
      <c r="F286" s="899"/>
      <c r="G286" s="899"/>
      <c r="H286" s="899"/>
      <c r="I286" s="1149" t="s">
        <v>658</v>
      </c>
      <c r="J286" s="898"/>
    </row>
    <row r="287" spans="1:10" s="341" customFormat="1" ht="17.149999999999999" customHeight="1">
      <c r="A287" s="1152" t="s">
        <v>1512</v>
      </c>
      <c r="B287" s="1153"/>
      <c r="C287" s="677"/>
      <c r="D287" s="897">
        <f t="shared" si="2"/>
        <v>0</v>
      </c>
      <c r="E287" s="899">
        <v>0</v>
      </c>
      <c r="F287" s="899"/>
      <c r="G287" s="899"/>
      <c r="H287" s="899"/>
      <c r="I287" s="1149" t="s">
        <v>658</v>
      </c>
      <c r="J287" s="678"/>
    </row>
    <row r="288" spans="1:10" s="341" customFormat="1" ht="17.149999999999999" customHeight="1">
      <c r="A288" s="1152" t="s">
        <v>1500</v>
      </c>
      <c r="B288" s="1153"/>
      <c r="C288" s="677"/>
      <c r="D288" s="897">
        <f t="shared" si="2"/>
        <v>19344.615000000002</v>
      </c>
      <c r="E288" s="899"/>
      <c r="F288" s="899"/>
      <c r="G288" s="899">
        <v>19344.615000000002</v>
      </c>
      <c r="H288" s="899"/>
      <c r="I288" s="1149" t="s">
        <v>133</v>
      </c>
      <c r="J288" s="678"/>
    </row>
    <row r="289" spans="1:10" s="341" customFormat="1" ht="17.149999999999999" customHeight="1">
      <c r="A289" s="1152" t="s">
        <v>1513</v>
      </c>
      <c r="B289" s="1153"/>
      <c r="C289" s="677"/>
      <c r="D289" s="897">
        <f t="shared" si="2"/>
        <v>0.14699999999999999</v>
      </c>
      <c r="E289" s="899"/>
      <c r="F289" s="899"/>
      <c r="G289" s="899">
        <v>0.14699999999999999</v>
      </c>
      <c r="H289" s="899"/>
      <c r="I289" s="1149" t="s">
        <v>922</v>
      </c>
      <c r="J289" s="678"/>
    </row>
    <row r="290" spans="1:10" s="341" customFormat="1" ht="17.149999999999999" customHeight="1">
      <c r="A290" s="1152" t="s">
        <v>1514</v>
      </c>
      <c r="B290" s="1153"/>
      <c r="C290" s="677"/>
      <c r="D290" s="897">
        <f t="shared" si="2"/>
        <v>73.376000000000005</v>
      </c>
      <c r="E290" s="899"/>
      <c r="F290" s="899"/>
      <c r="G290" s="899">
        <v>73.376000000000005</v>
      </c>
      <c r="H290" s="899"/>
      <c r="I290" s="1149" t="s">
        <v>922</v>
      </c>
      <c r="J290" s="678"/>
    </row>
    <row r="291" spans="1:10" s="341" customFormat="1" ht="17.149999999999999" customHeight="1">
      <c r="A291" s="1152" t="s">
        <v>1515</v>
      </c>
      <c r="B291" s="1153"/>
      <c r="C291" s="677"/>
      <c r="D291" s="897">
        <f t="shared" si="2"/>
        <v>3190.0030000000002</v>
      </c>
      <c r="E291" s="899"/>
      <c r="F291" s="899"/>
      <c r="G291" s="899">
        <v>3190.0030000000002</v>
      </c>
      <c r="H291" s="899"/>
      <c r="I291" s="1149" t="s">
        <v>922</v>
      </c>
      <c r="J291" s="678"/>
    </row>
    <row r="292" spans="1:10" s="896" customFormat="1" ht="17.149999999999999" customHeight="1">
      <c r="A292" s="1152" t="s">
        <v>1516</v>
      </c>
      <c r="B292" s="1153"/>
      <c r="C292" s="677"/>
      <c r="D292" s="897">
        <f t="shared" si="2"/>
        <v>98.808000000000007</v>
      </c>
      <c r="E292" s="899"/>
      <c r="F292" s="899"/>
      <c r="G292" s="899">
        <v>98.808000000000007</v>
      </c>
      <c r="H292" s="899"/>
      <c r="I292" s="1149" t="s">
        <v>922</v>
      </c>
      <c r="J292" s="898"/>
    </row>
    <row r="293" spans="1:10" s="341" customFormat="1" ht="17.149999999999999" customHeight="1">
      <c r="A293" s="1152" t="s">
        <v>1517</v>
      </c>
      <c r="B293" s="1153"/>
      <c r="C293" s="677"/>
      <c r="D293" s="897">
        <f t="shared" si="2"/>
        <v>0</v>
      </c>
      <c r="E293" s="899"/>
      <c r="F293" s="899"/>
      <c r="G293" s="899"/>
      <c r="H293" s="899"/>
      <c r="I293" s="1149" t="s">
        <v>658</v>
      </c>
      <c r="J293" s="678"/>
    </row>
    <row r="294" spans="1:10" s="896" customFormat="1" ht="17.149999999999999" customHeight="1">
      <c r="A294" s="1152" t="s">
        <v>1518</v>
      </c>
      <c r="B294" s="1153"/>
      <c r="C294" s="677"/>
      <c r="D294" s="897">
        <f t="shared" si="2"/>
        <v>0</v>
      </c>
      <c r="E294" s="899"/>
      <c r="F294" s="899"/>
      <c r="G294" s="899"/>
      <c r="H294" s="899"/>
      <c r="I294" s="1149" t="s">
        <v>658</v>
      </c>
      <c r="J294" s="898"/>
    </row>
    <row r="295" spans="1:10" s="896" customFormat="1" ht="17.149999999999999" customHeight="1">
      <c r="A295" s="1152" t="s">
        <v>1519</v>
      </c>
      <c r="B295" s="1153"/>
      <c r="C295" s="677"/>
      <c r="D295" s="897">
        <f t="shared" si="2"/>
        <v>0</v>
      </c>
      <c r="E295" s="899"/>
      <c r="F295" s="899"/>
      <c r="G295" s="899"/>
      <c r="H295" s="899"/>
      <c r="I295" s="1149" t="s">
        <v>658</v>
      </c>
      <c r="J295" s="898"/>
    </row>
    <row r="296" spans="1:10" s="341" customFormat="1" ht="17.149999999999999" customHeight="1">
      <c r="A296" s="1152" t="s">
        <v>1520</v>
      </c>
      <c r="B296" s="1153"/>
      <c r="C296" s="677"/>
      <c r="D296" s="897">
        <f t="shared" si="2"/>
        <v>0</v>
      </c>
      <c r="E296" s="899"/>
      <c r="F296" s="899"/>
      <c r="G296" s="899"/>
      <c r="H296" s="899"/>
      <c r="I296" s="1149" t="s">
        <v>658</v>
      </c>
      <c r="J296" s="678"/>
    </row>
    <row r="297" spans="1:10" s="341" customFormat="1" ht="17.149999999999999" customHeight="1">
      <c r="A297" s="1152" t="s">
        <v>1521</v>
      </c>
      <c r="B297" s="1153"/>
      <c r="C297" s="677"/>
      <c r="D297" s="897">
        <f t="shared" si="2"/>
        <v>0</v>
      </c>
      <c r="E297" s="899"/>
      <c r="F297" s="899"/>
      <c r="G297" s="899"/>
      <c r="H297" s="899"/>
      <c r="I297" s="1149" t="s">
        <v>658</v>
      </c>
      <c r="J297" s="678"/>
    </row>
    <row r="298" spans="1:10" s="341" customFormat="1" ht="17.149999999999999" customHeight="1">
      <c r="A298" s="1152" t="s">
        <v>1496</v>
      </c>
      <c r="B298" s="1153"/>
      <c r="C298" s="677"/>
      <c r="D298" s="897">
        <f t="shared" si="2"/>
        <v>0</v>
      </c>
      <c r="E298" s="899"/>
      <c r="F298" s="899"/>
      <c r="G298" s="899"/>
      <c r="H298" s="899"/>
      <c r="I298" s="1149" t="s">
        <v>658</v>
      </c>
      <c r="J298" s="678"/>
    </row>
    <row r="299" spans="1:10" s="896" customFormat="1" ht="17.149999999999999" customHeight="1">
      <c r="A299" s="1152" t="s">
        <v>1474</v>
      </c>
      <c r="B299" s="1153"/>
      <c r="C299" s="677"/>
      <c r="D299" s="897">
        <f t="shared" si="2"/>
        <v>0</v>
      </c>
      <c r="E299" s="899"/>
      <c r="F299" s="899"/>
      <c r="G299" s="899"/>
      <c r="H299" s="899"/>
      <c r="I299" s="1149" t="s">
        <v>658</v>
      </c>
      <c r="J299" s="898"/>
    </row>
    <row r="300" spans="1:10" s="896" customFormat="1" ht="17.149999999999999" customHeight="1">
      <c r="A300" s="1152" t="s">
        <v>1120</v>
      </c>
      <c r="B300" s="1153"/>
      <c r="C300" s="677"/>
      <c r="D300" s="897">
        <f t="shared" si="2"/>
        <v>0</v>
      </c>
      <c r="E300" s="899"/>
      <c r="F300" s="899"/>
      <c r="G300" s="899"/>
      <c r="H300" s="899"/>
      <c r="I300" s="1149" t="s">
        <v>658</v>
      </c>
      <c r="J300" s="898"/>
    </row>
    <row r="301" spans="1:10" s="896" customFormat="1" ht="17.149999999999999" customHeight="1">
      <c r="A301" s="1152" t="s">
        <v>1089</v>
      </c>
      <c r="B301" s="1153"/>
      <c r="C301" s="677"/>
      <c r="D301" s="897">
        <f t="shared" si="2"/>
        <v>0</v>
      </c>
      <c r="E301" s="899">
        <v>0</v>
      </c>
      <c r="F301" s="899"/>
      <c r="G301" s="899"/>
      <c r="H301" s="899"/>
      <c r="I301" s="1149" t="s">
        <v>658</v>
      </c>
      <c r="J301" s="898"/>
    </row>
    <row r="302" spans="1:10" s="896" customFormat="1" ht="17.149999999999999" customHeight="1">
      <c r="A302" s="1152" t="s">
        <v>730</v>
      </c>
      <c r="B302" s="1153"/>
      <c r="C302" s="677"/>
      <c r="D302" s="897">
        <f t="shared" si="2"/>
        <v>0</v>
      </c>
      <c r="E302" s="899"/>
      <c r="F302" s="899"/>
      <c r="G302" s="899"/>
      <c r="H302" s="899"/>
      <c r="I302" s="1149" t="s">
        <v>658</v>
      </c>
      <c r="J302" s="898"/>
    </row>
    <row r="303" spans="1:10" s="896" customFormat="1" ht="17.149999999999999" customHeight="1">
      <c r="A303" s="1152" t="s">
        <v>1350</v>
      </c>
      <c r="B303" s="1153"/>
      <c r="C303" s="677"/>
      <c r="D303" s="897">
        <f t="shared" si="2"/>
        <v>0</v>
      </c>
      <c r="E303" s="899"/>
      <c r="F303" s="899"/>
      <c r="G303" s="899"/>
      <c r="H303" s="899"/>
      <c r="I303" s="1149" t="s">
        <v>658</v>
      </c>
      <c r="J303" s="898"/>
    </row>
    <row r="304" spans="1:10" s="341" customFormat="1" ht="17.149999999999999" customHeight="1">
      <c r="A304" s="1152" t="s">
        <v>1087</v>
      </c>
      <c r="B304" s="1153"/>
      <c r="C304" s="677"/>
      <c r="D304" s="897">
        <f t="shared" si="2"/>
        <v>0</v>
      </c>
      <c r="E304" s="899"/>
      <c r="F304" s="899"/>
      <c r="G304" s="899"/>
      <c r="H304" s="899"/>
      <c r="I304" s="1149" t="s">
        <v>658</v>
      </c>
      <c r="J304" s="678"/>
    </row>
    <row r="305" spans="1:10" s="896" customFormat="1" ht="17.149999999999999" customHeight="1">
      <c r="A305" s="1152" t="s">
        <v>582</v>
      </c>
      <c r="B305" s="1153"/>
      <c r="C305" s="677"/>
      <c r="D305" s="897">
        <f t="shared" si="2"/>
        <v>0</v>
      </c>
      <c r="E305" s="899"/>
      <c r="F305" s="899"/>
      <c r="G305" s="899"/>
      <c r="H305" s="899"/>
      <c r="I305" s="1149" t="s">
        <v>658</v>
      </c>
      <c r="J305" s="898"/>
    </row>
    <row r="306" spans="1:10" s="896" customFormat="1" ht="17.149999999999999" customHeight="1">
      <c r="A306" s="1152" t="s">
        <v>1634</v>
      </c>
      <c r="B306" s="1153"/>
      <c r="C306" s="677"/>
      <c r="D306" s="897">
        <f t="shared" si="2"/>
        <v>0</v>
      </c>
      <c r="E306" s="899">
        <v>0</v>
      </c>
      <c r="F306" s="899"/>
      <c r="G306" s="899"/>
      <c r="H306" s="899"/>
      <c r="I306" s="1149" t="s">
        <v>658</v>
      </c>
      <c r="J306" s="898"/>
    </row>
    <row r="307" spans="1:10" s="896" customFormat="1" ht="17.149999999999999" customHeight="1">
      <c r="A307" s="1152" t="s">
        <v>741</v>
      </c>
      <c r="B307" s="1153"/>
      <c r="C307" s="677"/>
      <c r="D307" s="897"/>
      <c r="E307" s="899">
        <v>0</v>
      </c>
      <c r="F307" s="899"/>
      <c r="G307" s="899"/>
      <c r="H307" s="899"/>
      <c r="I307" s="1149" t="s">
        <v>658</v>
      </c>
      <c r="J307" s="898"/>
    </row>
    <row r="308" spans="1:10" s="341" customFormat="1" ht="17.149999999999999" customHeight="1">
      <c r="A308" s="1152" t="s">
        <v>1367</v>
      </c>
      <c r="B308" s="1153"/>
      <c r="C308" s="677"/>
      <c r="D308" s="897">
        <f t="shared" si="2"/>
        <v>0.10100000000000001</v>
      </c>
      <c r="E308" s="899">
        <v>0.10100000000000001</v>
      </c>
      <c r="F308" s="899"/>
      <c r="G308" s="899"/>
      <c r="H308" s="899"/>
      <c r="I308" s="1149" t="s">
        <v>658</v>
      </c>
      <c r="J308" s="678"/>
    </row>
    <row r="309" spans="1:10" s="341" customFormat="1" ht="14.3">
      <c r="A309" s="682" t="s">
        <v>325</v>
      </c>
      <c r="B309" s="683"/>
      <c r="C309" s="679"/>
      <c r="D309" s="887">
        <f>SUM(D38:D308)</f>
        <v>1922846.540429377</v>
      </c>
      <c r="E309" s="887">
        <f>SUM(E38:E308)</f>
        <v>1578935.3304293756</v>
      </c>
      <c r="F309" s="887">
        <f>SUM(F38:F308)</f>
        <v>13817.15</v>
      </c>
      <c r="G309" s="887">
        <f>SUM(G38:G308)</f>
        <v>221674.07199999996</v>
      </c>
      <c r="H309" s="887">
        <f>SUM(H38:H308)</f>
        <v>108419.98800000001</v>
      </c>
      <c r="I309" s="888"/>
      <c r="J309" s="678"/>
    </row>
    <row r="310" spans="1:10" s="341" customFormat="1" ht="14.3">
      <c r="A310" s="684" t="s">
        <v>479</v>
      </c>
      <c r="B310" s="685"/>
      <c r="C310" s="677"/>
      <c r="D310" s="887">
        <f>SUM(E310:H310)</f>
        <v>8696.6280000000006</v>
      </c>
      <c r="E310" s="791">
        <f>SUM(E135:E147)</f>
        <v>8696.6280000000006</v>
      </c>
      <c r="F310" s="791">
        <f t="shared" ref="F310:H310" si="3">SUM(F135:F147)</f>
        <v>0</v>
      </c>
      <c r="G310" s="791">
        <f t="shared" si="3"/>
        <v>0</v>
      </c>
      <c r="H310" s="791">
        <f t="shared" si="3"/>
        <v>0</v>
      </c>
      <c r="I310" s="889"/>
      <c r="J310" s="678"/>
    </row>
    <row r="311" spans="1:10" s="341" customFormat="1" ht="14.3">
      <c r="A311" s="686" t="s">
        <v>505</v>
      </c>
      <c r="B311" s="687"/>
      <c r="C311" s="677"/>
      <c r="D311" s="887">
        <f>SUM(E311:H311)</f>
        <v>0</v>
      </c>
      <c r="E311" s="886">
        <f>E192</f>
        <v>0</v>
      </c>
      <c r="F311" s="886">
        <f t="shared" ref="F311:H311" si="4">F192</f>
        <v>0</v>
      </c>
      <c r="G311" s="886">
        <f t="shared" si="4"/>
        <v>0</v>
      </c>
      <c r="H311" s="886">
        <f t="shared" si="4"/>
        <v>0</v>
      </c>
      <c r="I311" s="889"/>
      <c r="J311" s="678"/>
    </row>
    <row r="312" spans="1:10" s="341" customFormat="1" ht="14.3">
      <c r="A312" s="688" t="s">
        <v>813</v>
      </c>
      <c r="B312" s="683"/>
      <c r="C312" s="679"/>
      <c r="D312" s="887">
        <f>+D309-D310-D311</f>
        <v>1914149.912429377</v>
      </c>
      <c r="E312" s="887">
        <f>+E309-E310-E311</f>
        <v>1570238.7024293756</v>
      </c>
      <c r="F312" s="887">
        <f>+F309-F310-F311</f>
        <v>13817.15</v>
      </c>
      <c r="G312" s="887">
        <f>+G309-G310-G311</f>
        <v>221674.07199999996</v>
      </c>
      <c r="H312" s="887">
        <f>+H309-H310-H311</f>
        <v>108419.98800000001</v>
      </c>
      <c r="I312" s="888"/>
      <c r="J312" s="678"/>
    </row>
    <row r="313" spans="1:10" s="341" customFormat="1" ht="14.3">
      <c r="A313" s="689"/>
      <c r="B313" s="690"/>
      <c r="C313" s="691"/>
      <c r="D313" s="898"/>
      <c r="E313" s="692"/>
      <c r="F313" s="691"/>
      <c r="G313" s="693"/>
      <c r="H313" s="675"/>
      <c r="I313" s="694"/>
      <c r="J313" s="678"/>
    </row>
    <row r="314" spans="1:10" s="341" customFormat="1" ht="12.75" customHeight="1">
      <c r="A314" s="689"/>
      <c r="B314" s="695" t="s">
        <v>322</v>
      </c>
      <c r="C314" s="696"/>
      <c r="D314" s="697"/>
      <c r="E314" s="696"/>
      <c r="F314" s="698"/>
      <c r="G314" s="699"/>
      <c r="H314" s="700"/>
      <c r="I314" s="694"/>
      <c r="J314" s="678"/>
    </row>
    <row r="315" spans="1:10" s="341" customFormat="1" ht="31.75" customHeight="1">
      <c r="A315" s="689"/>
      <c r="B315" s="1161" t="s">
        <v>1819</v>
      </c>
      <c r="C315" s="1162"/>
      <c r="D315" s="1162"/>
      <c r="E315" s="1162"/>
      <c r="F315" s="1162"/>
      <c r="G315" s="1162"/>
      <c r="H315" s="1163"/>
      <c r="I315" s="701"/>
      <c r="J315" s="678"/>
    </row>
    <row r="316" spans="1:10" s="341" customFormat="1" ht="14.3">
      <c r="A316" s="689"/>
      <c r="B316" s="702" t="s">
        <v>1820</v>
      </c>
      <c r="C316" s="691"/>
      <c r="D316" s="898"/>
      <c r="E316" s="691"/>
      <c r="F316" s="691"/>
      <c r="G316" s="675"/>
      <c r="H316" s="703"/>
      <c r="I316" s="694"/>
      <c r="J316" s="678"/>
    </row>
    <row r="317" spans="1:10" s="341" customFormat="1" ht="14.3">
      <c r="A317" s="689"/>
      <c r="B317" s="702" t="s">
        <v>1821</v>
      </c>
      <c r="C317" s="691"/>
      <c r="D317" s="898"/>
      <c r="E317" s="691"/>
      <c r="F317" s="691"/>
      <c r="G317" s="675"/>
      <c r="H317" s="703"/>
      <c r="I317" s="701"/>
      <c r="J317" s="678"/>
    </row>
    <row r="318" spans="1:10" s="341" customFormat="1" ht="12.75" customHeight="1">
      <c r="A318" s="689"/>
      <c r="B318" s="702" t="s">
        <v>1822</v>
      </c>
      <c r="C318" s="691"/>
      <c r="D318" s="898"/>
      <c r="E318" s="691"/>
      <c r="F318" s="691"/>
      <c r="G318" s="675"/>
      <c r="H318" s="703"/>
      <c r="I318" s="694"/>
      <c r="J318" s="678"/>
    </row>
    <row r="319" spans="1:10" s="341" customFormat="1" ht="43.5" customHeight="1">
      <c r="A319" s="689"/>
      <c r="B319" s="1154" t="s">
        <v>1823</v>
      </c>
      <c r="C319" s="1155"/>
      <c r="D319" s="1155"/>
      <c r="E319" s="1155"/>
      <c r="F319" s="1155"/>
      <c r="G319" s="1155"/>
      <c r="H319" s="1156"/>
      <c r="I319" s="898"/>
      <c r="J319" s="704"/>
    </row>
    <row r="320" spans="1:10" s="341" customFormat="1" ht="14.3">
      <c r="A320" s="689"/>
      <c r="B320" s="705" t="s">
        <v>1818</v>
      </c>
      <c r="C320" s="706"/>
      <c r="D320" s="707"/>
      <c r="E320" s="706"/>
      <c r="F320" s="706"/>
      <c r="G320" s="708"/>
      <c r="H320" s="709"/>
      <c r="I320" s="694"/>
      <c r="J320" s="678"/>
    </row>
    <row r="321" spans="1:10" s="341" customFormat="1" ht="14.3">
      <c r="A321" s="710"/>
      <c r="B321" s="711"/>
      <c r="C321" s="712"/>
      <c r="D321" s="711"/>
      <c r="E321" s="711"/>
      <c r="F321" s="711"/>
      <c r="G321" s="711"/>
      <c r="H321" s="711"/>
      <c r="I321" s="711"/>
      <c r="J321" s="678"/>
    </row>
    <row r="322" spans="1:10" s="341" customFormat="1" ht="14.3">
      <c r="A322" s="713"/>
      <c r="B322" s="714"/>
      <c r="C322" s="691"/>
      <c r="D322" s="898"/>
      <c r="E322" s="898"/>
      <c r="F322" s="898"/>
      <c r="G322" s="898"/>
      <c r="H322" s="898"/>
      <c r="I322" s="691"/>
      <c r="J322" s="678"/>
    </row>
    <row r="323" spans="1:10" s="341" customFormat="1" ht="13.6">
      <c r="A323" s="260"/>
      <c r="B323" s="711"/>
      <c r="C323" s="712"/>
      <c r="D323" s="711"/>
      <c r="E323" s="711"/>
      <c r="F323" s="711"/>
      <c r="G323" s="711"/>
      <c r="H323" s="711"/>
      <c r="I323" s="711"/>
      <c r="J323" s="678"/>
    </row>
    <row r="324" spans="1:10" s="341" customFormat="1" ht="14.3">
      <c r="A324" s="710" t="s">
        <v>632</v>
      </c>
      <c r="B324" s="716"/>
      <c r="C324" s="715"/>
      <c r="D324" s="716" t="s">
        <v>814</v>
      </c>
      <c r="E324" s="716" t="s">
        <v>610</v>
      </c>
      <c r="F324" s="716" t="s">
        <v>633</v>
      </c>
      <c r="G324" s="716" t="s">
        <v>631</v>
      </c>
      <c r="H324" s="716" t="s">
        <v>419</v>
      </c>
      <c r="I324" s="716" t="s">
        <v>634</v>
      </c>
      <c r="J324" s="678"/>
    </row>
    <row r="325" spans="1:10" s="341" customFormat="1" ht="13.6">
      <c r="A325" s="920"/>
      <c r="B325" s="429"/>
      <c r="C325" s="691"/>
      <c r="D325" s="717" t="s">
        <v>813</v>
      </c>
      <c r="E325" s="717" t="s">
        <v>160</v>
      </c>
      <c r="F325" s="717" t="s">
        <v>321</v>
      </c>
      <c r="G325" s="717"/>
      <c r="H325" s="717"/>
      <c r="I325" s="896"/>
      <c r="J325" s="678"/>
    </row>
    <row r="326" spans="1:10" s="341" customFormat="1" ht="13.6">
      <c r="A326" s="260" t="s">
        <v>314</v>
      </c>
      <c r="B326" s="429"/>
      <c r="C326" s="691"/>
      <c r="D326" s="717"/>
      <c r="E326" s="717" t="s">
        <v>320</v>
      </c>
      <c r="F326" s="717" t="s">
        <v>312</v>
      </c>
      <c r="G326" s="717" t="s">
        <v>317</v>
      </c>
      <c r="H326" s="717" t="s">
        <v>319</v>
      </c>
      <c r="I326" s="896"/>
      <c r="J326" s="678"/>
    </row>
    <row r="327" spans="1:10" s="341" customFormat="1" ht="26.5" customHeight="1">
      <c r="A327" s="689"/>
      <c r="B327" s="898"/>
      <c r="C327" s="691"/>
      <c r="D327" s="717"/>
      <c r="E327" s="717" t="s">
        <v>318</v>
      </c>
      <c r="F327" s="717" t="s">
        <v>318</v>
      </c>
      <c r="G327" s="717" t="s">
        <v>318</v>
      </c>
      <c r="H327" s="717" t="s">
        <v>318</v>
      </c>
      <c r="I327" s="717" t="s">
        <v>529</v>
      </c>
      <c r="J327" s="678"/>
    </row>
    <row r="328" spans="1:10" s="341" customFormat="1" ht="17.149999999999999" customHeight="1">
      <c r="A328" s="1152" t="s">
        <v>790</v>
      </c>
      <c r="B328" s="1153"/>
      <c r="C328" s="677"/>
      <c r="D328" s="897">
        <f>SUM(E328:H328)</f>
        <v>-15.685</v>
      </c>
      <c r="E328" s="899">
        <v>-15.685</v>
      </c>
      <c r="F328" s="899"/>
      <c r="G328" s="899"/>
      <c r="H328" s="899"/>
      <c r="I328" s="1149" t="s">
        <v>9</v>
      </c>
      <c r="J328" s="678"/>
    </row>
    <row r="329" spans="1:10" s="341" customFormat="1" ht="17.149999999999999" customHeight="1">
      <c r="A329" s="1152" t="s">
        <v>575</v>
      </c>
      <c r="B329" s="1153"/>
      <c r="C329" s="677"/>
      <c r="D329" s="897">
        <f t="shared" ref="D329:D391" si="5">SUM(E329:H329)</f>
        <v>-2.4790000000000001</v>
      </c>
      <c r="E329" s="899">
        <v>-2.4790000000000001</v>
      </c>
      <c r="F329" s="899"/>
      <c r="G329" s="899"/>
      <c r="H329" s="899"/>
      <c r="I329" s="1149" t="s">
        <v>9</v>
      </c>
      <c r="J329" s="678"/>
    </row>
    <row r="330" spans="1:10" s="341" customFormat="1" ht="17.149999999999999" customHeight="1">
      <c r="A330" s="1152" t="s">
        <v>1351</v>
      </c>
      <c r="B330" s="1153"/>
      <c r="C330" s="677"/>
      <c r="D330" s="897">
        <f t="shared" si="5"/>
        <v>1.643</v>
      </c>
      <c r="E330" s="899">
        <v>1.643</v>
      </c>
      <c r="F330" s="899"/>
      <c r="G330" s="899"/>
      <c r="H330" s="899"/>
      <c r="I330" s="1149" t="s">
        <v>9</v>
      </c>
      <c r="J330" s="678"/>
    </row>
    <row r="331" spans="1:10" s="341" customFormat="1" ht="17.149999999999999" customHeight="1">
      <c r="A331" s="1152" t="s">
        <v>783</v>
      </c>
      <c r="B331" s="1153"/>
      <c r="C331" s="677"/>
      <c r="D331" s="897">
        <f t="shared" si="5"/>
        <v>-15590.932000000001</v>
      </c>
      <c r="E331" s="899">
        <v>-15590.932000000001</v>
      </c>
      <c r="F331" s="899"/>
      <c r="G331" s="899"/>
      <c r="H331" s="899"/>
      <c r="I331" s="1149" t="s">
        <v>9</v>
      </c>
      <c r="J331" s="678"/>
    </row>
    <row r="332" spans="1:10" s="341" customFormat="1" ht="17.149999999999999" customHeight="1">
      <c r="A332" s="1152" t="s">
        <v>1417</v>
      </c>
      <c r="B332" s="1153"/>
      <c r="C332" s="677"/>
      <c r="D332" s="897">
        <f t="shared" si="5"/>
        <v>-29000.784</v>
      </c>
      <c r="E332" s="899">
        <v>-10494.943989172034</v>
      </c>
      <c r="F332" s="899">
        <v>-18505.840010827967</v>
      </c>
      <c r="G332" s="899"/>
      <c r="H332" s="899"/>
      <c r="I332" s="1149" t="s">
        <v>9</v>
      </c>
      <c r="J332" s="678"/>
    </row>
    <row r="333" spans="1:10" s="341" customFormat="1" ht="17.149999999999999" customHeight="1">
      <c r="A333" s="1152" t="s">
        <v>774</v>
      </c>
      <c r="B333" s="1153"/>
      <c r="C333" s="887"/>
      <c r="D333" s="897">
        <f t="shared" si="5"/>
        <v>0</v>
      </c>
      <c r="E333" s="899"/>
      <c r="F333" s="899"/>
      <c r="G333" s="899"/>
      <c r="H333" s="899"/>
      <c r="I333" s="1149" t="s">
        <v>658</v>
      </c>
      <c r="J333" s="678"/>
    </row>
    <row r="334" spans="1:10" s="341" customFormat="1" ht="17.149999999999999" customHeight="1">
      <c r="A334" s="1152" t="s">
        <v>582</v>
      </c>
      <c r="B334" s="1153"/>
      <c r="C334" s="887"/>
      <c r="D334" s="897">
        <f t="shared" si="5"/>
        <v>-424.77</v>
      </c>
      <c r="E334" s="899"/>
      <c r="F334" s="899"/>
      <c r="G334" s="899">
        <v>-424.77</v>
      </c>
      <c r="H334" s="899"/>
      <c r="I334" s="1149" t="s">
        <v>10</v>
      </c>
      <c r="J334" s="678"/>
    </row>
    <row r="335" spans="1:10" s="341" customFormat="1" ht="17.149999999999999" customHeight="1">
      <c r="A335" s="1152" t="s">
        <v>1418</v>
      </c>
      <c r="B335" s="1153"/>
      <c r="C335" s="887"/>
      <c r="D335" s="897">
        <f t="shared" si="5"/>
        <v>-59219.900999999998</v>
      </c>
      <c r="E335" s="899">
        <v>-60597.438090762211</v>
      </c>
      <c r="F335" s="899">
        <v>1377.5370907622164</v>
      </c>
      <c r="G335" s="899"/>
      <c r="H335" s="899"/>
      <c r="I335" s="1149" t="s">
        <v>11</v>
      </c>
      <c r="J335" s="678"/>
    </row>
    <row r="336" spans="1:10" s="896" customFormat="1" ht="17.149999999999999" customHeight="1">
      <c r="A336" s="1152" t="s">
        <v>1635</v>
      </c>
      <c r="B336" s="1153"/>
      <c r="C336" s="887"/>
      <c r="D336" s="897">
        <f t="shared" si="5"/>
        <v>-7541.3789999999999</v>
      </c>
      <c r="E336" s="899">
        <v>-7541.3789999999999</v>
      </c>
      <c r="F336" s="899"/>
      <c r="G336" s="899"/>
      <c r="H336" s="899"/>
      <c r="I336" s="1149" t="s">
        <v>11</v>
      </c>
      <c r="J336" s="898"/>
    </row>
    <row r="337" spans="1:10" s="896" customFormat="1" ht="17.149999999999999" customHeight="1">
      <c r="A337" s="1152" t="s">
        <v>1636</v>
      </c>
      <c r="B337" s="1153"/>
      <c r="C337" s="887"/>
      <c r="D337" s="897">
        <f t="shared" si="5"/>
        <v>-2972.203</v>
      </c>
      <c r="E337" s="899">
        <v>-2972.203</v>
      </c>
      <c r="F337" s="899"/>
      <c r="G337" s="899"/>
      <c r="H337" s="899"/>
      <c r="I337" s="1149" t="s">
        <v>658</v>
      </c>
      <c r="J337" s="898"/>
    </row>
    <row r="338" spans="1:10" s="341" customFormat="1" ht="17.149999999999999" customHeight="1">
      <c r="A338" s="1152" t="s">
        <v>762</v>
      </c>
      <c r="B338" s="1153"/>
      <c r="C338" s="887"/>
      <c r="D338" s="897">
        <f t="shared" si="5"/>
        <v>0</v>
      </c>
      <c r="E338" s="899"/>
      <c r="F338" s="899"/>
      <c r="G338" s="899"/>
      <c r="H338" s="899"/>
      <c r="I338" s="1149" t="s">
        <v>658</v>
      </c>
      <c r="J338" s="678"/>
    </row>
    <row r="339" spans="1:10" s="341" customFormat="1" ht="34" customHeight="1">
      <c r="A339" s="1152" t="s">
        <v>127</v>
      </c>
      <c r="B339" s="1153"/>
      <c r="C339" s="887"/>
      <c r="D339" s="897">
        <f t="shared" si="5"/>
        <v>-105947.375</v>
      </c>
      <c r="E339" s="899"/>
      <c r="F339" s="899"/>
      <c r="G339" s="899">
        <v>-105947.375</v>
      </c>
      <c r="H339" s="899"/>
      <c r="I339" s="1149" t="s">
        <v>12</v>
      </c>
      <c r="J339" s="678"/>
    </row>
    <row r="340" spans="1:10" s="341" customFormat="1" ht="34" customHeight="1">
      <c r="A340" s="1152" t="s">
        <v>1200</v>
      </c>
      <c r="B340" s="1153"/>
      <c r="C340" s="887"/>
      <c r="D340" s="897">
        <f t="shared" si="5"/>
        <v>36495.891000000003</v>
      </c>
      <c r="E340" s="899"/>
      <c r="F340" s="899"/>
      <c r="G340" s="899">
        <v>36495.891000000003</v>
      </c>
      <c r="H340" s="899"/>
      <c r="I340" s="1149" t="s">
        <v>1318</v>
      </c>
      <c r="J340" s="678"/>
    </row>
    <row r="341" spans="1:10" s="341" customFormat="1" ht="17.149999999999999" customHeight="1">
      <c r="A341" s="1152" t="s">
        <v>902</v>
      </c>
      <c r="B341" s="1153"/>
      <c r="C341" s="887"/>
      <c r="D341" s="897">
        <f>SUM(E341:H341)</f>
        <v>40276.267999999996</v>
      </c>
      <c r="E341" s="899"/>
      <c r="F341" s="899"/>
      <c r="G341" s="899"/>
      <c r="H341" s="899">
        <f>+'ATT1B-ADIT'!J126/1000</f>
        <v>40276.267999999996</v>
      </c>
      <c r="I341" s="1149" t="s">
        <v>921</v>
      </c>
      <c r="J341" s="678"/>
    </row>
    <row r="342" spans="1:10" s="341" customFormat="1" ht="17.149999999999999" customHeight="1">
      <c r="A342" s="1152" t="s">
        <v>583</v>
      </c>
      <c r="B342" s="1153"/>
      <c r="C342" s="887"/>
      <c r="D342" s="897">
        <f t="shared" si="5"/>
        <v>-9943.9159999999993</v>
      </c>
      <c r="E342" s="899">
        <v>-9943.9159999999993</v>
      </c>
      <c r="F342" s="899"/>
      <c r="G342" s="899"/>
      <c r="H342" s="899"/>
      <c r="I342" s="1149" t="s">
        <v>13</v>
      </c>
      <c r="J342" s="678"/>
    </row>
    <row r="343" spans="1:10" s="341" customFormat="1" ht="17.149999999999999" customHeight="1">
      <c r="A343" s="1152" t="s">
        <v>584</v>
      </c>
      <c r="B343" s="1153"/>
      <c r="C343" s="887"/>
      <c r="D343" s="897">
        <f t="shared" si="5"/>
        <v>-62584.211000000003</v>
      </c>
      <c r="E343" s="899"/>
      <c r="F343" s="899"/>
      <c r="G343" s="899"/>
      <c r="H343" s="899">
        <f>+'ATT1B-ADIT'!J158/1000</f>
        <v>-62584.211000000003</v>
      </c>
      <c r="I343" s="1149" t="s">
        <v>128</v>
      </c>
      <c r="J343" s="678"/>
    </row>
    <row r="344" spans="1:10" s="341" customFormat="1" ht="17.149999999999999" customHeight="1">
      <c r="A344" s="1152" t="s">
        <v>1419</v>
      </c>
      <c r="B344" s="1153"/>
      <c r="C344" s="887"/>
      <c r="D344" s="897">
        <f t="shared" si="5"/>
        <v>0</v>
      </c>
      <c r="E344" s="899"/>
      <c r="F344" s="899"/>
      <c r="G344" s="899"/>
      <c r="H344" s="899"/>
      <c r="I344" s="1149" t="s">
        <v>14</v>
      </c>
      <c r="J344" s="678"/>
    </row>
    <row r="345" spans="1:10" s="341" customFormat="1" ht="17.149999999999999" customHeight="1">
      <c r="A345" s="1152" t="s">
        <v>585</v>
      </c>
      <c r="B345" s="1153"/>
      <c r="C345" s="887"/>
      <c r="D345" s="897">
        <f t="shared" si="5"/>
        <v>0</v>
      </c>
      <c r="E345" s="899"/>
      <c r="F345" s="899"/>
      <c r="G345" s="899"/>
      <c r="H345" s="899"/>
      <c r="I345" s="1149" t="s">
        <v>129</v>
      </c>
      <c r="J345" s="678"/>
    </row>
    <row r="346" spans="1:10" s="341" customFormat="1" ht="17.149999999999999" customHeight="1">
      <c r="A346" s="1152" t="s">
        <v>775</v>
      </c>
      <c r="B346" s="1153"/>
      <c r="C346" s="887"/>
      <c r="D346" s="897">
        <f t="shared" si="5"/>
        <v>0</v>
      </c>
      <c r="E346" s="899"/>
      <c r="F346" s="899"/>
      <c r="G346" s="899"/>
      <c r="H346" s="899"/>
      <c r="I346" s="1149" t="s">
        <v>658</v>
      </c>
      <c r="J346" s="678"/>
    </row>
    <row r="347" spans="1:10" s="341" customFormat="1" ht="17.149999999999999" customHeight="1">
      <c r="A347" s="1152" t="s">
        <v>1334</v>
      </c>
      <c r="B347" s="1153"/>
      <c r="C347" s="887"/>
      <c r="D347" s="897">
        <f t="shared" si="5"/>
        <v>0.17299999999999999</v>
      </c>
      <c r="E347" s="899">
        <v>0.17299999999999999</v>
      </c>
      <c r="F347" s="899"/>
      <c r="G347" s="899"/>
      <c r="H347" s="899"/>
      <c r="I347" s="1149" t="s">
        <v>658</v>
      </c>
      <c r="J347" s="678"/>
    </row>
    <row r="348" spans="1:10" s="341" customFormat="1" ht="17.149999999999999" customHeight="1">
      <c r="A348" s="1152" t="s">
        <v>1335</v>
      </c>
      <c r="B348" s="1153"/>
      <c r="C348" s="887"/>
      <c r="D348" s="897">
        <f t="shared" si="5"/>
        <v>-37.1065341072132</v>
      </c>
      <c r="E348" s="899">
        <v>-37.1065341072132</v>
      </c>
      <c r="F348" s="899"/>
      <c r="G348" s="899"/>
      <c r="H348" s="899"/>
      <c r="I348" s="1149" t="s">
        <v>658</v>
      </c>
      <c r="J348" s="678"/>
    </row>
    <row r="349" spans="1:10" s="341" customFormat="1" ht="17.149999999999999" customHeight="1">
      <c r="A349" s="1152" t="s">
        <v>1336</v>
      </c>
      <c r="B349" s="1153"/>
      <c r="C349" s="887"/>
      <c r="D349" s="897">
        <f t="shared" si="5"/>
        <v>-4619.1660000000002</v>
      </c>
      <c r="E349" s="899">
        <v>-4619.1660000000002</v>
      </c>
      <c r="F349" s="899"/>
      <c r="G349" s="899"/>
      <c r="H349" s="899"/>
      <c r="I349" s="1149" t="s">
        <v>658</v>
      </c>
      <c r="J349" s="678"/>
    </row>
    <row r="350" spans="1:10" s="341" customFormat="1" ht="17.149999999999999" customHeight="1">
      <c r="A350" s="1152" t="s">
        <v>1337</v>
      </c>
      <c r="B350" s="1153"/>
      <c r="C350" s="887"/>
      <c r="D350" s="897">
        <f t="shared" si="5"/>
        <v>-1.2949999999999999</v>
      </c>
      <c r="E350" s="899">
        <v>-1.2949999999999999</v>
      </c>
      <c r="F350" s="899"/>
      <c r="G350" s="899"/>
      <c r="H350" s="899"/>
      <c r="I350" s="1149" t="s">
        <v>658</v>
      </c>
      <c r="J350" s="678"/>
    </row>
    <row r="351" spans="1:10" s="341" customFormat="1" ht="17.149999999999999" customHeight="1">
      <c r="A351" s="1152" t="s">
        <v>1338</v>
      </c>
      <c r="B351" s="1153"/>
      <c r="C351" s="887"/>
      <c r="D351" s="897">
        <f t="shared" si="5"/>
        <v>-176.51391977399999</v>
      </c>
      <c r="E351" s="899">
        <v>-176.51391977399999</v>
      </c>
      <c r="F351" s="899"/>
      <c r="G351" s="899"/>
      <c r="H351" s="899"/>
      <c r="I351" s="1149" t="s">
        <v>658</v>
      </c>
      <c r="J351" s="678"/>
    </row>
    <row r="352" spans="1:10" s="341" customFormat="1" ht="17.149999999999999" customHeight="1">
      <c r="A352" s="1152" t="s">
        <v>1339</v>
      </c>
      <c r="B352" s="1153"/>
      <c r="C352" s="887"/>
      <c r="D352" s="897">
        <f t="shared" si="5"/>
        <v>-26378.714047887999</v>
      </c>
      <c r="E352" s="899">
        <v>-26378.714047887999</v>
      </c>
      <c r="F352" s="899"/>
      <c r="G352" s="899"/>
      <c r="H352" s="899"/>
      <c r="I352" s="1149" t="s">
        <v>658</v>
      </c>
      <c r="J352" s="678"/>
    </row>
    <row r="353" spans="1:10" s="341" customFormat="1" ht="17.149999999999999" customHeight="1">
      <c r="A353" s="1152" t="s">
        <v>1340</v>
      </c>
      <c r="B353" s="1153"/>
      <c r="C353" s="887"/>
      <c r="D353" s="897">
        <f t="shared" si="5"/>
        <v>-306971.86299452698</v>
      </c>
      <c r="E353" s="899">
        <v>-306971.86299452698</v>
      </c>
      <c r="F353" s="899"/>
      <c r="G353" s="899"/>
      <c r="H353" s="899"/>
      <c r="I353" s="1149" t="s">
        <v>658</v>
      </c>
      <c r="J353" s="678"/>
    </row>
    <row r="354" spans="1:10" s="341" customFormat="1" ht="17.149999999999999" customHeight="1">
      <c r="A354" s="1152" t="s">
        <v>1341</v>
      </c>
      <c r="B354" s="1153"/>
      <c r="C354" s="887"/>
      <c r="D354" s="897">
        <f t="shared" si="5"/>
        <v>-21143.851904237999</v>
      </c>
      <c r="E354" s="899">
        <v>-21143.851904237999</v>
      </c>
      <c r="F354" s="899"/>
      <c r="G354" s="899"/>
      <c r="H354" s="899"/>
      <c r="I354" s="1149" t="s">
        <v>658</v>
      </c>
      <c r="J354" s="678"/>
    </row>
    <row r="355" spans="1:10" s="341" customFormat="1" ht="17.149999999999999" customHeight="1">
      <c r="A355" s="1152" t="s">
        <v>791</v>
      </c>
      <c r="B355" s="1153"/>
      <c r="C355" s="887"/>
      <c r="D355" s="897">
        <f t="shared" si="5"/>
        <v>0</v>
      </c>
      <c r="E355" s="899"/>
      <c r="F355" s="899"/>
      <c r="G355" s="899"/>
      <c r="H355" s="899"/>
      <c r="I355" s="1149" t="s">
        <v>658</v>
      </c>
      <c r="J355" s="678"/>
    </row>
    <row r="356" spans="1:10" s="341" customFormat="1" ht="17.149999999999999" customHeight="1">
      <c r="A356" s="1152" t="s">
        <v>908</v>
      </c>
      <c r="B356" s="1153"/>
      <c r="C356" s="887"/>
      <c r="D356" s="897">
        <f t="shared" si="5"/>
        <v>0</v>
      </c>
      <c r="E356" s="899"/>
      <c r="F356" s="899"/>
      <c r="G356" s="899"/>
      <c r="H356" s="899"/>
      <c r="I356" s="1149" t="s">
        <v>658</v>
      </c>
      <c r="J356" s="678"/>
    </row>
    <row r="357" spans="1:10" s="341" customFormat="1" ht="17.149999999999999" customHeight="1">
      <c r="A357" s="1152" t="s">
        <v>1121</v>
      </c>
      <c r="B357" s="1153"/>
      <c r="C357" s="887"/>
      <c r="D357" s="897">
        <f t="shared" si="5"/>
        <v>0</v>
      </c>
      <c r="E357" s="899"/>
      <c r="F357" s="899"/>
      <c r="G357" s="899"/>
      <c r="H357" s="899"/>
      <c r="I357" s="1149" t="s">
        <v>658</v>
      </c>
      <c r="J357" s="678"/>
    </row>
    <row r="358" spans="1:10" s="341" customFormat="1" ht="17.149999999999999" customHeight="1">
      <c r="A358" s="1152" t="s">
        <v>1072</v>
      </c>
      <c r="B358" s="1153"/>
      <c r="C358" s="887"/>
      <c r="D358" s="897">
        <f t="shared" si="5"/>
        <v>0</v>
      </c>
      <c r="E358" s="899"/>
      <c r="F358" s="899"/>
      <c r="G358" s="899"/>
      <c r="H358" s="899"/>
      <c r="I358" s="1149" t="s">
        <v>658</v>
      </c>
      <c r="J358" s="678"/>
    </row>
    <row r="359" spans="1:10" s="341" customFormat="1" ht="17.149999999999999" customHeight="1">
      <c r="A359" s="1152" t="s">
        <v>1073</v>
      </c>
      <c r="B359" s="1153"/>
      <c r="C359" s="887"/>
      <c r="D359" s="897">
        <f t="shared" si="5"/>
        <v>0</v>
      </c>
      <c r="E359" s="899"/>
      <c r="F359" s="899"/>
      <c r="G359" s="899"/>
      <c r="H359" s="899"/>
      <c r="I359" s="1149" t="s">
        <v>658</v>
      </c>
      <c r="J359" s="678"/>
    </row>
    <row r="360" spans="1:10" s="341" customFormat="1" ht="17.149999999999999" customHeight="1">
      <c r="A360" s="1152" t="s">
        <v>1074</v>
      </c>
      <c r="B360" s="1153"/>
      <c r="C360" s="887"/>
      <c r="D360" s="897">
        <f t="shared" si="5"/>
        <v>0</v>
      </c>
      <c r="E360" s="899"/>
      <c r="F360" s="899"/>
      <c r="G360" s="899"/>
      <c r="H360" s="899"/>
      <c r="I360" s="1149" t="s">
        <v>658</v>
      </c>
      <c r="J360" s="678"/>
    </row>
    <row r="361" spans="1:10" s="341" customFormat="1" ht="17.149999999999999" customHeight="1">
      <c r="A361" s="1152" t="s">
        <v>1075</v>
      </c>
      <c r="B361" s="1153"/>
      <c r="C361" s="887"/>
      <c r="D361" s="897">
        <f t="shared" si="5"/>
        <v>0</v>
      </c>
      <c r="E361" s="899"/>
      <c r="F361" s="899"/>
      <c r="G361" s="899"/>
      <c r="H361" s="899"/>
      <c r="I361" s="1149" t="s">
        <v>658</v>
      </c>
      <c r="J361" s="678"/>
    </row>
    <row r="362" spans="1:10" s="341" customFormat="1" ht="17.149999999999999" customHeight="1">
      <c r="A362" s="1152" t="s">
        <v>1076</v>
      </c>
      <c r="B362" s="1153"/>
      <c r="C362" s="887"/>
      <c r="D362" s="897">
        <f t="shared" si="5"/>
        <v>0</v>
      </c>
      <c r="E362" s="899"/>
      <c r="F362" s="899"/>
      <c r="G362" s="899"/>
      <c r="H362" s="899"/>
      <c r="I362" s="1149" t="s">
        <v>658</v>
      </c>
      <c r="J362" s="678"/>
    </row>
    <row r="363" spans="1:10" s="341" customFormat="1" ht="17.149999999999999" customHeight="1">
      <c r="A363" s="1152" t="s">
        <v>903</v>
      </c>
      <c r="B363" s="1153"/>
      <c r="C363" s="887"/>
      <c r="D363" s="897">
        <f t="shared" si="5"/>
        <v>0</v>
      </c>
      <c r="E363" s="899"/>
      <c r="F363" s="899"/>
      <c r="G363" s="899"/>
      <c r="H363" s="899"/>
      <c r="I363" s="1149" t="s">
        <v>658</v>
      </c>
      <c r="J363" s="678"/>
    </row>
    <row r="364" spans="1:10" s="341" customFormat="1" ht="17.149999999999999" customHeight="1">
      <c r="A364" s="1152" t="s">
        <v>904</v>
      </c>
      <c r="B364" s="1153"/>
      <c r="C364" s="887"/>
      <c r="D364" s="897">
        <f t="shared" si="5"/>
        <v>0</v>
      </c>
      <c r="E364" s="899"/>
      <c r="F364" s="899"/>
      <c r="G364" s="899"/>
      <c r="H364" s="899"/>
      <c r="I364" s="1149" t="s">
        <v>658</v>
      </c>
      <c r="J364" s="678"/>
    </row>
    <row r="365" spans="1:10" s="341" customFormat="1" ht="17.149999999999999" customHeight="1">
      <c r="A365" s="1152" t="s">
        <v>905</v>
      </c>
      <c r="B365" s="1153"/>
      <c r="C365" s="887"/>
      <c r="D365" s="897">
        <f t="shared" si="5"/>
        <v>0</v>
      </c>
      <c r="E365" s="899"/>
      <c r="F365" s="899"/>
      <c r="G365" s="899"/>
      <c r="H365" s="899"/>
      <c r="I365" s="1149" t="s">
        <v>658</v>
      </c>
      <c r="J365" s="678"/>
    </row>
    <row r="366" spans="1:10" s="341" customFormat="1" ht="17.149999999999999" customHeight="1">
      <c r="A366" s="1152" t="s">
        <v>1077</v>
      </c>
      <c r="B366" s="1153"/>
      <c r="C366" s="887"/>
      <c r="D366" s="897">
        <f t="shared" si="5"/>
        <v>0</v>
      </c>
      <c r="E366" s="899"/>
      <c r="F366" s="899"/>
      <c r="G366" s="899"/>
      <c r="H366" s="899"/>
      <c r="I366" s="1149" t="s">
        <v>658</v>
      </c>
      <c r="J366" s="678"/>
    </row>
    <row r="367" spans="1:10" s="341" customFormat="1" ht="17.149999999999999" customHeight="1">
      <c r="A367" s="1152" t="s">
        <v>781</v>
      </c>
      <c r="B367" s="1153"/>
      <c r="C367" s="887"/>
      <c r="D367" s="897">
        <f t="shared" si="5"/>
        <v>0</v>
      </c>
      <c r="E367" s="899"/>
      <c r="F367" s="899"/>
      <c r="G367" s="899"/>
      <c r="H367" s="899"/>
      <c r="I367" s="1149" t="s">
        <v>658</v>
      </c>
      <c r="J367" s="678"/>
    </row>
    <row r="368" spans="1:10" s="341" customFormat="1" ht="17.149999999999999" customHeight="1">
      <c r="A368" s="1152" t="s">
        <v>779</v>
      </c>
      <c r="B368" s="1153"/>
      <c r="C368" s="887"/>
      <c r="D368" s="897">
        <f t="shared" si="5"/>
        <v>0</v>
      </c>
      <c r="E368" s="899"/>
      <c r="F368" s="899"/>
      <c r="G368" s="899"/>
      <c r="H368" s="899"/>
      <c r="I368" s="1149" t="s">
        <v>658</v>
      </c>
      <c r="J368" s="678"/>
    </row>
    <row r="369" spans="1:10" s="341" customFormat="1" ht="17.149999999999999" customHeight="1">
      <c r="A369" s="1152" t="s">
        <v>782</v>
      </c>
      <c r="B369" s="1153"/>
      <c r="C369" s="887"/>
      <c r="D369" s="897">
        <f t="shared" si="5"/>
        <v>0</v>
      </c>
      <c r="E369" s="899"/>
      <c r="F369" s="899"/>
      <c r="G369" s="899"/>
      <c r="H369" s="899"/>
      <c r="I369" s="1149" t="s">
        <v>658</v>
      </c>
      <c r="J369" s="678"/>
    </row>
    <row r="370" spans="1:10" s="341" customFormat="1" ht="17.149999999999999" customHeight="1">
      <c r="A370" s="1152" t="s">
        <v>1122</v>
      </c>
      <c r="B370" s="1153"/>
      <c r="C370" s="887"/>
      <c r="D370" s="897">
        <f t="shared" si="5"/>
        <v>-38732.892</v>
      </c>
      <c r="E370" s="899">
        <v>-38732.892</v>
      </c>
      <c r="F370" s="899"/>
      <c r="G370" s="899"/>
      <c r="H370" s="899"/>
      <c r="I370" s="1149" t="s">
        <v>658</v>
      </c>
      <c r="J370" s="678"/>
    </row>
    <row r="371" spans="1:10" s="341" customFormat="1" ht="17.149999999999999" customHeight="1">
      <c r="A371" s="1152" t="s">
        <v>780</v>
      </c>
      <c r="B371" s="1153"/>
      <c r="C371" s="887"/>
      <c r="D371" s="897">
        <f t="shared" si="5"/>
        <v>300.363</v>
      </c>
      <c r="E371" s="899">
        <v>300.363</v>
      </c>
      <c r="F371" s="899"/>
      <c r="G371" s="899"/>
      <c r="H371" s="899"/>
      <c r="I371" s="1149" t="s">
        <v>658</v>
      </c>
      <c r="J371" s="678"/>
    </row>
    <row r="372" spans="1:10" s="896" customFormat="1" ht="17.149999999999999" customHeight="1">
      <c r="A372" s="1152" t="s">
        <v>1637</v>
      </c>
      <c r="B372" s="1153"/>
      <c r="C372" s="887"/>
      <c r="D372" s="897">
        <f t="shared" si="5"/>
        <v>-8602.3479299998307</v>
      </c>
      <c r="E372" s="899">
        <v>-8602.3479299998307</v>
      </c>
      <c r="F372" s="899"/>
      <c r="G372" s="899"/>
      <c r="H372" s="899"/>
      <c r="I372" s="1149" t="s">
        <v>658</v>
      </c>
      <c r="J372" s="898"/>
    </row>
    <row r="373" spans="1:10" s="341" customFormat="1" ht="17.149999999999999" customHeight="1">
      <c r="A373" s="1152" t="s">
        <v>1405</v>
      </c>
      <c r="B373" s="1153"/>
      <c r="C373" s="887"/>
      <c r="D373" s="897">
        <f t="shared" si="5"/>
        <v>-166.114</v>
      </c>
      <c r="E373" s="899">
        <v>-166.114</v>
      </c>
      <c r="F373" s="899"/>
      <c r="G373" s="899"/>
      <c r="H373" s="899"/>
      <c r="I373" s="1149" t="s">
        <v>658</v>
      </c>
      <c r="J373" s="678"/>
    </row>
    <row r="374" spans="1:10" s="896" customFormat="1" ht="34" customHeight="1">
      <c r="A374" s="1152" t="s">
        <v>1644</v>
      </c>
      <c r="B374" s="1153"/>
      <c r="C374" s="887"/>
      <c r="D374" s="897">
        <f t="shared" si="5"/>
        <v>-0.17899999999999999</v>
      </c>
      <c r="E374" s="899">
        <v>-0.17899999999999999</v>
      </c>
      <c r="F374" s="899"/>
      <c r="G374" s="899"/>
      <c r="H374" s="899"/>
      <c r="I374" s="1149" t="s">
        <v>658</v>
      </c>
      <c r="J374" s="898"/>
    </row>
    <row r="375" spans="1:10" s="341" customFormat="1" ht="17.149999999999999" customHeight="1">
      <c r="A375" s="1152" t="s">
        <v>1123</v>
      </c>
      <c r="B375" s="1153"/>
      <c r="C375" s="887"/>
      <c r="D375" s="897">
        <f t="shared" si="5"/>
        <v>29.346</v>
      </c>
      <c r="E375" s="899">
        <v>29.346</v>
      </c>
      <c r="F375" s="899"/>
      <c r="G375" s="899"/>
      <c r="H375" s="899"/>
      <c r="I375" s="1149" t="s">
        <v>658</v>
      </c>
      <c r="J375" s="678"/>
    </row>
    <row r="376" spans="1:10" s="896" customFormat="1" ht="34" customHeight="1">
      <c r="A376" s="1152" t="s">
        <v>1645</v>
      </c>
      <c r="B376" s="1153"/>
      <c r="C376" s="887"/>
      <c r="D376" s="897">
        <f t="shared" si="5"/>
        <v>-9.1620000000000008</v>
      </c>
      <c r="E376" s="899">
        <v>-9.1620000000000008</v>
      </c>
      <c r="F376" s="899"/>
      <c r="G376" s="899"/>
      <c r="H376" s="899"/>
      <c r="I376" s="1149" t="s">
        <v>658</v>
      </c>
      <c r="J376" s="898"/>
    </row>
    <row r="377" spans="1:10" s="341" customFormat="1" ht="17.149999999999999" customHeight="1">
      <c r="A377" s="1152" t="s">
        <v>1124</v>
      </c>
      <c r="B377" s="1153"/>
      <c r="C377" s="887"/>
      <c r="D377" s="897">
        <f t="shared" si="5"/>
        <v>0</v>
      </c>
      <c r="E377" s="899">
        <v>0</v>
      </c>
      <c r="F377" s="899"/>
      <c r="G377" s="899"/>
      <c r="H377" s="899"/>
      <c r="I377" s="1149" t="s">
        <v>658</v>
      </c>
      <c r="J377" s="678"/>
    </row>
    <row r="378" spans="1:10" s="341" customFormat="1" ht="17.149999999999999" customHeight="1">
      <c r="A378" s="1152" t="s">
        <v>1352</v>
      </c>
      <c r="B378" s="1153"/>
      <c r="C378" s="887"/>
      <c r="D378" s="897">
        <f t="shared" si="5"/>
        <v>421.18900000000002</v>
      </c>
      <c r="E378" s="899">
        <v>421.18900000000002</v>
      </c>
      <c r="F378" s="899"/>
      <c r="G378" s="899"/>
      <c r="H378" s="899"/>
      <c r="I378" s="1149" t="s">
        <v>658</v>
      </c>
      <c r="J378" s="678"/>
    </row>
    <row r="379" spans="1:10" s="896" customFormat="1" ht="34" customHeight="1">
      <c r="A379" s="1152" t="s">
        <v>1638</v>
      </c>
      <c r="B379" s="1153"/>
      <c r="C379" s="887"/>
      <c r="D379" s="897">
        <f t="shared" si="5"/>
        <v>0.88600000000000001</v>
      </c>
      <c r="E379" s="899">
        <v>0.88600000000000001</v>
      </c>
      <c r="F379" s="899"/>
      <c r="G379" s="899"/>
      <c r="H379" s="899"/>
      <c r="I379" s="1149" t="s">
        <v>658</v>
      </c>
      <c r="J379" s="898"/>
    </row>
    <row r="380" spans="1:10" s="341" customFormat="1" ht="17.149999999999999" customHeight="1">
      <c r="A380" s="1152" t="s">
        <v>1125</v>
      </c>
      <c r="B380" s="1153"/>
      <c r="C380" s="887"/>
      <c r="D380" s="897">
        <f t="shared" si="5"/>
        <v>3.0000000000000001E-3</v>
      </c>
      <c r="E380" s="899">
        <v>3.0000000000000001E-3</v>
      </c>
      <c r="F380" s="899"/>
      <c r="G380" s="899"/>
      <c r="H380" s="899"/>
      <c r="I380" s="1149" t="s">
        <v>658</v>
      </c>
      <c r="J380" s="678"/>
    </row>
    <row r="381" spans="1:10" s="341" customFormat="1" ht="17.149999999999999" customHeight="1">
      <c r="A381" s="1152" t="s">
        <v>1353</v>
      </c>
      <c r="B381" s="1153"/>
      <c r="C381" s="887"/>
      <c r="D381" s="897">
        <f t="shared" si="5"/>
        <v>-10.384</v>
      </c>
      <c r="E381" s="899">
        <v>-10.384</v>
      </c>
      <c r="F381" s="899"/>
      <c r="G381" s="899"/>
      <c r="H381" s="899"/>
      <c r="I381" s="1149" t="s">
        <v>658</v>
      </c>
      <c r="J381" s="678"/>
    </row>
    <row r="382" spans="1:10" s="896" customFormat="1" ht="34" customHeight="1">
      <c r="A382" s="1152" t="s">
        <v>1639</v>
      </c>
      <c r="B382" s="1153"/>
      <c r="C382" s="887"/>
      <c r="D382" s="897">
        <f t="shared" si="5"/>
        <v>-1.306</v>
      </c>
      <c r="E382" s="899">
        <v>-1.306</v>
      </c>
      <c r="F382" s="899"/>
      <c r="G382" s="899"/>
      <c r="H382" s="899"/>
      <c r="I382" s="1149" t="s">
        <v>658</v>
      </c>
      <c r="J382" s="898"/>
    </row>
    <row r="383" spans="1:10" s="341" customFormat="1" ht="17.149999999999999" customHeight="1">
      <c r="A383" s="1152" t="s">
        <v>1126</v>
      </c>
      <c r="B383" s="1153"/>
      <c r="C383" s="887"/>
      <c r="D383" s="897">
        <f t="shared" si="5"/>
        <v>-11809.19</v>
      </c>
      <c r="E383" s="899">
        <v>-11809.19</v>
      </c>
      <c r="F383" s="899"/>
      <c r="G383" s="899"/>
      <c r="H383" s="899"/>
      <c r="I383" s="1149" t="s">
        <v>658</v>
      </c>
      <c r="J383" s="678"/>
    </row>
    <row r="384" spans="1:10" s="896" customFormat="1" ht="34" customHeight="1">
      <c r="A384" s="1152" t="s">
        <v>1640</v>
      </c>
      <c r="B384" s="1153"/>
      <c r="C384" s="887"/>
      <c r="D384" s="897">
        <f t="shared" si="5"/>
        <v>-673.00800000000004</v>
      </c>
      <c r="E384" s="899">
        <v>-673.00800000000004</v>
      </c>
      <c r="F384" s="899"/>
      <c r="G384" s="899"/>
      <c r="H384" s="899"/>
      <c r="I384" s="1149" t="s">
        <v>658</v>
      </c>
      <c r="J384" s="898"/>
    </row>
    <row r="385" spans="1:10" s="341" customFormat="1" ht="17.149999999999999" customHeight="1">
      <c r="A385" s="1152" t="s">
        <v>1127</v>
      </c>
      <c r="B385" s="1153"/>
      <c r="C385" s="887"/>
      <c r="D385" s="897">
        <f t="shared" si="5"/>
        <v>-22.504999999999999</v>
      </c>
      <c r="E385" s="899">
        <v>-22.504999999999999</v>
      </c>
      <c r="F385" s="899"/>
      <c r="G385" s="899"/>
      <c r="H385" s="899"/>
      <c r="I385" s="1149" t="s">
        <v>658</v>
      </c>
      <c r="J385" s="678"/>
    </row>
    <row r="386" spans="1:10" s="341" customFormat="1" ht="17.149999999999999" customHeight="1">
      <c r="A386" s="1152" t="s">
        <v>1354</v>
      </c>
      <c r="B386" s="1153"/>
      <c r="C386" s="887"/>
      <c r="D386" s="897">
        <f t="shared" si="5"/>
        <v>92.754000000000005</v>
      </c>
      <c r="E386" s="899">
        <v>92.754000000000005</v>
      </c>
      <c r="F386" s="899"/>
      <c r="G386" s="899"/>
      <c r="H386" s="899"/>
      <c r="I386" s="1149" t="s">
        <v>658</v>
      </c>
      <c r="J386" s="678"/>
    </row>
    <row r="387" spans="1:10" s="896" customFormat="1" ht="34" customHeight="1">
      <c r="A387" s="1152" t="s">
        <v>1641</v>
      </c>
      <c r="B387" s="1153"/>
      <c r="C387" s="887"/>
      <c r="D387" s="897">
        <f t="shared" si="5"/>
        <v>-1.05</v>
      </c>
      <c r="E387" s="899">
        <v>-1.05</v>
      </c>
      <c r="F387" s="899"/>
      <c r="G387" s="899"/>
      <c r="H387" s="899"/>
      <c r="I387" s="1149" t="s">
        <v>658</v>
      </c>
      <c r="J387" s="898"/>
    </row>
    <row r="388" spans="1:10" s="341" customFormat="1" ht="17.149999999999999" customHeight="1">
      <c r="A388" s="1152" t="s">
        <v>1078</v>
      </c>
      <c r="B388" s="1153"/>
      <c r="C388" s="887"/>
      <c r="D388" s="897">
        <f t="shared" si="5"/>
        <v>-1045.577</v>
      </c>
      <c r="E388" s="899">
        <v>-1045.577</v>
      </c>
      <c r="F388" s="899"/>
      <c r="G388" s="899"/>
      <c r="H388" s="899"/>
      <c r="I388" s="1149" t="s">
        <v>658</v>
      </c>
      <c r="J388" s="678"/>
    </row>
    <row r="389" spans="1:10" s="896" customFormat="1" ht="34" customHeight="1">
      <c r="A389" s="1152" t="s">
        <v>1642</v>
      </c>
      <c r="B389" s="1153"/>
      <c r="C389" s="887"/>
      <c r="D389" s="897">
        <f t="shared" si="5"/>
        <v>-48.631</v>
      </c>
      <c r="E389" s="899">
        <v>-48.631</v>
      </c>
      <c r="F389" s="899"/>
      <c r="G389" s="899"/>
      <c r="H389" s="899"/>
      <c r="I389" s="1149" t="s">
        <v>658</v>
      </c>
      <c r="J389" s="898"/>
    </row>
    <row r="390" spans="1:10" s="341" customFormat="1" ht="17.149999999999999" customHeight="1">
      <c r="A390" s="1152" t="s">
        <v>1128</v>
      </c>
      <c r="B390" s="1153"/>
      <c r="C390" s="887"/>
      <c r="D390" s="897">
        <f t="shared" si="5"/>
        <v>-2319.7530000000002</v>
      </c>
      <c r="E390" s="899">
        <v>-2319.7530000000002</v>
      </c>
      <c r="F390" s="899"/>
      <c r="G390" s="899"/>
      <c r="H390" s="899"/>
      <c r="I390" s="1149" t="s">
        <v>658</v>
      </c>
      <c r="J390" s="678"/>
    </row>
    <row r="391" spans="1:10" s="896" customFormat="1" ht="34" customHeight="1">
      <c r="A391" s="1152" t="s">
        <v>1643</v>
      </c>
      <c r="B391" s="1153"/>
      <c r="C391" s="887"/>
      <c r="D391" s="897">
        <f t="shared" si="5"/>
        <v>-2.2450000000000001</v>
      </c>
      <c r="E391" s="899">
        <v>-2.2450000000000001</v>
      </c>
      <c r="F391" s="899"/>
      <c r="G391" s="899"/>
      <c r="H391" s="899"/>
      <c r="I391" s="1149" t="s">
        <v>658</v>
      </c>
      <c r="J391" s="898"/>
    </row>
    <row r="392" spans="1:10" s="341" customFormat="1" ht="17.149999999999999" customHeight="1">
      <c r="A392" s="1152" t="s">
        <v>1079</v>
      </c>
      <c r="B392" s="1153"/>
      <c r="C392" s="887"/>
      <c r="D392" s="897">
        <f t="shared" ref="D392:D461" si="6">SUM(E392:H392)</f>
        <v>-0.96299999999999997</v>
      </c>
      <c r="E392" s="899">
        <v>-0.96299999999999997</v>
      </c>
      <c r="F392" s="899"/>
      <c r="G392" s="899"/>
      <c r="H392" s="899"/>
      <c r="I392" s="1149" t="s">
        <v>658</v>
      </c>
      <c r="J392" s="678"/>
    </row>
    <row r="393" spans="1:10" s="341" customFormat="1" ht="17.149999999999999" customHeight="1">
      <c r="A393" s="1152" t="s">
        <v>1355</v>
      </c>
      <c r="B393" s="1153"/>
      <c r="C393" s="887"/>
      <c r="D393" s="897">
        <f t="shared" si="6"/>
        <v>-2E-3</v>
      </c>
      <c r="E393" s="899">
        <v>-2E-3</v>
      </c>
      <c r="F393" s="899"/>
      <c r="G393" s="899"/>
      <c r="H393" s="899"/>
      <c r="I393" s="1149" t="s">
        <v>658</v>
      </c>
      <c r="J393" s="678"/>
    </row>
    <row r="394" spans="1:10" s="341" customFormat="1" ht="17.149999999999999" customHeight="1">
      <c r="A394" s="1152" t="s">
        <v>1129</v>
      </c>
      <c r="B394" s="1153"/>
      <c r="C394" s="887"/>
      <c r="D394" s="897">
        <f t="shared" si="6"/>
        <v>-1.0999999999999999E-2</v>
      </c>
      <c r="E394" s="899">
        <v>-1.0999999999999999E-2</v>
      </c>
      <c r="F394" s="899"/>
      <c r="G394" s="899"/>
      <c r="H394" s="899"/>
      <c r="I394" s="1149" t="s">
        <v>658</v>
      </c>
      <c r="J394" s="678"/>
    </row>
    <row r="395" spans="1:10" s="341" customFormat="1" ht="17.149999999999999" customHeight="1">
      <c r="A395" s="1152" t="s">
        <v>1130</v>
      </c>
      <c r="B395" s="1153"/>
      <c r="C395" s="887"/>
      <c r="D395" s="897">
        <f t="shared" si="6"/>
        <v>0</v>
      </c>
      <c r="E395" s="899">
        <v>0</v>
      </c>
      <c r="F395" s="899"/>
      <c r="G395" s="899"/>
      <c r="H395" s="899"/>
      <c r="I395" s="1149" t="s">
        <v>658</v>
      </c>
      <c r="J395" s="678"/>
    </row>
    <row r="396" spans="1:10" s="896" customFormat="1" ht="17.149999999999999" customHeight="1">
      <c r="A396" s="1152" t="s">
        <v>1456</v>
      </c>
      <c r="B396" s="1153"/>
      <c r="C396" s="887"/>
      <c r="D396" s="897">
        <f t="shared" si="6"/>
        <v>4.2999999999999997E-2</v>
      </c>
      <c r="E396" s="899">
        <v>4.2999999999999997E-2</v>
      </c>
      <c r="F396" s="899"/>
      <c r="G396" s="899"/>
      <c r="H396" s="899"/>
      <c r="I396" s="1149" t="s">
        <v>658</v>
      </c>
      <c r="J396" s="898"/>
    </row>
    <row r="397" spans="1:10" s="896" customFormat="1" ht="17.149999999999999" customHeight="1">
      <c r="A397" s="1152" t="s">
        <v>1356</v>
      </c>
      <c r="B397" s="1153"/>
      <c r="C397" s="887"/>
      <c r="D397" s="897">
        <f t="shared" si="6"/>
        <v>0</v>
      </c>
      <c r="E397" s="899">
        <v>0</v>
      </c>
      <c r="F397" s="899"/>
      <c r="G397" s="899"/>
      <c r="H397" s="899"/>
      <c r="I397" s="1149" t="s">
        <v>658</v>
      </c>
      <c r="J397" s="898"/>
    </row>
    <row r="398" spans="1:10" s="896" customFormat="1" ht="17.149999999999999" customHeight="1">
      <c r="A398" s="1152" t="s">
        <v>1357</v>
      </c>
      <c r="B398" s="1153"/>
      <c r="C398" s="887"/>
      <c r="D398" s="897">
        <f t="shared" si="6"/>
        <v>1E-3</v>
      </c>
      <c r="E398" s="899">
        <v>1E-3</v>
      </c>
      <c r="F398" s="899"/>
      <c r="G398" s="899"/>
      <c r="H398" s="899"/>
      <c r="I398" s="1149" t="s">
        <v>658</v>
      </c>
      <c r="J398" s="898"/>
    </row>
    <row r="399" spans="1:10" s="341" customFormat="1" ht="17.149999999999999" customHeight="1">
      <c r="A399" s="1152" t="s">
        <v>1080</v>
      </c>
      <c r="B399" s="1153"/>
      <c r="C399" s="887"/>
      <c r="D399" s="897">
        <f t="shared" si="6"/>
        <v>0</v>
      </c>
      <c r="E399" s="899"/>
      <c r="F399" s="899"/>
      <c r="G399" s="899"/>
      <c r="H399" s="899"/>
      <c r="I399" s="1149" t="s">
        <v>658</v>
      </c>
      <c r="J399" s="678"/>
    </row>
    <row r="400" spans="1:10" s="341" customFormat="1" ht="17.149999999999999" customHeight="1">
      <c r="A400" s="1152" t="s">
        <v>1131</v>
      </c>
      <c r="B400" s="1153"/>
      <c r="C400" s="887"/>
      <c r="D400" s="897">
        <f t="shared" si="6"/>
        <v>-0.41899999999999998</v>
      </c>
      <c r="E400" s="899">
        <v>-0.41899999999999998</v>
      </c>
      <c r="F400" s="899"/>
      <c r="G400" s="899"/>
      <c r="H400" s="899"/>
      <c r="I400" s="1149" t="s">
        <v>658</v>
      </c>
      <c r="J400" s="678"/>
    </row>
    <row r="401" spans="1:10" s="896" customFormat="1" ht="17.149999999999999" customHeight="1">
      <c r="A401" s="1152" t="s">
        <v>1522</v>
      </c>
      <c r="B401" s="1153"/>
      <c r="C401" s="887"/>
      <c r="D401" s="897">
        <f t="shared" si="6"/>
        <v>-2E-3</v>
      </c>
      <c r="E401" s="899">
        <v>-2E-3</v>
      </c>
      <c r="F401" s="899"/>
      <c r="G401" s="899"/>
      <c r="H401" s="899"/>
      <c r="I401" s="1149" t="s">
        <v>658</v>
      </c>
      <c r="J401" s="898"/>
    </row>
    <row r="402" spans="1:10" s="896" customFormat="1" ht="17.149999999999999" customHeight="1">
      <c r="A402" s="1152" t="s">
        <v>1358</v>
      </c>
      <c r="B402" s="1153"/>
      <c r="C402" s="887"/>
      <c r="D402" s="897">
        <f t="shared" si="6"/>
        <v>2E-3</v>
      </c>
      <c r="E402" s="899">
        <v>2E-3</v>
      </c>
      <c r="F402" s="899"/>
      <c r="G402" s="899"/>
      <c r="H402" s="899"/>
      <c r="I402" s="1149" t="s">
        <v>658</v>
      </c>
      <c r="J402" s="898"/>
    </row>
    <row r="403" spans="1:10" s="341" customFormat="1" ht="17.149999999999999" customHeight="1">
      <c r="A403" s="1152" t="s">
        <v>1081</v>
      </c>
      <c r="B403" s="1153"/>
      <c r="C403" s="887"/>
      <c r="D403" s="897">
        <f t="shared" si="6"/>
        <v>-0.11700000000000001</v>
      </c>
      <c r="E403" s="899">
        <v>-0.11700000000000001</v>
      </c>
      <c r="F403" s="899"/>
      <c r="G403" s="899"/>
      <c r="H403" s="899"/>
      <c r="I403" s="1149" t="s">
        <v>658</v>
      </c>
      <c r="J403" s="678"/>
    </row>
    <row r="404" spans="1:10" s="341" customFormat="1" ht="17.149999999999999" customHeight="1">
      <c r="A404" s="1152" t="s">
        <v>1359</v>
      </c>
      <c r="B404" s="1153"/>
      <c r="C404" s="887"/>
      <c r="D404" s="897">
        <f t="shared" si="6"/>
        <v>-2.3E-2</v>
      </c>
      <c r="E404" s="899">
        <v>-2.3E-2</v>
      </c>
      <c r="F404" s="899"/>
      <c r="G404" s="899"/>
      <c r="H404" s="899"/>
      <c r="I404" s="1149" t="s">
        <v>658</v>
      </c>
      <c r="J404" s="678"/>
    </row>
    <row r="405" spans="1:10" s="341" customFormat="1" ht="17.149999999999999" customHeight="1">
      <c r="A405" s="1152" t="s">
        <v>785</v>
      </c>
      <c r="B405" s="1153"/>
      <c r="C405" s="887"/>
      <c r="D405" s="897">
        <f t="shared" si="6"/>
        <v>-162.45500000000001</v>
      </c>
      <c r="E405" s="899">
        <v>-162.45500000000001</v>
      </c>
      <c r="F405" s="899"/>
      <c r="G405" s="899"/>
      <c r="H405" s="899"/>
      <c r="I405" s="1149" t="s">
        <v>658</v>
      </c>
      <c r="J405" s="678"/>
    </row>
    <row r="406" spans="1:10" s="341" customFormat="1" ht="17.149999999999999" customHeight="1">
      <c r="A406" s="1152" t="s">
        <v>1406</v>
      </c>
      <c r="B406" s="1153"/>
      <c r="C406" s="887"/>
      <c r="D406" s="897">
        <f t="shared" si="6"/>
        <v>-1.704</v>
      </c>
      <c r="E406" s="899">
        <v>-1.704</v>
      </c>
      <c r="F406" s="899"/>
      <c r="G406" s="899"/>
      <c r="H406" s="899"/>
      <c r="I406" s="1149" t="s">
        <v>658</v>
      </c>
      <c r="J406" s="678"/>
    </row>
    <row r="407" spans="1:10" s="341" customFormat="1" ht="17.149999999999999" customHeight="1">
      <c r="A407" s="1152" t="s">
        <v>1132</v>
      </c>
      <c r="B407" s="1153"/>
      <c r="C407" s="887"/>
      <c r="D407" s="897">
        <f t="shared" si="6"/>
        <v>9.6000000000000002E-2</v>
      </c>
      <c r="E407" s="899">
        <v>9.6000000000000002E-2</v>
      </c>
      <c r="F407" s="899"/>
      <c r="G407" s="899"/>
      <c r="H407" s="899"/>
      <c r="I407" s="1149" t="s">
        <v>658</v>
      </c>
      <c r="J407" s="678"/>
    </row>
    <row r="408" spans="1:10" s="341" customFormat="1" ht="17.149999999999999" customHeight="1">
      <c r="A408" s="1152" t="s">
        <v>1133</v>
      </c>
      <c r="B408" s="1153"/>
      <c r="C408" s="887"/>
      <c r="D408" s="897">
        <f t="shared" si="6"/>
        <v>0</v>
      </c>
      <c r="E408" s="899">
        <v>0</v>
      </c>
      <c r="F408" s="899"/>
      <c r="G408" s="899"/>
      <c r="H408" s="899"/>
      <c r="I408" s="1149" t="s">
        <v>658</v>
      </c>
      <c r="J408" s="678"/>
    </row>
    <row r="409" spans="1:10" s="341" customFormat="1" ht="17.149999999999999" customHeight="1">
      <c r="A409" s="1152" t="s">
        <v>1407</v>
      </c>
      <c r="B409" s="1153"/>
      <c r="C409" s="887"/>
      <c r="D409" s="897">
        <f t="shared" si="6"/>
        <v>1</v>
      </c>
      <c r="E409" s="899">
        <v>1</v>
      </c>
      <c r="F409" s="899"/>
      <c r="G409" s="899"/>
      <c r="H409" s="899"/>
      <c r="I409" s="1149" t="s">
        <v>658</v>
      </c>
      <c r="J409" s="678"/>
    </row>
    <row r="410" spans="1:10" s="341" customFormat="1" ht="17.149999999999999" customHeight="1">
      <c r="A410" s="1152" t="s">
        <v>1408</v>
      </c>
      <c r="B410" s="1153"/>
      <c r="C410" s="887"/>
      <c r="D410" s="897">
        <f t="shared" si="6"/>
        <v>0</v>
      </c>
      <c r="E410" s="899">
        <v>0</v>
      </c>
      <c r="F410" s="899"/>
      <c r="G410" s="899"/>
      <c r="H410" s="899"/>
      <c r="I410" s="1149" t="s">
        <v>658</v>
      </c>
      <c r="J410" s="678"/>
    </row>
    <row r="411" spans="1:10" s="341" customFormat="1" ht="17.149999999999999" customHeight="1">
      <c r="A411" s="1152" t="s">
        <v>1409</v>
      </c>
      <c r="B411" s="1153"/>
      <c r="C411" s="887"/>
      <c r="D411" s="897">
        <f t="shared" si="6"/>
        <v>-0.185</v>
      </c>
      <c r="E411" s="899">
        <v>-0.185</v>
      </c>
      <c r="F411" s="899"/>
      <c r="G411" s="899"/>
      <c r="H411" s="899"/>
      <c r="I411" s="1149" t="s">
        <v>658</v>
      </c>
      <c r="J411" s="678"/>
    </row>
    <row r="412" spans="1:10" s="341" customFormat="1" ht="17.149999999999999" customHeight="1">
      <c r="A412" s="1152" t="s">
        <v>1134</v>
      </c>
      <c r="B412" s="1153"/>
      <c r="C412" s="887"/>
      <c r="D412" s="897">
        <f t="shared" si="6"/>
        <v>-99.805000000000007</v>
      </c>
      <c r="E412" s="899">
        <v>-99.805000000000007</v>
      </c>
      <c r="F412" s="899"/>
      <c r="G412" s="899"/>
      <c r="H412" s="899"/>
      <c r="I412" s="1149" t="s">
        <v>658</v>
      </c>
      <c r="J412" s="678"/>
    </row>
    <row r="413" spans="1:10" s="341" customFormat="1" ht="17.149999999999999" customHeight="1">
      <c r="A413" s="1152" t="s">
        <v>1135</v>
      </c>
      <c r="B413" s="1153"/>
      <c r="C413" s="887"/>
      <c r="D413" s="897">
        <f t="shared" si="6"/>
        <v>-0.16300000000000001</v>
      </c>
      <c r="E413" s="899">
        <v>-0.16300000000000001</v>
      </c>
      <c r="F413" s="899"/>
      <c r="G413" s="899"/>
      <c r="H413" s="899"/>
      <c r="I413" s="1149" t="s">
        <v>658</v>
      </c>
      <c r="J413" s="678"/>
    </row>
    <row r="414" spans="1:10" s="341" customFormat="1" ht="17.149999999999999" customHeight="1">
      <c r="A414" s="1152" t="s">
        <v>1410</v>
      </c>
      <c r="B414" s="1153"/>
      <c r="C414" s="887"/>
      <c r="D414" s="897">
        <f t="shared" si="6"/>
        <v>0.49199999999999999</v>
      </c>
      <c r="E414" s="899">
        <v>0.49199999999999999</v>
      </c>
      <c r="F414" s="899"/>
      <c r="G414" s="899"/>
      <c r="H414" s="899"/>
      <c r="I414" s="1149" t="s">
        <v>658</v>
      </c>
      <c r="J414" s="678"/>
    </row>
    <row r="415" spans="1:10" s="341" customFormat="1" ht="17.149999999999999" customHeight="1">
      <c r="A415" s="1152" t="s">
        <v>1082</v>
      </c>
      <c r="B415" s="1153"/>
      <c r="C415" s="887"/>
      <c r="D415" s="897">
        <f t="shared" si="6"/>
        <v>-8.9209999999999994</v>
      </c>
      <c r="E415" s="899">
        <v>-8.9209999999999994</v>
      </c>
      <c r="F415" s="899"/>
      <c r="G415" s="899"/>
      <c r="H415" s="899"/>
      <c r="I415" s="1149" t="s">
        <v>658</v>
      </c>
      <c r="J415" s="678"/>
    </row>
    <row r="416" spans="1:10" s="341" customFormat="1" ht="17.149999999999999" customHeight="1">
      <c r="A416" s="1152" t="s">
        <v>1411</v>
      </c>
      <c r="B416" s="1153"/>
      <c r="C416" s="887"/>
      <c r="D416" s="897">
        <f t="shared" si="6"/>
        <v>-21.553000000000001</v>
      </c>
      <c r="E416" s="899">
        <v>-21.553000000000001</v>
      </c>
      <c r="F416" s="899"/>
      <c r="G416" s="899"/>
      <c r="H416" s="899"/>
      <c r="I416" s="1149" t="s">
        <v>658</v>
      </c>
      <c r="J416" s="678"/>
    </row>
    <row r="417" spans="1:10" s="341" customFormat="1" ht="17.149999999999999" customHeight="1">
      <c r="A417" s="1152" t="s">
        <v>784</v>
      </c>
      <c r="B417" s="1153"/>
      <c r="C417" s="887"/>
      <c r="D417" s="897">
        <f t="shared" si="6"/>
        <v>-3385.5239999999999</v>
      </c>
      <c r="E417" s="899">
        <v>-3385.5239999999999</v>
      </c>
      <c r="F417" s="899"/>
      <c r="G417" s="899"/>
      <c r="H417" s="899"/>
      <c r="I417" s="1149" t="s">
        <v>658</v>
      </c>
      <c r="J417" s="678"/>
    </row>
    <row r="418" spans="1:10" s="341" customFormat="1" ht="17.149999999999999" customHeight="1">
      <c r="A418" s="1152" t="s">
        <v>1360</v>
      </c>
      <c r="B418" s="1153"/>
      <c r="C418" s="887"/>
      <c r="D418" s="897">
        <f t="shared" si="6"/>
        <v>-28.375</v>
      </c>
      <c r="E418" s="899">
        <v>-28.375</v>
      </c>
      <c r="F418" s="899"/>
      <c r="G418" s="899"/>
      <c r="H418" s="899"/>
      <c r="I418" s="1149" t="s">
        <v>658</v>
      </c>
      <c r="J418" s="678"/>
    </row>
    <row r="419" spans="1:10" s="341" customFormat="1" ht="17.149999999999999" customHeight="1">
      <c r="A419" s="1152" t="s">
        <v>1136</v>
      </c>
      <c r="B419" s="1153"/>
      <c r="C419" s="887"/>
      <c r="D419" s="897">
        <f t="shared" si="6"/>
        <v>3.5129999999999999</v>
      </c>
      <c r="E419" s="899">
        <v>3.5129999999999999</v>
      </c>
      <c r="F419" s="899"/>
      <c r="G419" s="899"/>
      <c r="H419" s="899"/>
      <c r="I419" s="1149" t="s">
        <v>658</v>
      </c>
      <c r="J419" s="678"/>
    </row>
    <row r="420" spans="1:10" s="341" customFormat="1" ht="17.149999999999999" customHeight="1">
      <c r="A420" s="1152" t="s">
        <v>1137</v>
      </c>
      <c r="B420" s="1153"/>
      <c r="C420" s="887"/>
      <c r="D420" s="897">
        <f t="shared" si="6"/>
        <v>0</v>
      </c>
      <c r="E420" s="899">
        <v>0</v>
      </c>
      <c r="F420" s="899"/>
      <c r="G420" s="899"/>
      <c r="H420" s="899"/>
      <c r="I420" s="1149" t="s">
        <v>658</v>
      </c>
      <c r="J420" s="678"/>
    </row>
    <row r="421" spans="1:10" s="341" customFormat="1" ht="17.149999999999999" customHeight="1">
      <c r="A421" s="1152" t="s">
        <v>1412</v>
      </c>
      <c r="B421" s="1153"/>
      <c r="C421" s="887"/>
      <c r="D421" s="897">
        <f t="shared" si="6"/>
        <v>71.512</v>
      </c>
      <c r="E421" s="899">
        <v>71.512</v>
      </c>
      <c r="F421" s="899"/>
      <c r="G421" s="899"/>
      <c r="H421" s="899"/>
      <c r="I421" s="1149" t="s">
        <v>658</v>
      </c>
      <c r="J421" s="678"/>
    </row>
    <row r="422" spans="1:10" s="341" customFormat="1" ht="17.149999999999999" customHeight="1">
      <c r="A422" s="1152" t="s">
        <v>1138</v>
      </c>
      <c r="B422" s="1153"/>
      <c r="C422" s="887"/>
      <c r="D422" s="897">
        <f t="shared" si="6"/>
        <v>1E-3</v>
      </c>
      <c r="E422" s="899">
        <v>1E-3</v>
      </c>
      <c r="F422" s="899"/>
      <c r="G422" s="899"/>
      <c r="H422" s="899"/>
      <c r="I422" s="1149" t="s">
        <v>658</v>
      </c>
      <c r="J422" s="678"/>
    </row>
    <row r="423" spans="1:10" s="341" customFormat="1" ht="17.149999999999999" customHeight="1">
      <c r="A423" s="1152" t="s">
        <v>1361</v>
      </c>
      <c r="B423" s="1153"/>
      <c r="C423" s="887"/>
      <c r="D423" s="897">
        <f t="shared" si="6"/>
        <v>-2.0059999999999998</v>
      </c>
      <c r="E423" s="899">
        <v>-2.0059999999999998</v>
      </c>
      <c r="F423" s="899"/>
      <c r="G423" s="899"/>
      <c r="H423" s="899"/>
      <c r="I423" s="1149" t="s">
        <v>658</v>
      </c>
      <c r="J423" s="678"/>
    </row>
    <row r="424" spans="1:10" s="341" customFormat="1" ht="17.149999999999999" customHeight="1">
      <c r="A424" s="1152" t="s">
        <v>1139</v>
      </c>
      <c r="B424" s="1153"/>
      <c r="C424" s="887"/>
      <c r="D424" s="897">
        <f t="shared" si="6"/>
        <v>-2126.2959999999998</v>
      </c>
      <c r="E424" s="899">
        <v>-2126.2959999999998</v>
      </c>
      <c r="F424" s="899"/>
      <c r="G424" s="899"/>
      <c r="H424" s="899"/>
      <c r="I424" s="1149" t="s">
        <v>658</v>
      </c>
      <c r="J424" s="678"/>
    </row>
    <row r="425" spans="1:10" s="341" customFormat="1" ht="17.149999999999999" customHeight="1">
      <c r="A425" s="1152" t="s">
        <v>1140</v>
      </c>
      <c r="B425" s="1153"/>
      <c r="C425" s="887"/>
      <c r="D425" s="897">
        <f t="shared" si="6"/>
        <v>-3.8210000000000002</v>
      </c>
      <c r="E425" s="899">
        <v>-3.8210000000000002</v>
      </c>
      <c r="F425" s="899"/>
      <c r="G425" s="899"/>
      <c r="H425" s="899"/>
      <c r="I425" s="1149" t="s">
        <v>658</v>
      </c>
      <c r="J425" s="678"/>
    </row>
    <row r="426" spans="1:10" s="341" customFormat="1" ht="17.149999999999999" customHeight="1">
      <c r="A426" s="1152" t="s">
        <v>1362</v>
      </c>
      <c r="B426" s="1153"/>
      <c r="C426" s="887"/>
      <c r="D426" s="897">
        <f t="shared" si="6"/>
        <v>15.62</v>
      </c>
      <c r="E426" s="899">
        <v>15.62</v>
      </c>
      <c r="F426" s="899"/>
      <c r="G426" s="899"/>
      <c r="H426" s="899"/>
      <c r="I426" s="1149" t="s">
        <v>658</v>
      </c>
      <c r="J426" s="678"/>
    </row>
    <row r="427" spans="1:10" s="341" customFormat="1" ht="17.149999999999999" customHeight="1">
      <c r="A427" s="1152" t="s">
        <v>1083</v>
      </c>
      <c r="B427" s="1153"/>
      <c r="C427" s="887"/>
      <c r="D427" s="897">
        <f t="shared" si="6"/>
        <v>-185.70599999999999</v>
      </c>
      <c r="E427" s="899">
        <v>-185.70599999999999</v>
      </c>
      <c r="F427" s="899"/>
      <c r="G427" s="899"/>
      <c r="H427" s="899"/>
      <c r="I427" s="1149" t="s">
        <v>658</v>
      </c>
      <c r="J427" s="678"/>
    </row>
    <row r="428" spans="1:10" s="341" customFormat="1" ht="17.149999999999999" customHeight="1">
      <c r="A428" s="1152" t="s">
        <v>1141</v>
      </c>
      <c r="B428" s="1153"/>
      <c r="C428" s="887"/>
      <c r="D428" s="897">
        <f t="shared" si="6"/>
        <v>-396.17700000000002</v>
      </c>
      <c r="E428" s="899">
        <v>-396.17700000000002</v>
      </c>
      <c r="F428" s="899"/>
      <c r="G428" s="899"/>
      <c r="H428" s="899"/>
      <c r="I428" s="1149" t="s">
        <v>658</v>
      </c>
      <c r="J428" s="678"/>
    </row>
    <row r="429" spans="1:10" s="341" customFormat="1" ht="17.149999999999999" customHeight="1">
      <c r="A429" s="1152" t="s">
        <v>786</v>
      </c>
      <c r="B429" s="1153"/>
      <c r="C429" s="887"/>
      <c r="D429" s="897">
        <f t="shared" si="6"/>
        <v>-102.818</v>
      </c>
      <c r="E429" s="899">
        <v>-102.818</v>
      </c>
      <c r="F429" s="899"/>
      <c r="G429" s="899"/>
      <c r="H429" s="899"/>
      <c r="I429" s="1149" t="s">
        <v>658</v>
      </c>
      <c r="J429" s="678"/>
    </row>
    <row r="430" spans="1:10" s="341" customFormat="1" ht="17.149999999999999" customHeight="1">
      <c r="A430" s="1152" t="s">
        <v>1413</v>
      </c>
      <c r="B430" s="1153"/>
      <c r="C430" s="887"/>
      <c r="D430" s="897">
        <f t="shared" si="6"/>
        <v>-0.876</v>
      </c>
      <c r="E430" s="899">
        <v>-0.876</v>
      </c>
      <c r="F430" s="899"/>
      <c r="G430" s="899"/>
      <c r="H430" s="899"/>
      <c r="I430" s="1149" t="s">
        <v>658</v>
      </c>
      <c r="J430" s="678"/>
    </row>
    <row r="431" spans="1:10" s="341" customFormat="1" ht="17.149999999999999" customHeight="1">
      <c r="A431" s="1152" t="s">
        <v>1142</v>
      </c>
      <c r="B431" s="1153"/>
      <c r="C431" s="887"/>
      <c r="D431" s="897">
        <f t="shared" si="6"/>
        <v>0.126</v>
      </c>
      <c r="E431" s="899">
        <v>0.126</v>
      </c>
      <c r="F431" s="899"/>
      <c r="G431" s="899"/>
      <c r="H431" s="899"/>
      <c r="I431" s="1149" t="s">
        <v>658</v>
      </c>
      <c r="J431" s="678"/>
    </row>
    <row r="432" spans="1:10" s="341" customFormat="1" ht="17.149999999999999" customHeight="1">
      <c r="A432" s="1152" t="s">
        <v>1143</v>
      </c>
      <c r="B432" s="1153"/>
      <c r="C432" s="887"/>
      <c r="D432" s="897">
        <f t="shared" si="6"/>
        <v>0</v>
      </c>
      <c r="E432" s="899">
        <v>0</v>
      </c>
      <c r="F432" s="899"/>
      <c r="G432" s="899"/>
      <c r="H432" s="899"/>
      <c r="I432" s="1149" t="s">
        <v>658</v>
      </c>
      <c r="J432" s="678"/>
    </row>
    <row r="433" spans="1:10" s="341" customFormat="1" ht="17.149999999999999" customHeight="1">
      <c r="A433" s="1152" t="s">
        <v>1414</v>
      </c>
      <c r="B433" s="1153"/>
      <c r="C433" s="887"/>
      <c r="D433" s="897">
        <f t="shared" si="6"/>
        <v>2.1179999999999999</v>
      </c>
      <c r="E433" s="899">
        <v>2.1179999999999999</v>
      </c>
      <c r="F433" s="899"/>
      <c r="G433" s="899"/>
      <c r="H433" s="899"/>
      <c r="I433" s="1149" t="s">
        <v>658</v>
      </c>
      <c r="J433" s="678"/>
    </row>
    <row r="434" spans="1:10" s="896" customFormat="1" ht="17.149999999999999" customHeight="1">
      <c r="A434" s="1152" t="s">
        <v>1457</v>
      </c>
      <c r="B434" s="1153"/>
      <c r="C434" s="784"/>
      <c r="D434" s="897">
        <f t="shared" si="6"/>
        <v>0</v>
      </c>
      <c r="E434" s="899">
        <v>0</v>
      </c>
      <c r="F434" s="899"/>
      <c r="G434" s="899"/>
      <c r="H434" s="899"/>
      <c r="I434" s="1149" t="s">
        <v>658</v>
      </c>
      <c r="J434" s="898"/>
    </row>
    <row r="435" spans="1:10" s="341" customFormat="1" ht="17.149999999999999" customHeight="1">
      <c r="A435" s="1152" t="s">
        <v>1363</v>
      </c>
      <c r="B435" s="1153"/>
      <c r="C435" s="784"/>
      <c r="D435" s="897">
        <f t="shared" si="6"/>
        <v>-6.5000000000000002E-2</v>
      </c>
      <c r="E435" s="899">
        <v>-6.5000000000000002E-2</v>
      </c>
      <c r="F435" s="899"/>
      <c r="G435" s="899"/>
      <c r="H435" s="899"/>
      <c r="I435" s="1149" t="s">
        <v>658</v>
      </c>
      <c r="J435" s="678"/>
    </row>
    <row r="436" spans="1:10" s="341" customFormat="1" ht="17.149999999999999" customHeight="1">
      <c r="A436" s="1152" t="s">
        <v>1144</v>
      </c>
      <c r="B436" s="1153"/>
      <c r="C436" s="784"/>
      <c r="D436" s="897">
        <f t="shared" si="6"/>
        <v>-65.051000000000002</v>
      </c>
      <c r="E436" s="899">
        <v>-65.051000000000002</v>
      </c>
      <c r="F436" s="899"/>
      <c r="G436" s="899"/>
      <c r="H436" s="899"/>
      <c r="I436" s="1149" t="s">
        <v>658</v>
      </c>
      <c r="J436" s="678"/>
    </row>
    <row r="437" spans="1:10" s="341" customFormat="1" ht="17.149999999999999" customHeight="1">
      <c r="A437" s="1152" t="s">
        <v>1145</v>
      </c>
      <c r="B437" s="1153"/>
      <c r="C437" s="784"/>
      <c r="D437" s="897">
        <f t="shared" si="6"/>
        <v>-0.113</v>
      </c>
      <c r="E437" s="899">
        <v>-0.113</v>
      </c>
      <c r="F437" s="899"/>
      <c r="G437" s="899"/>
      <c r="H437" s="899"/>
      <c r="I437" s="1149" t="s">
        <v>658</v>
      </c>
      <c r="J437" s="678"/>
    </row>
    <row r="438" spans="1:10" s="341" customFormat="1" ht="17.149999999999999" customHeight="1">
      <c r="A438" s="1152" t="s">
        <v>1364</v>
      </c>
      <c r="B438" s="1153"/>
      <c r="C438" s="784"/>
      <c r="D438" s="897">
        <f t="shared" si="6"/>
        <v>0.48</v>
      </c>
      <c r="E438" s="899">
        <v>0.48</v>
      </c>
      <c r="F438" s="899"/>
      <c r="G438" s="899"/>
      <c r="H438" s="899"/>
      <c r="I438" s="1149" t="s">
        <v>658</v>
      </c>
      <c r="J438" s="678"/>
    </row>
    <row r="439" spans="1:10" s="341" customFormat="1" ht="17.149999999999999" customHeight="1">
      <c r="A439" s="1152" t="s">
        <v>1084</v>
      </c>
      <c r="B439" s="1153"/>
      <c r="C439" s="784"/>
      <c r="D439" s="897">
        <f t="shared" si="6"/>
        <v>-5.4770000000000003</v>
      </c>
      <c r="E439" s="899">
        <v>-5.4770000000000003</v>
      </c>
      <c r="F439" s="899"/>
      <c r="G439" s="899"/>
      <c r="H439" s="899"/>
      <c r="I439" s="1149" t="s">
        <v>658</v>
      </c>
      <c r="J439" s="678"/>
    </row>
    <row r="440" spans="1:10" s="341" customFormat="1" ht="17.149999999999999" customHeight="1">
      <c r="A440" s="1152" t="s">
        <v>1365</v>
      </c>
      <c r="B440" s="1153"/>
      <c r="C440" s="784"/>
      <c r="D440" s="897">
        <f t="shared" si="6"/>
        <v>-12.253</v>
      </c>
      <c r="E440" s="899">
        <v>-12.253</v>
      </c>
      <c r="F440" s="899"/>
      <c r="G440" s="899"/>
      <c r="H440" s="899"/>
      <c r="I440" s="1149" t="s">
        <v>658</v>
      </c>
      <c r="J440" s="678"/>
    </row>
    <row r="441" spans="1:10" s="341" customFormat="1" ht="17.149999999999999" customHeight="1">
      <c r="A441" s="1152" t="s">
        <v>1344</v>
      </c>
      <c r="B441" s="1153"/>
      <c r="C441" s="784"/>
      <c r="D441" s="897">
        <f t="shared" si="6"/>
        <v>-7854.41</v>
      </c>
      <c r="E441" s="899">
        <v>-7854.41</v>
      </c>
      <c r="F441" s="899"/>
      <c r="G441" s="899"/>
      <c r="H441" s="899"/>
      <c r="I441" s="1149" t="s">
        <v>658</v>
      </c>
      <c r="J441" s="678"/>
    </row>
    <row r="442" spans="1:10" s="341" customFormat="1" ht="17.149999999999999" customHeight="1">
      <c r="A442" s="1152" t="s">
        <v>1345</v>
      </c>
      <c r="B442" s="1153"/>
      <c r="C442" s="784"/>
      <c r="D442" s="897">
        <f t="shared" si="6"/>
        <v>-41623.228999999999</v>
      </c>
      <c r="E442" s="899">
        <v>-41623.228999999999</v>
      </c>
      <c r="F442" s="899"/>
      <c r="G442" s="899"/>
      <c r="H442" s="899"/>
      <c r="I442" s="1149" t="s">
        <v>658</v>
      </c>
      <c r="J442" s="678"/>
    </row>
    <row r="443" spans="1:10" s="341" customFormat="1" ht="17.149999999999999" customHeight="1">
      <c r="A443" s="1152" t="s">
        <v>590</v>
      </c>
      <c r="B443" s="1153"/>
      <c r="C443" s="679"/>
      <c r="D443" s="897">
        <f t="shared" si="6"/>
        <v>19344.615000000002</v>
      </c>
      <c r="E443" s="899"/>
      <c r="F443" s="899"/>
      <c r="G443" s="899">
        <v>19344.615000000002</v>
      </c>
      <c r="H443" s="899"/>
      <c r="I443" s="1149" t="s">
        <v>133</v>
      </c>
      <c r="J443" s="678"/>
    </row>
    <row r="444" spans="1:10" s="341" customFormat="1" ht="17.149999999999999" customHeight="1">
      <c r="A444" s="1152" t="s">
        <v>1085</v>
      </c>
      <c r="B444" s="1153"/>
      <c r="C444" s="679"/>
      <c r="D444" s="897">
        <f t="shared" si="6"/>
        <v>0</v>
      </c>
      <c r="E444" s="899"/>
      <c r="F444" s="899"/>
      <c r="G444" s="899"/>
      <c r="H444" s="899"/>
      <c r="I444" s="1149" t="s">
        <v>922</v>
      </c>
      <c r="J444" s="678"/>
    </row>
    <row r="445" spans="1:10" s="341" customFormat="1" ht="17.149999999999999" customHeight="1">
      <c r="A445" s="1152" t="s">
        <v>788</v>
      </c>
      <c r="B445" s="1153"/>
      <c r="C445" s="679"/>
      <c r="D445" s="897">
        <f t="shared" si="6"/>
        <v>0</v>
      </c>
      <c r="E445" s="899"/>
      <c r="F445" s="899"/>
      <c r="G445" s="899"/>
      <c r="H445" s="899"/>
      <c r="I445" s="1149" t="s">
        <v>922</v>
      </c>
      <c r="J445" s="678"/>
    </row>
    <row r="446" spans="1:10" s="341" customFormat="1" ht="17.149999999999999" customHeight="1">
      <c r="A446" s="1152" t="s">
        <v>787</v>
      </c>
      <c r="B446" s="1153"/>
      <c r="C446" s="679"/>
      <c r="D446" s="897">
        <f t="shared" si="6"/>
        <v>0</v>
      </c>
      <c r="E446" s="899"/>
      <c r="F446" s="899"/>
      <c r="G446" s="899"/>
      <c r="H446" s="899"/>
      <c r="I446" s="1149" t="s">
        <v>922</v>
      </c>
      <c r="J446" s="678"/>
    </row>
    <row r="447" spans="1:10" s="341" customFormat="1" ht="17.149999999999999" customHeight="1">
      <c r="A447" s="1152" t="s">
        <v>918</v>
      </c>
      <c r="B447" s="1153"/>
      <c r="C447" s="679"/>
      <c r="D447" s="897">
        <f t="shared" si="6"/>
        <v>0</v>
      </c>
      <c r="E447" s="899"/>
      <c r="F447" s="899"/>
      <c r="G447" s="899"/>
      <c r="H447" s="899"/>
      <c r="I447" s="1149" t="s">
        <v>922</v>
      </c>
      <c r="J447" s="678"/>
    </row>
    <row r="448" spans="1:10" s="896" customFormat="1" ht="17.149999999999999" customHeight="1">
      <c r="A448" s="1152" t="s">
        <v>1646</v>
      </c>
      <c r="B448" s="1153"/>
      <c r="C448" s="1052"/>
      <c r="D448" s="897">
        <f t="shared" si="6"/>
        <v>0</v>
      </c>
      <c r="E448" s="899">
        <v>0</v>
      </c>
      <c r="F448" s="899"/>
      <c r="G448" s="899"/>
      <c r="H448" s="899"/>
      <c r="I448" s="1149" t="s">
        <v>922</v>
      </c>
      <c r="J448" s="898"/>
    </row>
    <row r="449" spans="1:10" s="341" customFormat="1" ht="17.149999999999999" customHeight="1">
      <c r="A449" s="1152" t="s">
        <v>776</v>
      </c>
      <c r="B449" s="1153"/>
      <c r="C449" s="679"/>
      <c r="D449" s="897">
        <f t="shared" si="6"/>
        <v>-39.709000000000003</v>
      </c>
      <c r="E449" s="899">
        <v>-39.709000000000003</v>
      </c>
      <c r="F449" s="899"/>
      <c r="G449" s="899"/>
      <c r="H449" s="899"/>
      <c r="I449" s="1149" t="s">
        <v>263</v>
      </c>
      <c r="J449" s="678"/>
    </row>
    <row r="450" spans="1:10" s="341" customFormat="1" ht="17.149999999999999" customHeight="1">
      <c r="A450" s="1152" t="s">
        <v>792</v>
      </c>
      <c r="B450" s="1153"/>
      <c r="C450" s="679"/>
      <c r="D450" s="897">
        <f t="shared" si="6"/>
        <v>0</v>
      </c>
      <c r="E450" s="899">
        <v>0</v>
      </c>
      <c r="F450" s="899"/>
      <c r="G450" s="899"/>
      <c r="H450" s="899"/>
      <c r="I450" s="1149" t="s">
        <v>658</v>
      </c>
      <c r="J450" s="678"/>
    </row>
    <row r="451" spans="1:10" s="341" customFormat="1" ht="34" customHeight="1">
      <c r="A451" s="1152" t="s">
        <v>586</v>
      </c>
      <c r="B451" s="1153"/>
      <c r="C451" s="677"/>
      <c r="D451" s="897">
        <f t="shared" si="6"/>
        <v>0</v>
      </c>
      <c r="E451" s="899"/>
      <c r="F451" s="899"/>
      <c r="G451" s="899"/>
      <c r="H451" s="899"/>
      <c r="I451" s="1149" t="s">
        <v>130</v>
      </c>
      <c r="J451" s="678"/>
    </row>
    <row r="452" spans="1:10" s="341" customFormat="1" ht="17.149999999999999" customHeight="1">
      <c r="A452" s="1152" t="s">
        <v>587</v>
      </c>
      <c r="B452" s="1153"/>
      <c r="C452" s="677"/>
      <c r="D452" s="897">
        <f t="shared" si="6"/>
        <v>0</v>
      </c>
      <c r="E452" s="899"/>
      <c r="F452" s="899"/>
      <c r="G452" s="899"/>
      <c r="H452" s="899"/>
      <c r="I452" s="1149" t="s">
        <v>131</v>
      </c>
      <c r="J452" s="678"/>
    </row>
    <row r="453" spans="1:10" s="341" customFormat="1" ht="17.149999999999999" customHeight="1">
      <c r="A453" s="1152" t="s">
        <v>588</v>
      </c>
      <c r="B453" s="1153"/>
      <c r="C453" s="677"/>
      <c r="D453" s="897">
        <f t="shared" si="6"/>
        <v>-1E-3</v>
      </c>
      <c r="E453" s="899">
        <v>-1E-3</v>
      </c>
      <c r="F453" s="899"/>
      <c r="G453" s="899"/>
      <c r="H453" s="899"/>
      <c r="I453" s="1149" t="s">
        <v>1094</v>
      </c>
      <c r="J453" s="678"/>
    </row>
    <row r="454" spans="1:10" s="341" customFormat="1" ht="17.149999999999999" customHeight="1">
      <c r="A454" s="1152" t="s">
        <v>589</v>
      </c>
      <c r="B454" s="1153"/>
      <c r="C454" s="677"/>
      <c r="D454" s="897">
        <f t="shared" si="6"/>
        <v>-181378.15400000001</v>
      </c>
      <c r="E454" s="899">
        <v>-181378.15400000001</v>
      </c>
      <c r="F454" s="899"/>
      <c r="G454" s="899"/>
      <c r="H454" s="899"/>
      <c r="I454" s="1149" t="s">
        <v>15</v>
      </c>
      <c r="J454" s="678"/>
    </row>
    <row r="455" spans="1:10" s="341" customFormat="1" ht="17.149999999999999" customHeight="1">
      <c r="A455" s="1152" t="s">
        <v>777</v>
      </c>
      <c r="B455" s="1153"/>
      <c r="C455" s="677"/>
      <c r="D455" s="897">
        <f t="shared" si="6"/>
        <v>0</v>
      </c>
      <c r="E455" s="899"/>
      <c r="F455" s="899"/>
      <c r="G455" s="899"/>
      <c r="H455" s="899"/>
      <c r="I455" s="1149" t="s">
        <v>658</v>
      </c>
      <c r="J455" s="678"/>
    </row>
    <row r="456" spans="1:10" s="341" customFormat="1" ht="17.149999999999999" customHeight="1">
      <c r="A456" s="1152" t="s">
        <v>789</v>
      </c>
      <c r="B456" s="1153"/>
      <c r="C456" s="677"/>
      <c r="D456" s="897">
        <f t="shared" si="6"/>
        <v>0</v>
      </c>
      <c r="E456" s="899"/>
      <c r="F456" s="899"/>
      <c r="G456" s="899"/>
      <c r="H456" s="899"/>
      <c r="I456" s="1149" t="s">
        <v>658</v>
      </c>
      <c r="J456" s="678"/>
    </row>
    <row r="457" spans="1:10" s="341" customFormat="1" ht="17.149999999999999" customHeight="1">
      <c r="A457" s="1152" t="s">
        <v>919</v>
      </c>
      <c r="B457" s="1153"/>
      <c r="C457" s="677"/>
      <c r="D457" s="897">
        <f t="shared" si="6"/>
        <v>1046.0730000000001</v>
      </c>
      <c r="E457" s="899">
        <v>1046.0730000000001</v>
      </c>
      <c r="F457" s="899"/>
      <c r="G457" s="899"/>
      <c r="H457" s="899"/>
      <c r="I457" s="1149" t="s">
        <v>658</v>
      </c>
      <c r="J457" s="678"/>
    </row>
    <row r="458" spans="1:10" s="341" customFormat="1" ht="17.149999999999999" customHeight="1">
      <c r="A458" s="1152" t="s">
        <v>778</v>
      </c>
      <c r="B458" s="1153"/>
      <c r="C458" s="677"/>
      <c r="D458" s="897">
        <f t="shared" si="6"/>
        <v>-175884.91728649999</v>
      </c>
      <c r="E458" s="899">
        <v>-175884.91728649999</v>
      </c>
      <c r="F458" s="899"/>
      <c r="G458" s="899"/>
      <c r="H458" s="899"/>
      <c r="I458" s="1149" t="s">
        <v>658</v>
      </c>
      <c r="J458" s="678"/>
    </row>
    <row r="459" spans="1:10" s="341" customFormat="1" ht="17.149999999999999" customHeight="1">
      <c r="A459" s="1152" t="s">
        <v>906</v>
      </c>
      <c r="B459" s="1153"/>
      <c r="C459" s="677"/>
      <c r="D459" s="897">
        <f t="shared" si="6"/>
        <v>207.36199999999999</v>
      </c>
      <c r="E459" s="899">
        <v>207.36199999999999</v>
      </c>
      <c r="F459" s="899"/>
      <c r="G459" s="899"/>
      <c r="H459" s="899"/>
      <c r="I459" s="1149" t="s">
        <v>658</v>
      </c>
      <c r="J459" s="678"/>
    </row>
    <row r="460" spans="1:10" s="341" customFormat="1" ht="17.149999999999999" customHeight="1">
      <c r="A460" s="1152" t="s">
        <v>907</v>
      </c>
      <c r="B460" s="1153"/>
      <c r="C460" s="677"/>
      <c r="D460" s="897">
        <f t="shared" si="6"/>
        <v>-487.78699999999998</v>
      </c>
      <c r="E460" s="899">
        <v>-487.78699999999998</v>
      </c>
      <c r="F460" s="899"/>
      <c r="G460" s="899"/>
      <c r="H460" s="899"/>
      <c r="I460" s="1149" t="s">
        <v>658</v>
      </c>
      <c r="J460" s="678"/>
    </row>
    <row r="461" spans="1:10" s="896" customFormat="1" ht="17.149999999999999" customHeight="1">
      <c r="A461" s="1152" t="s">
        <v>1647</v>
      </c>
      <c r="B461" s="1153"/>
      <c r="C461" s="1052"/>
      <c r="D461" s="897">
        <f t="shared" si="6"/>
        <v>-1172447.6091225001</v>
      </c>
      <c r="E461" s="899">
        <v>-1172447.6091225001</v>
      </c>
      <c r="F461" s="899"/>
      <c r="G461" s="899"/>
      <c r="H461" s="899"/>
      <c r="I461" s="1149" t="s">
        <v>658</v>
      </c>
      <c r="J461" s="898"/>
    </row>
    <row r="462" spans="1:10" s="896" customFormat="1" ht="17.149999999999999" customHeight="1">
      <c r="A462" s="1152" t="s">
        <v>1648</v>
      </c>
      <c r="B462" s="1153"/>
      <c r="C462" s="1052"/>
      <c r="D462" s="897">
        <f t="shared" ref="D462:D473" si="7">SUM(E462:H462)</f>
        <v>43035.936000000002</v>
      </c>
      <c r="E462" s="899">
        <v>43035.936000000002</v>
      </c>
      <c r="F462" s="899"/>
      <c r="G462" s="899"/>
      <c r="H462" s="899"/>
      <c r="I462" s="1149" t="s">
        <v>658</v>
      </c>
      <c r="J462" s="898"/>
    </row>
    <row r="463" spans="1:10" s="896" customFormat="1" ht="17.149999999999999" customHeight="1">
      <c r="A463" s="1152" t="s">
        <v>1649</v>
      </c>
      <c r="B463" s="1153"/>
      <c r="C463" s="1052"/>
      <c r="D463" s="897">
        <f t="shared" si="7"/>
        <v>40420.593000000001</v>
      </c>
      <c r="E463" s="899">
        <v>40420.593000000001</v>
      </c>
      <c r="F463" s="899"/>
      <c r="G463" s="899"/>
      <c r="H463" s="899"/>
      <c r="I463" s="1149" t="s">
        <v>658</v>
      </c>
      <c r="J463" s="898"/>
    </row>
    <row r="464" spans="1:10" s="896" customFormat="1" ht="17.149999999999999" customHeight="1">
      <c r="A464" s="1152" t="s">
        <v>1650</v>
      </c>
      <c r="B464" s="1153"/>
      <c r="C464" s="1052"/>
      <c r="D464" s="897">
        <f t="shared" si="7"/>
        <v>-54395.315000000002</v>
      </c>
      <c r="E464" s="899">
        <f>-54395.315-H464</f>
        <v>91.61200000000099</v>
      </c>
      <c r="F464" s="883"/>
      <c r="G464" s="883"/>
      <c r="H464" s="899">
        <f>'ATT1B-ADIT'!J84/1000</f>
        <v>-54486.927000000003</v>
      </c>
      <c r="I464" s="1149" t="s">
        <v>15</v>
      </c>
      <c r="J464" s="898"/>
    </row>
    <row r="465" spans="1:10" s="896" customFormat="1" ht="17.149999999999999" customHeight="1">
      <c r="A465" s="1152" t="s">
        <v>1651</v>
      </c>
      <c r="B465" s="1153"/>
      <c r="C465" s="1052"/>
      <c r="D465" s="897">
        <f t="shared" si="7"/>
        <v>-14.250500000000001</v>
      </c>
      <c r="E465" s="899">
        <v>-14.250500000000001</v>
      </c>
      <c r="F465" s="899"/>
      <c r="G465" s="899"/>
      <c r="H465" s="899"/>
      <c r="I465" s="1149" t="s">
        <v>658</v>
      </c>
      <c r="J465" s="898"/>
    </row>
    <row r="466" spans="1:10" s="896" customFormat="1" ht="17.149999999999999" customHeight="1">
      <c r="A466" s="1152" t="s">
        <v>1652</v>
      </c>
      <c r="B466" s="1153"/>
      <c r="C466" s="1052"/>
      <c r="D466" s="897">
        <f t="shared" si="7"/>
        <v>1689.4715000000001</v>
      </c>
      <c r="E466" s="899">
        <v>1689.4715000000001</v>
      </c>
      <c r="F466" s="899"/>
      <c r="G466" s="899"/>
      <c r="H466" s="899"/>
      <c r="I466" s="1149" t="s">
        <v>658</v>
      </c>
      <c r="J466" s="898"/>
    </row>
    <row r="467" spans="1:10" s="896" customFormat="1" ht="17.149999999999999" customHeight="1">
      <c r="A467" s="1152" t="s">
        <v>1653</v>
      </c>
      <c r="B467" s="1153"/>
      <c r="C467" s="1052"/>
      <c r="D467" s="897">
        <f t="shared" si="7"/>
        <v>-1722699.252931</v>
      </c>
      <c r="E467" s="899">
        <v>-1722699.252931</v>
      </c>
      <c r="F467" s="899"/>
      <c r="G467" s="899"/>
      <c r="H467" s="899"/>
      <c r="I467" s="1149" t="s">
        <v>658</v>
      </c>
      <c r="J467" s="898"/>
    </row>
    <row r="468" spans="1:10" s="896" customFormat="1" ht="17.149999999999999" customHeight="1">
      <c r="A468" s="1152" t="s">
        <v>1654</v>
      </c>
      <c r="B468" s="1153"/>
      <c r="C468" s="1052"/>
      <c r="D468" s="897">
        <f t="shared" si="7"/>
        <v>-121430.80971</v>
      </c>
      <c r="E468" s="899">
        <v>-121430.80971</v>
      </c>
      <c r="F468" s="899"/>
      <c r="G468" s="899"/>
      <c r="H468" s="899"/>
      <c r="I468" s="1149" t="s">
        <v>658</v>
      </c>
      <c r="J468" s="898"/>
    </row>
    <row r="469" spans="1:10" s="896" customFormat="1" ht="17.149999999999999" customHeight="1">
      <c r="A469" s="1152" t="s">
        <v>1655</v>
      </c>
      <c r="B469" s="1153"/>
      <c r="C469" s="1052"/>
      <c r="D469" s="897">
        <f t="shared" si="7"/>
        <v>-236392.97675999999</v>
      </c>
      <c r="E469" s="899">
        <v>-236392.97675999999</v>
      </c>
      <c r="F469" s="899"/>
      <c r="G469" s="899"/>
      <c r="H469" s="899"/>
      <c r="I469" s="1149" t="s">
        <v>658</v>
      </c>
      <c r="J469" s="898"/>
    </row>
    <row r="470" spans="1:10" s="896" customFormat="1" ht="17.149999999999999" customHeight="1">
      <c r="A470" s="1152" t="s">
        <v>1656</v>
      </c>
      <c r="B470" s="1153"/>
      <c r="C470" s="1052"/>
      <c r="D470" s="897">
        <f t="shared" si="7"/>
        <v>-946892.49874722003</v>
      </c>
      <c r="E470" s="899">
        <f>-946892.49874722-F470</f>
        <v>-73551.029052073485</v>
      </c>
      <c r="F470" s="899">
        <f>'ATT1B-ADIT'!J41/1000</f>
        <v>-873341.46969514654</v>
      </c>
      <c r="G470" s="899"/>
      <c r="H470" s="899"/>
      <c r="I470" s="1149" t="s">
        <v>15</v>
      </c>
      <c r="J470" s="898"/>
    </row>
    <row r="471" spans="1:10" s="341" customFormat="1" ht="17.149999999999999" customHeight="1">
      <c r="A471" s="1152" t="s">
        <v>1199</v>
      </c>
      <c r="B471" s="1153"/>
      <c r="C471" s="679"/>
      <c r="D471" s="897">
        <f t="shared" si="7"/>
        <v>0</v>
      </c>
      <c r="E471" s="899">
        <v>0</v>
      </c>
      <c r="F471" s="899"/>
      <c r="G471" s="899"/>
      <c r="H471" s="899"/>
      <c r="I471" s="1149" t="s">
        <v>658</v>
      </c>
      <c r="J471" s="678"/>
    </row>
    <row r="472" spans="1:10" s="896" customFormat="1" ht="17.149999999999999" customHeight="1">
      <c r="A472" s="1152" t="s">
        <v>1146</v>
      </c>
      <c r="B472" s="1153"/>
      <c r="C472" s="679"/>
      <c r="D472" s="897">
        <f t="shared" si="7"/>
        <v>-1E-3</v>
      </c>
      <c r="E472" s="899">
        <v>-1E-3</v>
      </c>
      <c r="F472" s="899"/>
      <c r="G472" s="899"/>
      <c r="H472" s="899"/>
      <c r="I472" s="1149" t="s">
        <v>658</v>
      </c>
      <c r="J472" s="898"/>
    </row>
    <row r="473" spans="1:10" s="896" customFormat="1" ht="17.149999999999999" customHeight="1">
      <c r="A473" s="1152" t="s">
        <v>1523</v>
      </c>
      <c r="B473" s="1153"/>
      <c r="C473" s="679"/>
      <c r="D473" s="897">
        <f t="shared" si="7"/>
        <v>0</v>
      </c>
      <c r="E473" s="899"/>
      <c r="F473" s="899"/>
      <c r="G473" s="899"/>
      <c r="H473" s="899"/>
      <c r="I473" s="1149" t="s">
        <v>658</v>
      </c>
      <c r="J473" s="898"/>
    </row>
    <row r="474" spans="1:10" s="896" customFormat="1" ht="17.149999999999999" customHeight="1">
      <c r="A474" s="1152" t="s">
        <v>556</v>
      </c>
      <c r="B474" s="1153"/>
      <c r="C474" s="679"/>
      <c r="D474" s="897">
        <f t="shared" ref="D474:D490" si="8">SUM(E474:H474)</f>
        <v>0</v>
      </c>
      <c r="E474" s="899"/>
      <c r="F474" s="899"/>
      <c r="G474" s="899"/>
      <c r="H474" s="899"/>
      <c r="I474" s="1149" t="s">
        <v>658</v>
      </c>
      <c r="J474" s="898"/>
    </row>
    <row r="475" spans="1:10" s="896" customFormat="1" ht="17.149999999999999" customHeight="1">
      <c r="A475" s="1152" t="s">
        <v>920</v>
      </c>
      <c r="B475" s="1153"/>
      <c r="C475" s="679"/>
      <c r="D475" s="897">
        <f t="shared" si="8"/>
        <v>0</v>
      </c>
      <c r="E475" s="899"/>
      <c r="F475" s="899"/>
      <c r="G475" s="899"/>
      <c r="H475" s="899"/>
      <c r="I475" s="1149" t="s">
        <v>658</v>
      </c>
      <c r="J475" s="898"/>
    </row>
    <row r="476" spans="1:10" s="896" customFormat="1" ht="17.149999999999999" customHeight="1">
      <c r="A476" s="1152" t="s">
        <v>1366</v>
      </c>
      <c r="B476" s="1153"/>
      <c r="C476" s="679"/>
      <c r="D476" s="897">
        <f t="shared" si="8"/>
        <v>181378.15400000001</v>
      </c>
      <c r="E476" s="899">
        <v>181378.15400000001</v>
      </c>
      <c r="F476" s="899"/>
      <c r="G476" s="899"/>
      <c r="H476" s="899"/>
      <c r="I476" s="1149" t="s">
        <v>15</v>
      </c>
      <c r="J476" s="898"/>
    </row>
    <row r="477" spans="1:10" s="896" customFormat="1" ht="17.149999999999999" customHeight="1">
      <c r="A477" s="1152" t="s">
        <v>762</v>
      </c>
      <c r="B477" s="1153"/>
      <c r="C477" s="679"/>
      <c r="D477" s="897">
        <f t="shared" si="8"/>
        <v>-485.89499999999998</v>
      </c>
      <c r="E477" s="899">
        <v>-485.89499999999998</v>
      </c>
      <c r="F477" s="899"/>
      <c r="G477" s="899"/>
      <c r="H477" s="899"/>
      <c r="I477" s="1149" t="s">
        <v>658</v>
      </c>
      <c r="J477" s="898"/>
    </row>
    <row r="478" spans="1:10" s="896" customFormat="1" ht="17.149999999999999" customHeight="1">
      <c r="A478" s="1152" t="s">
        <v>554</v>
      </c>
      <c r="B478" s="1153"/>
      <c r="C478" s="679"/>
      <c r="D478" s="897">
        <f t="shared" si="8"/>
        <v>0</v>
      </c>
      <c r="E478" s="899"/>
      <c r="F478" s="899"/>
      <c r="G478" s="899"/>
      <c r="H478" s="899"/>
      <c r="I478" s="1149" t="s">
        <v>658</v>
      </c>
      <c r="J478" s="898"/>
    </row>
    <row r="479" spans="1:10" s="896" customFormat="1" ht="17.149999999999999" customHeight="1">
      <c r="A479" s="1152" t="s">
        <v>1524</v>
      </c>
      <c r="B479" s="1153"/>
      <c r="C479" s="679"/>
      <c r="D479" s="897">
        <f t="shared" si="8"/>
        <v>0</v>
      </c>
      <c r="E479" s="899"/>
      <c r="F479" s="899"/>
      <c r="G479" s="899"/>
      <c r="H479" s="899"/>
      <c r="I479" s="1149" t="s">
        <v>658</v>
      </c>
      <c r="J479" s="898"/>
    </row>
    <row r="480" spans="1:10" s="896" customFormat="1" ht="17.149999999999999" customHeight="1">
      <c r="A480" s="1152" t="s">
        <v>1525</v>
      </c>
      <c r="B480" s="1153"/>
      <c r="C480" s="679"/>
      <c r="D480" s="897">
        <f t="shared" si="8"/>
        <v>0</v>
      </c>
      <c r="E480" s="899"/>
      <c r="F480" s="899"/>
      <c r="G480" s="899"/>
      <c r="H480" s="899"/>
      <c r="I480" s="1149" t="s">
        <v>658</v>
      </c>
      <c r="J480" s="898"/>
    </row>
    <row r="481" spans="1:10" s="896" customFormat="1" ht="17.149999999999999" customHeight="1">
      <c r="A481" s="1152" t="s">
        <v>1526</v>
      </c>
      <c r="B481" s="1153"/>
      <c r="C481" s="679"/>
      <c r="D481" s="897">
        <f t="shared" si="8"/>
        <v>0</v>
      </c>
      <c r="E481" s="899"/>
      <c r="F481" s="899"/>
      <c r="G481" s="899"/>
      <c r="H481" s="899"/>
      <c r="I481" s="1149" t="s">
        <v>658</v>
      </c>
      <c r="J481" s="898"/>
    </row>
    <row r="482" spans="1:10" s="896" customFormat="1" ht="17.149999999999999" customHeight="1">
      <c r="A482" s="1152" t="s">
        <v>1527</v>
      </c>
      <c r="B482" s="1153"/>
      <c r="C482" s="679"/>
      <c r="D482" s="897">
        <f t="shared" si="8"/>
        <v>0</v>
      </c>
      <c r="E482" s="899"/>
      <c r="F482" s="899"/>
      <c r="G482" s="899"/>
      <c r="H482" s="899"/>
      <c r="I482" s="1149" t="s">
        <v>658</v>
      </c>
      <c r="J482" s="898"/>
    </row>
    <row r="483" spans="1:10" s="896" customFormat="1" ht="17.149999999999999" customHeight="1">
      <c r="A483" s="1152" t="s">
        <v>1419</v>
      </c>
      <c r="B483" s="1153"/>
      <c r="C483" s="679"/>
      <c r="D483" s="897">
        <f t="shared" si="8"/>
        <v>0</v>
      </c>
      <c r="E483" s="899">
        <v>0</v>
      </c>
      <c r="F483" s="899"/>
      <c r="G483" s="899"/>
      <c r="H483" s="899"/>
      <c r="I483" s="1149" t="s">
        <v>14</v>
      </c>
      <c r="J483" s="898"/>
    </row>
    <row r="484" spans="1:10" s="341" customFormat="1" ht="17.149999999999999" customHeight="1">
      <c r="A484" s="1152" t="s">
        <v>1528</v>
      </c>
      <c r="B484" s="1153"/>
      <c r="C484" s="679"/>
      <c r="D484" s="897">
        <f t="shared" si="8"/>
        <v>-19344.615000000002</v>
      </c>
      <c r="E484" s="899"/>
      <c r="F484" s="899"/>
      <c r="G484" s="899">
        <v>-19344.615000000002</v>
      </c>
      <c r="H484" s="899"/>
      <c r="I484" s="1149" t="s">
        <v>133</v>
      </c>
      <c r="J484" s="678"/>
    </row>
    <row r="485" spans="1:10" s="896" customFormat="1" ht="17.149999999999999" customHeight="1">
      <c r="A485" s="1152" t="s">
        <v>1657</v>
      </c>
      <c r="B485" s="1153"/>
      <c r="C485" s="1052"/>
      <c r="D485" s="897">
        <f t="shared" si="8"/>
        <v>-1176.817</v>
      </c>
      <c r="E485" s="899">
        <v>-1176.817</v>
      </c>
      <c r="F485" s="899"/>
      <c r="G485" s="899"/>
      <c r="H485" s="899"/>
      <c r="I485" s="1149" t="s">
        <v>922</v>
      </c>
      <c r="J485" s="898"/>
    </row>
    <row r="486" spans="1:10" s="341" customFormat="1" ht="17.149999999999999" customHeight="1">
      <c r="A486" s="1152" t="s">
        <v>1529</v>
      </c>
      <c r="B486" s="1153"/>
      <c r="C486" s="679"/>
      <c r="D486" s="897">
        <f t="shared" si="8"/>
        <v>-0.14699999999999999</v>
      </c>
      <c r="E486" s="899"/>
      <c r="F486" s="899"/>
      <c r="G486" s="899">
        <v>-0.14699999999999999</v>
      </c>
      <c r="H486" s="886"/>
      <c r="I486" s="1149" t="s">
        <v>922</v>
      </c>
      <c r="J486" s="678"/>
    </row>
    <row r="487" spans="1:10" s="341" customFormat="1" ht="17.149999999999999" customHeight="1">
      <c r="A487" s="1152" t="s">
        <v>1530</v>
      </c>
      <c r="B487" s="1153"/>
      <c r="C487" s="679"/>
      <c r="D487" s="897">
        <f t="shared" si="8"/>
        <v>-73.376000000000005</v>
      </c>
      <c r="E487" s="899"/>
      <c r="F487" s="899"/>
      <c r="G487" s="899">
        <v>-73.376000000000005</v>
      </c>
      <c r="H487" s="886"/>
      <c r="I487" s="1149" t="s">
        <v>922</v>
      </c>
      <c r="J487" s="678"/>
    </row>
    <row r="488" spans="1:10" s="341" customFormat="1" ht="17.149999999999999" customHeight="1">
      <c r="A488" s="1152" t="s">
        <v>1531</v>
      </c>
      <c r="B488" s="1153"/>
      <c r="C488" s="679"/>
      <c r="D488" s="897">
        <f t="shared" si="8"/>
        <v>-3190.0030000000002</v>
      </c>
      <c r="E488" s="899"/>
      <c r="F488" s="899"/>
      <c r="G488" s="899">
        <v>-3190.0030000000002</v>
      </c>
      <c r="H488" s="886"/>
      <c r="I488" s="1149" t="s">
        <v>922</v>
      </c>
      <c r="J488" s="678"/>
    </row>
    <row r="489" spans="1:10" s="896" customFormat="1" ht="17.149999999999999" customHeight="1">
      <c r="A489" s="1152" t="s">
        <v>1532</v>
      </c>
      <c r="B489" s="1153"/>
      <c r="C489" s="679"/>
      <c r="D489" s="897">
        <f t="shared" si="8"/>
        <v>-98.808000000000007</v>
      </c>
      <c r="E489" s="899"/>
      <c r="F489" s="899"/>
      <c r="G489" s="899">
        <v>-98.808000000000007</v>
      </c>
      <c r="H489" s="886"/>
      <c r="I489" s="1149" t="s">
        <v>922</v>
      </c>
      <c r="J489" s="898"/>
    </row>
    <row r="490" spans="1:10" s="341" customFormat="1" ht="17.149999999999999" customHeight="1">
      <c r="A490" s="1152" t="s">
        <v>1367</v>
      </c>
      <c r="B490" s="1153"/>
      <c r="C490" s="679"/>
      <c r="D490" s="897">
        <f t="shared" si="8"/>
        <v>-8.9999999999999993E-3</v>
      </c>
      <c r="E490" s="899">
        <v>-8.9999999999999993E-3</v>
      </c>
      <c r="F490" s="899"/>
      <c r="G490" s="899"/>
      <c r="H490" s="886"/>
      <c r="I490" s="1149" t="s">
        <v>658</v>
      </c>
      <c r="J490" s="678"/>
    </row>
    <row r="491" spans="1:10" s="341" customFormat="1" ht="14.3">
      <c r="A491" s="718" t="s">
        <v>508</v>
      </c>
      <c r="B491" s="679"/>
      <c r="C491" s="677"/>
      <c r="D491" s="887">
        <f>SUM(D328:D490)</f>
        <v>-5043702.236887753</v>
      </c>
      <c r="E491" s="887">
        <f>SUM(E328:E490)</f>
        <v>-4003199.0062725423</v>
      </c>
      <c r="F491" s="887">
        <f>SUM(F328:F490)</f>
        <v>-890469.77261521225</v>
      </c>
      <c r="G491" s="887">
        <f>SUM(G328:G490)</f>
        <v>-73238.588000000003</v>
      </c>
      <c r="H491" s="887">
        <f>SUM(H328:H486)</f>
        <v>-76794.87000000001</v>
      </c>
      <c r="I491" s="888"/>
      <c r="J491" s="678"/>
    </row>
    <row r="492" spans="1:10" s="341" customFormat="1" ht="14.3">
      <c r="A492" s="719" t="s">
        <v>479</v>
      </c>
      <c r="B492" s="679"/>
      <c r="C492" s="677"/>
      <c r="D492" s="887">
        <f>SUM(E492:H492)</f>
        <v>-69115.679929999838</v>
      </c>
      <c r="E492" s="886">
        <f>SUM(E370:E440)</f>
        <v>-69115.679929999838</v>
      </c>
      <c r="F492" s="886">
        <f t="shared" ref="F492:H492" si="9">SUM(F370:F440)</f>
        <v>0</v>
      </c>
      <c r="G492" s="886">
        <f t="shared" si="9"/>
        <v>0</v>
      </c>
      <c r="H492" s="886">
        <f t="shared" si="9"/>
        <v>0</v>
      </c>
      <c r="I492" s="889"/>
      <c r="J492" s="678"/>
    </row>
    <row r="493" spans="1:10" s="341" customFormat="1" ht="14.3">
      <c r="A493" s="720" t="s">
        <v>505</v>
      </c>
      <c r="B493" s="721"/>
      <c r="C493" s="677"/>
      <c r="D493" s="887">
        <f>SUM(E493:H493)</f>
        <v>0</v>
      </c>
      <c r="E493" s="886"/>
      <c r="F493" s="886"/>
      <c r="G493" s="886"/>
      <c r="H493" s="886"/>
      <c r="I493" s="889"/>
      <c r="J493" s="678"/>
    </row>
    <row r="494" spans="1:10" s="341" customFormat="1" ht="14.3">
      <c r="A494" s="688" t="s">
        <v>813</v>
      </c>
      <c r="B494" s="679"/>
      <c r="C494" s="679"/>
      <c r="D494" s="887">
        <f>+D491-D492-D493</f>
        <v>-4974586.5569577534</v>
      </c>
      <c r="E494" s="887">
        <f>+E491-E492-E493</f>
        <v>-3934083.3263425427</v>
      </c>
      <c r="F494" s="887">
        <f>+F491-F492-F493</f>
        <v>-890469.77261521225</v>
      </c>
      <c r="G494" s="887">
        <f>+G491-G492-G493</f>
        <v>-73238.588000000003</v>
      </c>
      <c r="H494" s="887">
        <f>+H491-H492-H493</f>
        <v>-76794.87000000001</v>
      </c>
      <c r="I494" s="888"/>
      <c r="J494" s="678"/>
    </row>
    <row r="495" spans="1:10" s="341" customFormat="1" ht="14.3">
      <c r="A495" s="689"/>
      <c r="B495" s="690"/>
      <c r="C495" s="691"/>
      <c r="D495" s="898"/>
      <c r="E495" s="691"/>
      <c r="F495" s="692"/>
      <c r="G495" s="675"/>
      <c r="H495" s="675"/>
      <c r="I495" s="694"/>
      <c r="J495" s="678"/>
    </row>
    <row r="496" spans="1:10" s="341" customFormat="1" ht="12.75" customHeight="1">
      <c r="A496" s="689"/>
      <c r="B496" s="695" t="s">
        <v>324</v>
      </c>
      <c r="C496" s="696"/>
      <c r="D496" s="697"/>
      <c r="E496" s="696"/>
      <c r="F496" s="696"/>
      <c r="G496" s="722"/>
      <c r="H496" s="700"/>
      <c r="I496" s="694"/>
      <c r="J496" s="678"/>
    </row>
    <row r="497" spans="1:10" s="341" customFormat="1" ht="32.299999999999997" customHeight="1">
      <c r="A497" s="689"/>
      <c r="B497" s="1157" t="s">
        <v>429</v>
      </c>
      <c r="C497" s="1158"/>
      <c r="D497" s="1158"/>
      <c r="E497" s="1158"/>
      <c r="F497" s="1158"/>
      <c r="G497" s="1158"/>
      <c r="H497" s="1159"/>
      <c r="I497" s="694"/>
      <c r="J497" s="678"/>
    </row>
    <row r="498" spans="1:10" s="341" customFormat="1" ht="14.3">
      <c r="A498" s="689"/>
      <c r="B498" s="702" t="s">
        <v>430</v>
      </c>
      <c r="C498" s="691"/>
      <c r="D498" s="898"/>
      <c r="E498" s="691"/>
      <c r="F498" s="691"/>
      <c r="G498" s="675"/>
      <c r="H498" s="703"/>
      <c r="I498" s="701"/>
      <c r="J498" s="678"/>
    </row>
    <row r="499" spans="1:10" s="341" customFormat="1" ht="14.3">
      <c r="A499" s="689"/>
      <c r="B499" s="702" t="s">
        <v>57</v>
      </c>
      <c r="C499" s="691"/>
      <c r="D499" s="898"/>
      <c r="E499" s="691"/>
      <c r="F499" s="691"/>
      <c r="G499" s="675"/>
      <c r="H499" s="703"/>
      <c r="I499" s="694"/>
      <c r="J499" s="678"/>
    </row>
    <row r="500" spans="1:10" s="341" customFormat="1" ht="12.75" customHeight="1">
      <c r="A500" s="689"/>
      <c r="B500" s="702" t="s">
        <v>58</v>
      </c>
      <c r="C500" s="691"/>
      <c r="D500" s="898"/>
      <c r="E500" s="691"/>
      <c r="F500" s="691"/>
      <c r="G500" s="675"/>
      <c r="H500" s="703"/>
      <c r="I500" s="694"/>
      <c r="J500" s="678"/>
    </row>
    <row r="501" spans="1:10" s="341" customFormat="1" ht="39.75" customHeight="1">
      <c r="A501" s="689"/>
      <c r="B501" s="1154" t="s">
        <v>431</v>
      </c>
      <c r="C501" s="1155"/>
      <c r="D501" s="1155"/>
      <c r="E501" s="1155"/>
      <c r="F501" s="1155"/>
      <c r="G501" s="1155"/>
      <c r="H501" s="1156"/>
      <c r="I501" s="898"/>
      <c r="J501" s="704"/>
    </row>
    <row r="502" spans="1:10" s="341" customFormat="1" ht="14.3">
      <c r="A502" s="689"/>
      <c r="B502" s="702" t="s">
        <v>507</v>
      </c>
      <c r="C502" s="691"/>
      <c r="D502" s="898"/>
      <c r="E502" s="691"/>
      <c r="F502" s="691"/>
      <c r="G502" s="675"/>
      <c r="H502" s="703"/>
      <c r="I502" s="694"/>
      <c r="J502" s="678"/>
    </row>
    <row r="503" spans="1:10" s="896" customFormat="1" ht="14.3">
      <c r="A503" s="689"/>
      <c r="B503" s="1130" t="s">
        <v>1810</v>
      </c>
      <c r="C503" s="898"/>
      <c r="D503" s="898"/>
      <c r="E503" s="898"/>
      <c r="F503" s="898"/>
      <c r="G503" s="898"/>
      <c r="H503" s="687"/>
      <c r="I503" s="694"/>
      <c r="J503" s="898"/>
    </row>
    <row r="504" spans="1:10" s="896" customFormat="1" ht="14.3">
      <c r="A504" s="689"/>
      <c r="B504" s="702" t="s">
        <v>1811</v>
      </c>
      <c r="C504" s="691"/>
      <c r="D504" s="898"/>
      <c r="E504" s="691"/>
      <c r="F504" s="691"/>
      <c r="G504" s="675"/>
      <c r="H504" s="703"/>
      <c r="I504" s="694"/>
      <c r="J504" s="898"/>
    </row>
    <row r="505" spans="1:10" s="896" customFormat="1" ht="14.3">
      <c r="A505" s="689"/>
      <c r="B505" s="702" t="s">
        <v>1824</v>
      </c>
      <c r="C505" s="691"/>
      <c r="D505" s="898"/>
      <c r="E505" s="691"/>
      <c r="F505" s="691"/>
      <c r="G505" s="675"/>
      <c r="H505" s="703"/>
      <c r="I505" s="694"/>
      <c r="J505" s="898"/>
    </row>
    <row r="506" spans="1:10" s="896" customFormat="1" ht="14.3">
      <c r="A506" s="689"/>
      <c r="B506" s="702" t="s">
        <v>1812</v>
      </c>
      <c r="C506" s="691"/>
      <c r="D506" s="898"/>
      <c r="E506" s="691"/>
      <c r="F506" s="691"/>
      <c r="G506" s="675"/>
      <c r="H506" s="703"/>
      <c r="I506" s="694"/>
      <c r="J506" s="898"/>
    </row>
    <row r="507" spans="1:10" s="896" customFormat="1" ht="14.3">
      <c r="A507" s="689"/>
      <c r="B507" s="702" t="s">
        <v>1813</v>
      </c>
      <c r="C507" s="691"/>
      <c r="D507" s="898"/>
      <c r="E507" s="691"/>
      <c r="F507" s="691"/>
      <c r="G507" s="675"/>
      <c r="H507" s="703"/>
      <c r="I507" s="694"/>
      <c r="J507" s="898"/>
    </row>
    <row r="508" spans="1:10" s="896" customFormat="1" ht="14.3">
      <c r="A508" s="689"/>
      <c r="B508" s="702" t="s">
        <v>1814</v>
      </c>
      <c r="C508" s="691"/>
      <c r="D508" s="898"/>
      <c r="E508" s="691"/>
      <c r="F508" s="691"/>
      <c r="G508" s="675"/>
      <c r="H508" s="703"/>
      <c r="I508" s="694"/>
      <c r="J508" s="898"/>
    </row>
    <row r="509" spans="1:10" s="896" customFormat="1" ht="14.3">
      <c r="A509" s="689"/>
      <c r="B509" s="702" t="s">
        <v>1815</v>
      </c>
      <c r="C509" s="691"/>
      <c r="D509" s="898"/>
      <c r="E509" s="691"/>
      <c r="F509" s="691"/>
      <c r="G509" s="675"/>
      <c r="H509" s="703"/>
      <c r="I509" s="694"/>
      <c r="J509" s="898"/>
    </row>
    <row r="510" spans="1:10" s="896" customFormat="1" ht="14.3">
      <c r="A510" s="689"/>
      <c r="B510" s="702" t="s">
        <v>1816</v>
      </c>
      <c r="C510" s="691"/>
      <c r="D510" s="898"/>
      <c r="E510" s="691"/>
      <c r="F510" s="691"/>
      <c r="G510" s="675"/>
      <c r="H510" s="703"/>
      <c r="I510" s="694"/>
      <c r="J510" s="898"/>
    </row>
    <row r="511" spans="1:10" s="896" customFormat="1" ht="14.3">
      <c r="A511" s="689"/>
      <c r="B511" s="702" t="s">
        <v>1888</v>
      </c>
      <c r="C511" s="691"/>
      <c r="D511" s="898"/>
      <c r="E511" s="691"/>
      <c r="F511" s="691"/>
      <c r="G511" s="675"/>
      <c r="H511" s="703"/>
      <c r="I511" s="694"/>
      <c r="J511" s="898"/>
    </row>
    <row r="512" spans="1:10" s="896" customFormat="1" ht="14.3">
      <c r="A512" s="689"/>
      <c r="B512" s="702" t="s">
        <v>1817</v>
      </c>
      <c r="C512" s="691"/>
      <c r="D512" s="898"/>
      <c r="E512" s="691"/>
      <c r="F512" s="691"/>
      <c r="G512" s="675"/>
      <c r="H512" s="703"/>
      <c r="I512" s="694"/>
      <c r="J512" s="898"/>
    </row>
    <row r="513" spans="1:10" s="896" customFormat="1" ht="14.3">
      <c r="A513" s="689"/>
      <c r="B513" s="705" t="s">
        <v>1889</v>
      </c>
      <c r="C513" s="706"/>
      <c r="D513" s="707"/>
      <c r="E513" s="706"/>
      <c r="F513" s="706"/>
      <c r="G513" s="708"/>
      <c r="H513" s="709"/>
      <c r="I513" s="694"/>
      <c r="J513" s="898"/>
    </row>
    <row r="514" spans="1:10" s="341" customFormat="1" ht="14.3">
      <c r="A514" s="689"/>
      <c r="B514" s="723"/>
      <c r="C514" s="691"/>
      <c r="D514" s="898"/>
      <c r="E514" s="691"/>
      <c r="F514" s="691"/>
      <c r="G514" s="675"/>
      <c r="H514" s="675"/>
      <c r="I514" s="694"/>
      <c r="J514" s="678"/>
    </row>
    <row r="515" spans="1:10" s="341" customFormat="1" ht="14.3">
      <c r="A515" s="710"/>
      <c r="B515" s="711"/>
      <c r="C515" s="712"/>
      <c r="D515" s="711"/>
      <c r="E515" s="711"/>
      <c r="F515" s="711"/>
      <c r="G515" s="711"/>
      <c r="H515" s="711"/>
      <c r="I515" s="711"/>
      <c r="J515" s="678"/>
    </row>
    <row r="516" spans="1:10" s="341" customFormat="1" ht="13.6">
      <c r="A516" s="260"/>
      <c r="B516" s="711"/>
      <c r="C516" s="712"/>
      <c r="D516" s="711"/>
      <c r="E516" s="711"/>
      <c r="F516" s="711"/>
      <c r="G516" s="711"/>
      <c r="H516" s="711"/>
      <c r="I516" s="711"/>
      <c r="J516" s="678"/>
    </row>
    <row r="517" spans="1:10" s="341" customFormat="1" ht="13.6">
      <c r="A517" s="689"/>
      <c r="B517" s="898"/>
      <c r="C517" s="691"/>
      <c r="D517" s="898"/>
      <c r="E517" s="898"/>
      <c r="F517" s="898"/>
      <c r="G517" s="898"/>
      <c r="H517" s="724"/>
      <c r="I517" s="694"/>
      <c r="J517" s="678"/>
    </row>
    <row r="518" spans="1:10" s="341" customFormat="1" ht="14.3">
      <c r="A518" s="710" t="s">
        <v>632</v>
      </c>
      <c r="B518" s="716"/>
      <c r="C518" s="691"/>
      <c r="D518" s="716" t="s">
        <v>814</v>
      </c>
      <c r="E518" s="716" t="s">
        <v>610</v>
      </c>
      <c r="F518" s="716" t="s">
        <v>633</v>
      </c>
      <c r="G518" s="716" t="s">
        <v>631</v>
      </c>
      <c r="H518" s="716" t="s">
        <v>419</v>
      </c>
      <c r="I518" s="716" t="s">
        <v>634</v>
      </c>
      <c r="J518" s="678"/>
    </row>
    <row r="519" spans="1:10" s="341" customFormat="1" ht="13.6">
      <c r="A519" s="920"/>
      <c r="B519" s="920"/>
      <c r="C519" s="691"/>
      <c r="D519" s="717" t="s">
        <v>813</v>
      </c>
      <c r="E519" s="717" t="s">
        <v>160</v>
      </c>
      <c r="F519" s="717" t="s">
        <v>321</v>
      </c>
      <c r="G519" s="717"/>
      <c r="H519" s="717"/>
      <c r="I519" s="896"/>
      <c r="J519" s="678"/>
    </row>
    <row r="520" spans="1:10" s="341" customFormat="1" ht="13.6">
      <c r="A520" s="260" t="s">
        <v>315</v>
      </c>
      <c r="B520" s="429"/>
      <c r="C520" s="691"/>
      <c r="D520" s="717"/>
      <c r="E520" s="717" t="s">
        <v>320</v>
      </c>
      <c r="F520" s="717" t="s">
        <v>312</v>
      </c>
      <c r="G520" s="717" t="s">
        <v>317</v>
      </c>
      <c r="H520" s="717" t="s">
        <v>319</v>
      </c>
      <c r="I520" s="896"/>
      <c r="J520" s="678"/>
    </row>
    <row r="521" spans="1:10" s="341" customFormat="1" ht="29.25" customHeight="1">
      <c r="A521" s="689"/>
      <c r="B521" s="898"/>
      <c r="C521" s="691"/>
      <c r="D521" s="717"/>
      <c r="E521" s="717" t="s">
        <v>318</v>
      </c>
      <c r="F521" s="717" t="s">
        <v>318</v>
      </c>
      <c r="G521" s="717" t="s">
        <v>318</v>
      </c>
      <c r="H521" s="717" t="s">
        <v>318</v>
      </c>
      <c r="I521" s="717" t="s">
        <v>529</v>
      </c>
      <c r="J521" s="678"/>
    </row>
    <row r="522" spans="1:10" s="896" customFormat="1" ht="17.149999999999999" customHeight="1">
      <c r="A522" s="1152" t="s">
        <v>1458</v>
      </c>
      <c r="B522" s="1153"/>
      <c r="C522" s="691"/>
      <c r="D522" s="897">
        <f>SUM(E522:H522)</f>
        <v>-271.27300000000002</v>
      </c>
      <c r="E522" s="899">
        <v>-271.27300000000002</v>
      </c>
      <c r="F522" s="899"/>
      <c r="G522" s="899"/>
      <c r="H522" s="899"/>
      <c r="I522" s="1149" t="s">
        <v>658</v>
      </c>
      <c r="J522" s="898"/>
    </row>
    <row r="523" spans="1:10" s="896" customFormat="1" ht="17.149999999999999" customHeight="1">
      <c r="A523" s="1152" t="s">
        <v>1459</v>
      </c>
      <c r="B523" s="1153"/>
      <c r="C523" s="691"/>
      <c r="D523" s="897">
        <f>SUM(E523:H523)</f>
        <v>-2259.8679999999999</v>
      </c>
      <c r="E523" s="899">
        <v>-2259.8679999999999</v>
      </c>
      <c r="F523" s="899"/>
      <c r="G523" s="899"/>
      <c r="H523" s="899"/>
      <c r="I523" s="1149" t="s">
        <v>658</v>
      </c>
      <c r="J523" s="898"/>
    </row>
    <row r="524" spans="1:10" s="341" customFormat="1" ht="17.149999999999999" customHeight="1">
      <c r="A524" s="1152" t="s">
        <v>1201</v>
      </c>
      <c r="B524" s="1153"/>
      <c r="C524" s="679"/>
      <c r="D524" s="897">
        <f t="shared" ref="D524:D597" si="10">SUM(E524:H524)</f>
        <v>0</v>
      </c>
      <c r="E524" s="899"/>
      <c r="F524" s="899"/>
      <c r="G524" s="899"/>
      <c r="H524" s="899"/>
      <c r="I524" s="1149" t="s">
        <v>658</v>
      </c>
      <c r="J524" s="678"/>
    </row>
    <row r="525" spans="1:10" s="341" customFormat="1" ht="17.149999999999999" customHeight="1">
      <c r="A525" s="1152" t="s">
        <v>1202</v>
      </c>
      <c r="B525" s="1153"/>
      <c r="C525" s="725"/>
      <c r="D525" s="897">
        <f t="shared" si="10"/>
        <v>0</v>
      </c>
      <c r="E525" s="899"/>
      <c r="F525" s="899"/>
      <c r="G525" s="899"/>
      <c r="H525" s="899"/>
      <c r="I525" s="1149" t="s">
        <v>658</v>
      </c>
      <c r="J525" s="678"/>
    </row>
    <row r="526" spans="1:10" s="341" customFormat="1" ht="17.149999999999999" customHeight="1">
      <c r="A526" s="1152" t="s">
        <v>1203</v>
      </c>
      <c r="B526" s="1153"/>
      <c r="C526" s="725"/>
      <c r="D526" s="897">
        <f t="shared" si="10"/>
        <v>0</v>
      </c>
      <c r="E526" s="899"/>
      <c r="F526" s="899"/>
      <c r="G526" s="899"/>
      <c r="H526" s="899"/>
      <c r="I526" s="1149" t="s">
        <v>658</v>
      </c>
      <c r="J526" s="678"/>
    </row>
    <row r="527" spans="1:10" s="896" customFormat="1" ht="17.149999999999999" customHeight="1">
      <c r="A527" s="1152" t="s">
        <v>1658</v>
      </c>
      <c r="B527" s="1153"/>
      <c r="C527" s="725"/>
      <c r="D527" s="897"/>
      <c r="E527" s="899">
        <v>0</v>
      </c>
      <c r="F527" s="899"/>
      <c r="G527" s="899"/>
      <c r="H527" s="899"/>
      <c r="I527" s="1149" t="s">
        <v>658</v>
      </c>
      <c r="J527" s="898"/>
    </row>
    <row r="528" spans="1:10" s="896" customFormat="1" ht="17.149999999999999" customHeight="1">
      <c r="A528" s="1152" t="s">
        <v>1533</v>
      </c>
      <c r="B528" s="1153"/>
      <c r="C528" s="725"/>
      <c r="D528" s="897">
        <f t="shared" si="10"/>
        <v>-15527.174000000001</v>
      </c>
      <c r="E528" s="899">
        <v>-15527.174000000001</v>
      </c>
      <c r="F528" s="899"/>
      <c r="G528" s="899"/>
      <c r="H528" s="899"/>
      <c r="I528" s="1149" t="s">
        <v>658</v>
      </c>
      <c r="J528" s="898"/>
    </row>
    <row r="529" spans="1:10" s="341" customFormat="1" ht="17.149999999999999" customHeight="1">
      <c r="A529" s="1152" t="s">
        <v>1204</v>
      </c>
      <c r="B529" s="1153"/>
      <c r="C529" s="725"/>
      <c r="D529" s="897">
        <f t="shared" si="10"/>
        <v>-49430.544999999998</v>
      </c>
      <c r="E529" s="899">
        <v>-49430.544999999998</v>
      </c>
      <c r="F529" s="899"/>
      <c r="G529" s="899"/>
      <c r="H529" s="899"/>
      <c r="I529" s="1149" t="s">
        <v>658</v>
      </c>
      <c r="J529" s="678"/>
    </row>
    <row r="530" spans="1:10" s="341" customFormat="1" ht="17.149999999999999" customHeight="1">
      <c r="A530" s="1152" t="s">
        <v>585</v>
      </c>
      <c r="B530" s="1153"/>
      <c r="C530" s="725"/>
      <c r="D530" s="897">
        <f t="shared" si="10"/>
        <v>0</v>
      </c>
      <c r="E530" s="899"/>
      <c r="F530" s="899"/>
      <c r="G530" s="899"/>
      <c r="H530" s="899"/>
      <c r="I530" s="1149" t="s">
        <v>658</v>
      </c>
      <c r="J530" s="678"/>
    </row>
    <row r="531" spans="1:10" s="341" customFormat="1" ht="17.149999999999999" customHeight="1">
      <c r="A531" s="1152" t="s">
        <v>1205</v>
      </c>
      <c r="B531" s="1153"/>
      <c r="C531" s="679"/>
      <c r="D531" s="897">
        <f t="shared" si="10"/>
        <v>-174715.995</v>
      </c>
      <c r="E531" s="899">
        <v>-174715.995</v>
      </c>
      <c r="F531" s="899"/>
      <c r="G531" s="899"/>
      <c r="H531" s="899"/>
      <c r="I531" s="1149" t="s">
        <v>658</v>
      </c>
      <c r="J531" s="678"/>
    </row>
    <row r="532" spans="1:10" s="341" customFormat="1" ht="17.149999999999999" customHeight="1">
      <c r="A532" s="1152" t="s">
        <v>1206</v>
      </c>
      <c r="B532" s="1153"/>
      <c r="C532" s="679"/>
      <c r="D532" s="897">
        <f t="shared" si="10"/>
        <v>-380067.54599999997</v>
      </c>
      <c r="E532" s="899">
        <v>-380067.54599999997</v>
      </c>
      <c r="F532" s="899"/>
      <c r="G532" s="899"/>
      <c r="H532" s="899"/>
      <c r="I532" s="1149" t="s">
        <v>658</v>
      </c>
      <c r="J532" s="678"/>
    </row>
    <row r="533" spans="1:10" s="341" customFormat="1" ht="17.149999999999999" customHeight="1">
      <c r="A533" s="1152" t="s">
        <v>1207</v>
      </c>
      <c r="B533" s="1153"/>
      <c r="C533" s="679"/>
      <c r="D533" s="897">
        <f t="shared" si="10"/>
        <v>37912.442999999999</v>
      </c>
      <c r="E533" s="899">
        <v>37912.442999999999</v>
      </c>
      <c r="F533" s="899"/>
      <c r="G533" s="899"/>
      <c r="H533" s="899"/>
      <c r="I533" s="1149" t="s">
        <v>658</v>
      </c>
      <c r="J533" s="678"/>
    </row>
    <row r="534" spans="1:10" s="341" customFormat="1" ht="17.149999999999999" customHeight="1">
      <c r="A534" s="1152" t="s">
        <v>1208</v>
      </c>
      <c r="B534" s="1153"/>
      <c r="C534" s="725"/>
      <c r="D534" s="897">
        <f t="shared" si="10"/>
        <v>0</v>
      </c>
      <c r="E534" s="899">
        <v>0</v>
      </c>
      <c r="F534" s="899"/>
      <c r="G534" s="899"/>
      <c r="H534" s="899"/>
      <c r="I534" s="1149" t="s">
        <v>658</v>
      </c>
      <c r="J534" s="678"/>
    </row>
    <row r="535" spans="1:10" s="341" customFormat="1" ht="17.149999999999999" customHeight="1">
      <c r="A535" s="1152" t="s">
        <v>1209</v>
      </c>
      <c r="B535" s="1153"/>
      <c r="C535" s="725"/>
      <c r="D535" s="897">
        <f t="shared" si="10"/>
        <v>-3368.8180000000002</v>
      </c>
      <c r="E535" s="899">
        <v>-3368.8180000000002</v>
      </c>
      <c r="F535" s="899"/>
      <c r="G535" s="899"/>
      <c r="H535" s="899"/>
      <c r="I535" s="1149" t="s">
        <v>658</v>
      </c>
      <c r="J535" s="678"/>
    </row>
    <row r="536" spans="1:10" s="341" customFormat="1" ht="17.149999999999999" customHeight="1">
      <c r="A536" s="1152" t="s">
        <v>1210</v>
      </c>
      <c r="B536" s="1153"/>
      <c r="C536" s="725"/>
      <c r="D536" s="897">
        <f t="shared" si="10"/>
        <v>-45847.981</v>
      </c>
      <c r="E536" s="899">
        <v>-45847.981</v>
      </c>
      <c r="F536" s="899"/>
      <c r="G536" s="899"/>
      <c r="H536" s="899"/>
      <c r="I536" s="1149" t="s">
        <v>658</v>
      </c>
      <c r="J536" s="678"/>
    </row>
    <row r="537" spans="1:10" s="341" customFormat="1" ht="17.149999999999999" customHeight="1">
      <c r="A537" s="1152" t="s">
        <v>1211</v>
      </c>
      <c r="B537" s="1153"/>
      <c r="C537" s="679"/>
      <c r="D537" s="897">
        <f t="shared" si="10"/>
        <v>0</v>
      </c>
      <c r="E537" s="899"/>
      <c r="F537" s="899"/>
      <c r="G537" s="899"/>
      <c r="H537" s="899"/>
      <c r="I537" s="1149" t="s">
        <v>658</v>
      </c>
      <c r="J537" s="678"/>
    </row>
    <row r="538" spans="1:10" s="341" customFormat="1" ht="17.149999999999999" customHeight="1">
      <c r="A538" s="1152" t="s">
        <v>1212</v>
      </c>
      <c r="B538" s="1153"/>
      <c r="C538" s="679"/>
      <c r="D538" s="897">
        <f t="shared" si="10"/>
        <v>0</v>
      </c>
      <c r="E538" s="899"/>
      <c r="F538" s="899"/>
      <c r="G538" s="899"/>
      <c r="H538" s="899"/>
      <c r="I538" s="1149" t="s">
        <v>658</v>
      </c>
      <c r="J538" s="678"/>
    </row>
    <row r="539" spans="1:10" s="341" customFormat="1" ht="17.149999999999999" customHeight="1">
      <c r="A539" s="1152" t="s">
        <v>1213</v>
      </c>
      <c r="B539" s="1153"/>
      <c r="C539" s="725"/>
      <c r="D539" s="897">
        <f t="shared" si="10"/>
        <v>0</v>
      </c>
      <c r="E539" s="899"/>
      <c r="F539" s="899"/>
      <c r="G539" s="899"/>
      <c r="H539" s="899"/>
      <c r="I539" s="1149" t="s">
        <v>658</v>
      </c>
      <c r="J539" s="678"/>
    </row>
    <row r="540" spans="1:10" s="341" customFormat="1" ht="17.149999999999999" customHeight="1">
      <c r="A540" s="1152" t="s">
        <v>1214</v>
      </c>
      <c r="B540" s="1153"/>
      <c r="C540" s="679"/>
      <c r="D540" s="897">
        <f t="shared" si="10"/>
        <v>0</v>
      </c>
      <c r="E540" s="899"/>
      <c r="F540" s="899"/>
      <c r="G540" s="899"/>
      <c r="H540" s="899"/>
      <c r="I540" s="1149" t="s">
        <v>658</v>
      </c>
      <c r="J540" s="678"/>
    </row>
    <row r="541" spans="1:10" s="341" customFormat="1" ht="17.149999999999999" customHeight="1">
      <c r="A541" s="1152" t="s">
        <v>1215</v>
      </c>
      <c r="B541" s="1153"/>
      <c r="C541" s="725"/>
      <c r="D541" s="897">
        <f t="shared" si="10"/>
        <v>0</v>
      </c>
      <c r="E541" s="899"/>
      <c r="F541" s="899"/>
      <c r="G541" s="899"/>
      <c r="H541" s="899"/>
      <c r="I541" s="1149" t="s">
        <v>658</v>
      </c>
      <c r="J541" s="678"/>
    </row>
    <row r="542" spans="1:10" s="341" customFormat="1" ht="17.149999999999999" customHeight="1">
      <c r="A542" s="1152" t="s">
        <v>1216</v>
      </c>
      <c r="B542" s="1153"/>
      <c r="C542" s="725"/>
      <c r="D542" s="897">
        <f t="shared" si="10"/>
        <v>0</v>
      </c>
      <c r="E542" s="899"/>
      <c r="F542" s="899"/>
      <c r="G542" s="899"/>
      <c r="H542" s="899"/>
      <c r="I542" s="1149" t="s">
        <v>658</v>
      </c>
      <c r="J542" s="678"/>
    </row>
    <row r="543" spans="1:10" s="341" customFormat="1" ht="17.149999999999999" customHeight="1">
      <c r="A543" s="1152" t="s">
        <v>1217</v>
      </c>
      <c r="B543" s="1153"/>
      <c r="C543" s="725"/>
      <c r="D543" s="897">
        <f t="shared" si="10"/>
        <v>0</v>
      </c>
      <c r="E543" s="899"/>
      <c r="F543" s="899"/>
      <c r="G543" s="899"/>
      <c r="H543" s="899"/>
      <c r="I543" s="1149" t="s">
        <v>658</v>
      </c>
      <c r="J543" s="678"/>
    </row>
    <row r="544" spans="1:10" s="341" customFormat="1" ht="17.149999999999999" customHeight="1">
      <c r="A544" s="1152" t="s">
        <v>1218</v>
      </c>
      <c r="B544" s="1153"/>
      <c r="C544" s="725"/>
      <c r="D544" s="897">
        <f t="shared" si="10"/>
        <v>0</v>
      </c>
      <c r="E544" s="899"/>
      <c r="F544" s="899"/>
      <c r="G544" s="899"/>
      <c r="H544" s="899"/>
      <c r="I544" s="1149" t="s">
        <v>658</v>
      </c>
      <c r="J544" s="678"/>
    </row>
    <row r="545" spans="1:10" s="341" customFormat="1" ht="17.149999999999999" customHeight="1">
      <c r="A545" s="1152" t="s">
        <v>1219</v>
      </c>
      <c r="B545" s="1153"/>
      <c r="C545" s="725"/>
      <c r="D545" s="897">
        <f t="shared" si="10"/>
        <v>0</v>
      </c>
      <c r="E545" s="899"/>
      <c r="F545" s="899"/>
      <c r="G545" s="899"/>
      <c r="H545" s="899"/>
      <c r="I545" s="1149" t="s">
        <v>658</v>
      </c>
      <c r="J545" s="678"/>
    </row>
    <row r="546" spans="1:10" s="341" customFormat="1" ht="17.149999999999999" customHeight="1">
      <c r="A546" s="1152" t="s">
        <v>1220</v>
      </c>
      <c r="B546" s="1153"/>
      <c r="C546" s="725"/>
      <c r="D546" s="897">
        <f t="shared" si="10"/>
        <v>-10593.243</v>
      </c>
      <c r="E546" s="899">
        <v>-10593.243</v>
      </c>
      <c r="F546" s="899"/>
      <c r="G546" s="899"/>
      <c r="H546" s="899"/>
      <c r="I546" s="1149" t="s">
        <v>658</v>
      </c>
      <c r="J546" s="678"/>
    </row>
    <row r="547" spans="1:10" s="341" customFormat="1" ht="17.149999999999999" customHeight="1">
      <c r="A547" s="1152" t="s">
        <v>1368</v>
      </c>
      <c r="B547" s="1153"/>
      <c r="C547" s="725"/>
      <c r="D547" s="897">
        <f t="shared" si="10"/>
        <v>0</v>
      </c>
      <c r="E547" s="899">
        <v>0</v>
      </c>
      <c r="F547" s="899"/>
      <c r="G547" s="899"/>
      <c r="H547" s="899"/>
      <c r="I547" s="1149" t="s">
        <v>658</v>
      </c>
      <c r="J547" s="678"/>
    </row>
    <row r="548" spans="1:10" s="341" customFormat="1" ht="17.149999999999999" customHeight="1">
      <c r="A548" s="1152" t="s">
        <v>1221</v>
      </c>
      <c r="B548" s="1153"/>
      <c r="C548" s="725"/>
      <c r="D548" s="897">
        <f t="shared" si="10"/>
        <v>0</v>
      </c>
      <c r="E548" s="899"/>
      <c r="F548" s="899"/>
      <c r="G548" s="899"/>
      <c r="H548" s="899"/>
      <c r="I548" s="1149" t="s">
        <v>658</v>
      </c>
      <c r="J548" s="678"/>
    </row>
    <row r="549" spans="1:10" s="341" customFormat="1" ht="17.149999999999999" customHeight="1">
      <c r="A549" s="1152" t="s">
        <v>1222</v>
      </c>
      <c r="B549" s="1153"/>
      <c r="C549" s="725"/>
      <c r="D549" s="897">
        <f t="shared" si="10"/>
        <v>0</v>
      </c>
      <c r="E549" s="899"/>
      <c r="F549" s="899"/>
      <c r="G549" s="899"/>
      <c r="H549" s="899"/>
      <c r="I549" s="1149" t="s">
        <v>658</v>
      </c>
      <c r="J549" s="678"/>
    </row>
    <row r="550" spans="1:10" s="341" customFormat="1" ht="17.149999999999999" customHeight="1">
      <c r="A550" s="1152" t="s">
        <v>1223</v>
      </c>
      <c r="B550" s="1153"/>
      <c r="C550" s="725"/>
      <c r="D550" s="897">
        <f t="shared" si="10"/>
        <v>0</v>
      </c>
      <c r="E550" s="899"/>
      <c r="F550" s="899"/>
      <c r="G550" s="899"/>
      <c r="H550" s="899"/>
      <c r="I550" s="1149" t="s">
        <v>658</v>
      </c>
      <c r="J550" s="678"/>
    </row>
    <row r="551" spans="1:10" s="341" customFormat="1" ht="17.149999999999999" customHeight="1">
      <c r="A551" s="1152" t="s">
        <v>1224</v>
      </c>
      <c r="B551" s="1153"/>
      <c r="C551" s="725"/>
      <c r="D551" s="897">
        <f t="shared" si="10"/>
        <v>0</v>
      </c>
      <c r="E551" s="899"/>
      <c r="F551" s="899"/>
      <c r="G551" s="899"/>
      <c r="H551" s="899"/>
      <c r="I551" s="1149" t="s">
        <v>658</v>
      </c>
      <c r="J551" s="678"/>
    </row>
    <row r="552" spans="1:10" s="341" customFormat="1" ht="17.149999999999999" customHeight="1">
      <c r="A552" s="1152" t="s">
        <v>1225</v>
      </c>
      <c r="B552" s="1153"/>
      <c r="C552" s="725"/>
      <c r="D552" s="897">
        <f t="shared" si="10"/>
        <v>0</v>
      </c>
      <c r="E552" s="899"/>
      <c r="F552" s="899"/>
      <c r="G552" s="899"/>
      <c r="H552" s="899"/>
      <c r="I552" s="1149" t="s">
        <v>658</v>
      </c>
      <c r="J552" s="678"/>
    </row>
    <row r="553" spans="1:10" s="341" customFormat="1" ht="17.149999999999999" customHeight="1">
      <c r="A553" s="1152" t="s">
        <v>1226</v>
      </c>
      <c r="B553" s="1153"/>
      <c r="C553" s="725"/>
      <c r="D553" s="897">
        <f t="shared" si="10"/>
        <v>0</v>
      </c>
      <c r="E553" s="899"/>
      <c r="F553" s="899"/>
      <c r="G553" s="899"/>
      <c r="H553" s="899"/>
      <c r="I553" s="1149" t="s">
        <v>658</v>
      </c>
      <c r="J553" s="678"/>
    </row>
    <row r="554" spans="1:10" s="341" customFormat="1" ht="17.149999999999999" customHeight="1">
      <c r="A554" s="1152" t="s">
        <v>1227</v>
      </c>
      <c r="B554" s="1153"/>
      <c r="C554" s="725"/>
      <c r="D554" s="897">
        <f t="shared" si="10"/>
        <v>0</v>
      </c>
      <c r="E554" s="899"/>
      <c r="F554" s="899"/>
      <c r="G554" s="899"/>
      <c r="H554" s="899"/>
      <c r="I554" s="1149" t="s">
        <v>658</v>
      </c>
      <c r="J554" s="678"/>
    </row>
    <row r="555" spans="1:10" s="341" customFormat="1" ht="17.149999999999999" customHeight="1">
      <c r="A555" s="1152" t="s">
        <v>1228</v>
      </c>
      <c r="B555" s="1153"/>
      <c r="C555" s="725"/>
      <c r="D555" s="897">
        <f t="shared" si="10"/>
        <v>0</v>
      </c>
      <c r="E555" s="899"/>
      <c r="F555" s="899"/>
      <c r="G555" s="899"/>
      <c r="H555" s="899"/>
      <c r="I555" s="1149" t="s">
        <v>658</v>
      </c>
      <c r="J555" s="678"/>
    </row>
    <row r="556" spans="1:10" s="341" customFormat="1" ht="17.149999999999999" customHeight="1">
      <c r="A556" s="1152" t="s">
        <v>1229</v>
      </c>
      <c r="B556" s="1153"/>
      <c r="C556" s="725"/>
      <c r="D556" s="897">
        <f t="shared" si="10"/>
        <v>0</v>
      </c>
      <c r="E556" s="899"/>
      <c r="F556" s="899"/>
      <c r="G556" s="899"/>
      <c r="H556" s="899"/>
      <c r="I556" s="1149" t="s">
        <v>658</v>
      </c>
      <c r="J556" s="678"/>
    </row>
    <row r="557" spans="1:10" s="341" customFormat="1" ht="17.149999999999999" customHeight="1">
      <c r="A557" s="1152" t="s">
        <v>1230</v>
      </c>
      <c r="B557" s="1153"/>
      <c r="C557" s="679"/>
      <c r="D557" s="897">
        <f t="shared" si="10"/>
        <v>0</v>
      </c>
      <c r="E557" s="899"/>
      <c r="F557" s="899"/>
      <c r="G557" s="899"/>
      <c r="H557" s="899"/>
      <c r="I557" s="1149" t="s">
        <v>658</v>
      </c>
      <c r="J557" s="678"/>
    </row>
    <row r="558" spans="1:10" s="341" customFormat="1" ht="17.149999999999999" customHeight="1">
      <c r="A558" s="1152" t="s">
        <v>1231</v>
      </c>
      <c r="B558" s="1153"/>
      <c r="C558" s="679"/>
      <c r="D558" s="897">
        <f t="shared" si="10"/>
        <v>0</v>
      </c>
      <c r="E558" s="899"/>
      <c r="F558" s="899"/>
      <c r="G558" s="899"/>
      <c r="H558" s="899"/>
      <c r="I558" s="1149" t="s">
        <v>658</v>
      </c>
      <c r="J558" s="678"/>
    </row>
    <row r="559" spans="1:10" s="341" customFormat="1" ht="17.149999999999999" customHeight="1">
      <c r="A559" s="1152" t="s">
        <v>1232</v>
      </c>
      <c r="B559" s="1153"/>
      <c r="C559" s="679"/>
      <c r="D559" s="897">
        <f t="shared" si="10"/>
        <v>0</v>
      </c>
      <c r="E559" s="899"/>
      <c r="F559" s="899"/>
      <c r="G559" s="899"/>
      <c r="H559" s="899"/>
      <c r="I559" s="1149" t="s">
        <v>658</v>
      </c>
      <c r="J559" s="678"/>
    </row>
    <row r="560" spans="1:10" s="341" customFormat="1" ht="17.149999999999999" customHeight="1">
      <c r="A560" s="1152" t="s">
        <v>1233</v>
      </c>
      <c r="B560" s="1153"/>
      <c r="C560" s="679"/>
      <c r="D560" s="897">
        <f t="shared" si="10"/>
        <v>0</v>
      </c>
      <c r="E560" s="899">
        <v>0</v>
      </c>
      <c r="F560" s="899"/>
      <c r="G560" s="899"/>
      <c r="H560" s="899"/>
      <c r="I560" s="1149" t="s">
        <v>658</v>
      </c>
      <c r="J560" s="678"/>
    </row>
    <row r="561" spans="1:10" s="341" customFormat="1" ht="17.149999999999999" customHeight="1">
      <c r="A561" s="1152" t="s">
        <v>1234</v>
      </c>
      <c r="B561" s="1153"/>
      <c r="C561" s="679"/>
      <c r="D561" s="897">
        <f t="shared" si="10"/>
        <v>0</v>
      </c>
      <c r="E561" s="899"/>
      <c r="F561" s="899"/>
      <c r="G561" s="899"/>
      <c r="H561" s="899"/>
      <c r="I561" s="1149" t="s">
        <v>658</v>
      </c>
      <c r="J561" s="678"/>
    </row>
    <row r="562" spans="1:10" s="341" customFormat="1" ht="17.149999999999999" customHeight="1">
      <c r="A562" s="1152" t="s">
        <v>1235</v>
      </c>
      <c r="B562" s="1153"/>
      <c r="C562" s="679"/>
      <c r="D562" s="897">
        <f t="shared" si="10"/>
        <v>0</v>
      </c>
      <c r="E562" s="899"/>
      <c r="F562" s="899"/>
      <c r="G562" s="899"/>
      <c r="H562" s="899"/>
      <c r="I562" s="1149" t="s">
        <v>658</v>
      </c>
      <c r="J562" s="678"/>
    </row>
    <row r="563" spans="1:10" s="341" customFormat="1" ht="17.149999999999999" customHeight="1">
      <c r="A563" s="1152" t="s">
        <v>1236</v>
      </c>
      <c r="B563" s="1153"/>
      <c r="C563" s="679"/>
      <c r="D563" s="897">
        <f t="shared" si="10"/>
        <v>0</v>
      </c>
      <c r="E563" s="899"/>
      <c r="F563" s="899"/>
      <c r="G563" s="899"/>
      <c r="H563" s="899"/>
      <c r="I563" s="1149" t="s">
        <v>658</v>
      </c>
      <c r="J563" s="678"/>
    </row>
    <row r="564" spans="1:10" s="341" customFormat="1" ht="17.149999999999999" customHeight="1">
      <c r="A564" s="1152" t="s">
        <v>1237</v>
      </c>
      <c r="B564" s="1153"/>
      <c r="C564" s="679"/>
      <c r="D564" s="897">
        <f t="shared" si="10"/>
        <v>0</v>
      </c>
      <c r="E564" s="899"/>
      <c r="F564" s="899"/>
      <c r="G564" s="899"/>
      <c r="H564" s="899"/>
      <c r="I564" s="1149" t="s">
        <v>658</v>
      </c>
      <c r="J564" s="678"/>
    </row>
    <row r="565" spans="1:10" s="341" customFormat="1" ht="17.149999999999999" customHeight="1">
      <c r="A565" s="1152" t="s">
        <v>1238</v>
      </c>
      <c r="B565" s="1153"/>
      <c r="C565" s="679"/>
      <c r="D565" s="897">
        <f t="shared" si="10"/>
        <v>0</v>
      </c>
      <c r="E565" s="899"/>
      <c r="F565" s="899"/>
      <c r="G565" s="899"/>
      <c r="H565" s="899"/>
      <c r="I565" s="1149" t="s">
        <v>658</v>
      </c>
      <c r="J565" s="678"/>
    </row>
    <row r="566" spans="1:10" s="341" customFormat="1" ht="17.149999999999999" customHeight="1">
      <c r="A566" s="1152" t="s">
        <v>1334</v>
      </c>
      <c r="B566" s="1153"/>
      <c r="C566" s="679"/>
      <c r="D566" s="897">
        <f t="shared" si="10"/>
        <v>-17.116</v>
      </c>
      <c r="E566" s="899">
        <v>-17.116</v>
      </c>
      <c r="F566" s="899"/>
      <c r="G566" s="899"/>
      <c r="H566" s="899"/>
      <c r="I566" s="1149" t="s">
        <v>658</v>
      </c>
      <c r="J566" s="678"/>
    </row>
    <row r="567" spans="1:10" s="341" customFormat="1" ht="17.149999999999999" customHeight="1">
      <c r="A567" s="1152" t="s">
        <v>1335</v>
      </c>
      <c r="B567" s="1153"/>
      <c r="C567" s="679"/>
      <c r="D567" s="897">
        <f t="shared" si="10"/>
        <v>-2145.7202594559999</v>
      </c>
      <c r="E567" s="899">
        <v>-2145.7202594559999</v>
      </c>
      <c r="F567" s="899"/>
      <c r="G567" s="899"/>
      <c r="H567" s="899"/>
      <c r="I567" s="1149" t="s">
        <v>658</v>
      </c>
      <c r="J567" s="678"/>
    </row>
    <row r="568" spans="1:10" s="341" customFormat="1" ht="17.149999999999999" customHeight="1">
      <c r="A568" s="1152" t="s">
        <v>1336</v>
      </c>
      <c r="B568" s="1153"/>
      <c r="C568" s="679"/>
      <c r="D568" s="897">
        <f t="shared" si="10"/>
        <v>-43512.832999999999</v>
      </c>
      <c r="E568" s="899">
        <v>-43512.832999999999</v>
      </c>
      <c r="F568" s="899"/>
      <c r="G568" s="899"/>
      <c r="H568" s="899"/>
      <c r="I568" s="1149" t="s">
        <v>658</v>
      </c>
      <c r="J568" s="678"/>
    </row>
    <row r="569" spans="1:10" s="341" customFormat="1" ht="17.149999999999999" customHeight="1">
      <c r="A569" s="1152" t="s">
        <v>1337</v>
      </c>
      <c r="B569" s="1153"/>
      <c r="C569" s="679"/>
      <c r="D569" s="897">
        <f t="shared" si="10"/>
        <v>-1309.33</v>
      </c>
      <c r="E569" s="899">
        <v>-1309.33</v>
      </c>
      <c r="F569" s="899"/>
      <c r="G569" s="899"/>
      <c r="H569" s="899"/>
      <c r="I569" s="1149" t="s">
        <v>658</v>
      </c>
      <c r="J569" s="678"/>
    </row>
    <row r="570" spans="1:10" s="341" customFormat="1" ht="17.149999999999999" customHeight="1">
      <c r="A570" s="1152" t="s">
        <v>1338</v>
      </c>
      <c r="B570" s="1153"/>
      <c r="C570" s="679"/>
      <c r="D570" s="897">
        <f t="shared" si="10"/>
        <v>-41.843080225999998</v>
      </c>
      <c r="E570" s="899">
        <v>-41.843080225999998</v>
      </c>
      <c r="F570" s="899"/>
      <c r="G570" s="899"/>
      <c r="H570" s="899"/>
      <c r="I570" s="1149" t="s">
        <v>658</v>
      </c>
      <c r="J570" s="678"/>
    </row>
    <row r="571" spans="1:10" s="341" customFormat="1" ht="17.149999999999999" customHeight="1">
      <c r="A571" s="1152" t="s">
        <v>1339</v>
      </c>
      <c r="B571" s="1153"/>
      <c r="C571" s="679"/>
      <c r="D571" s="897">
        <f t="shared" si="10"/>
        <v>-5110.5792815579998</v>
      </c>
      <c r="E571" s="899">
        <v>-5110.5792815579998</v>
      </c>
      <c r="F571" s="899"/>
      <c r="G571" s="899"/>
      <c r="H571" s="899"/>
      <c r="I571" s="1149" t="s">
        <v>658</v>
      </c>
      <c r="J571" s="678"/>
    </row>
    <row r="572" spans="1:10" s="341" customFormat="1" ht="17.149999999999999" customHeight="1">
      <c r="A572" s="1152" t="s">
        <v>1340</v>
      </c>
      <c r="B572" s="1153"/>
      <c r="C572" s="679"/>
      <c r="D572" s="897">
        <f t="shared" si="10"/>
        <v>-106376.83000547301</v>
      </c>
      <c r="E572" s="899">
        <v>-106376.83000547301</v>
      </c>
      <c r="F572" s="899"/>
      <c r="G572" s="899"/>
      <c r="H572" s="899"/>
      <c r="I572" s="1149" t="s">
        <v>658</v>
      </c>
      <c r="J572" s="678"/>
    </row>
    <row r="573" spans="1:10" s="341" customFormat="1" ht="17.149999999999999" customHeight="1">
      <c r="A573" s="1152" t="s">
        <v>1341</v>
      </c>
      <c r="B573" s="1153"/>
      <c r="C573" s="679"/>
      <c r="D573" s="897">
        <f t="shared" si="10"/>
        <v>-3029.5120957620002</v>
      </c>
      <c r="E573" s="899">
        <v>-3029.5120957620002</v>
      </c>
      <c r="F573" s="899"/>
      <c r="G573" s="899"/>
      <c r="H573" s="899"/>
      <c r="I573" s="1149" t="s">
        <v>658</v>
      </c>
      <c r="J573" s="678"/>
    </row>
    <row r="574" spans="1:10" s="341" customFormat="1" ht="17.149999999999999" customHeight="1">
      <c r="A574" s="1152" t="s">
        <v>1239</v>
      </c>
      <c r="B574" s="1153"/>
      <c r="C574" s="679"/>
      <c r="D574" s="897">
        <f t="shared" si="10"/>
        <v>0</v>
      </c>
      <c r="E574" s="899">
        <v>0</v>
      </c>
      <c r="F574" s="899"/>
      <c r="G574" s="899"/>
      <c r="H574" s="899"/>
      <c r="I574" s="1149" t="s">
        <v>658</v>
      </c>
      <c r="J574" s="678"/>
    </row>
    <row r="575" spans="1:10" s="341" customFormat="1" ht="17.149999999999999" customHeight="1">
      <c r="A575" s="1152" t="s">
        <v>1240</v>
      </c>
      <c r="B575" s="1153"/>
      <c r="C575" s="679"/>
      <c r="D575" s="897">
        <f t="shared" si="10"/>
        <v>-27345.929070000198</v>
      </c>
      <c r="E575" s="899">
        <v>-27345.929070000198</v>
      </c>
      <c r="F575" s="899"/>
      <c r="G575" s="899"/>
      <c r="H575" s="899"/>
      <c r="I575" s="1149" t="s">
        <v>658</v>
      </c>
      <c r="J575" s="678"/>
    </row>
    <row r="576" spans="1:10" s="341" customFormat="1" ht="17.149999999999999" customHeight="1">
      <c r="A576" s="1152" t="s">
        <v>1660</v>
      </c>
      <c r="B576" s="1153"/>
      <c r="C576" s="679"/>
      <c r="D576" s="897">
        <f t="shared" si="10"/>
        <v>-106.095</v>
      </c>
      <c r="E576" s="899">
        <v>-106.095</v>
      </c>
      <c r="F576" s="899"/>
      <c r="G576" s="899"/>
      <c r="H576" s="899"/>
      <c r="I576" s="1149" t="s">
        <v>658</v>
      </c>
      <c r="J576" s="678"/>
    </row>
    <row r="577" spans="1:10" s="896" customFormat="1" ht="34" customHeight="1">
      <c r="A577" s="1152" t="s">
        <v>1659</v>
      </c>
      <c r="B577" s="1153"/>
      <c r="C577" s="1052"/>
      <c r="D577" s="897">
        <f t="shared" si="10"/>
        <v>-0.114</v>
      </c>
      <c r="E577" s="899">
        <v>-0.114</v>
      </c>
      <c r="F577" s="899"/>
      <c r="G577" s="899"/>
      <c r="H577" s="899"/>
      <c r="I577" s="1149" t="s">
        <v>658</v>
      </c>
      <c r="J577" s="898"/>
    </row>
    <row r="578" spans="1:10" s="341" customFormat="1" ht="17.149999999999999" customHeight="1">
      <c r="A578" s="1152" t="s">
        <v>1661</v>
      </c>
      <c r="B578" s="1153"/>
      <c r="C578" s="679"/>
      <c r="D578" s="897">
        <f t="shared" si="10"/>
        <v>18.704000000000001</v>
      </c>
      <c r="E578" s="899">
        <v>18.704000000000001</v>
      </c>
      <c r="F578" s="899"/>
      <c r="G578" s="899"/>
      <c r="H578" s="899"/>
      <c r="I578" s="1149" t="s">
        <v>658</v>
      </c>
      <c r="J578" s="678"/>
    </row>
    <row r="579" spans="1:10" s="896" customFormat="1" ht="34" customHeight="1">
      <c r="A579" s="1152" t="s">
        <v>1662</v>
      </c>
      <c r="B579" s="1153"/>
      <c r="C579" s="1052"/>
      <c r="D579" s="897">
        <f t="shared" si="10"/>
        <v>-5.8380000000000001</v>
      </c>
      <c r="E579" s="899">
        <v>-5.8380000000000001</v>
      </c>
      <c r="F579" s="899"/>
      <c r="G579" s="899"/>
      <c r="H579" s="899"/>
      <c r="I579" s="1149" t="s">
        <v>658</v>
      </c>
      <c r="J579" s="898"/>
    </row>
    <row r="580" spans="1:10" s="341" customFormat="1" ht="17.149999999999999" customHeight="1">
      <c r="A580" s="1152" t="s">
        <v>1663</v>
      </c>
      <c r="B580" s="1153"/>
      <c r="C580" s="679"/>
      <c r="D580" s="897">
        <f t="shared" si="10"/>
        <v>0</v>
      </c>
      <c r="E580" s="899">
        <v>0</v>
      </c>
      <c r="F580" s="899"/>
      <c r="G580" s="899"/>
      <c r="H580" s="899"/>
      <c r="I580" s="1149" t="s">
        <v>658</v>
      </c>
      <c r="J580" s="678"/>
    </row>
    <row r="581" spans="1:10" s="896" customFormat="1" ht="17.149999999999999" customHeight="1">
      <c r="A581" s="1152" t="s">
        <v>1664</v>
      </c>
      <c r="B581" s="1153"/>
      <c r="C581" s="679"/>
      <c r="D581" s="897">
        <f t="shared" si="10"/>
        <v>266.91500000000002</v>
      </c>
      <c r="E581" s="899">
        <v>266.91500000000002</v>
      </c>
      <c r="F581" s="899"/>
      <c r="G581" s="899"/>
      <c r="H581" s="899"/>
      <c r="I581" s="1149" t="s">
        <v>658</v>
      </c>
      <c r="J581" s="898"/>
    </row>
    <row r="582" spans="1:10" s="896" customFormat="1" ht="34" customHeight="1">
      <c r="A582" s="1152" t="s">
        <v>1665</v>
      </c>
      <c r="B582" s="1153"/>
      <c r="C582" s="1052"/>
      <c r="D582" s="897">
        <f t="shared" si="10"/>
        <v>0.56599999999999995</v>
      </c>
      <c r="E582" s="899">
        <v>0.56599999999999995</v>
      </c>
      <c r="F582" s="899"/>
      <c r="G582" s="899"/>
      <c r="H582" s="899"/>
      <c r="I582" s="1149" t="s">
        <v>658</v>
      </c>
      <c r="J582" s="898"/>
    </row>
    <row r="583" spans="1:10" s="896" customFormat="1" ht="17.149999999999999" customHeight="1">
      <c r="A583" s="1152" t="s">
        <v>1666</v>
      </c>
      <c r="B583" s="1153"/>
      <c r="C583" s="1052"/>
      <c r="D583" s="897">
        <f t="shared" si="10"/>
        <v>53.076000000000001</v>
      </c>
      <c r="E583" s="899">
        <v>53.076000000000001</v>
      </c>
      <c r="F583" s="899"/>
      <c r="G583" s="899"/>
      <c r="H583" s="899"/>
      <c r="I583" s="1149" t="s">
        <v>658</v>
      </c>
      <c r="J583" s="898"/>
    </row>
    <row r="584" spans="1:10" s="341" customFormat="1" ht="17.149999999999999" customHeight="1">
      <c r="A584" s="1152" t="s">
        <v>1667</v>
      </c>
      <c r="B584" s="1153"/>
      <c r="C584" s="679"/>
      <c r="D584" s="897">
        <f t="shared" si="10"/>
        <v>3.0000000000000001E-3</v>
      </c>
      <c r="E584" s="899">
        <v>3.0000000000000001E-3</v>
      </c>
      <c r="F584" s="899"/>
      <c r="G584" s="899"/>
      <c r="H584" s="899"/>
      <c r="I584" s="1149" t="s">
        <v>658</v>
      </c>
      <c r="J584" s="678"/>
    </row>
    <row r="585" spans="1:10" s="341" customFormat="1" ht="17.149999999999999" customHeight="1">
      <c r="A585" s="1152" t="s">
        <v>1668</v>
      </c>
      <c r="B585" s="1153"/>
      <c r="C585" s="679"/>
      <c r="D585" s="897">
        <f t="shared" si="10"/>
        <v>-6.6779999999999999</v>
      </c>
      <c r="E585" s="899">
        <v>-6.6779999999999999</v>
      </c>
      <c r="F585" s="899"/>
      <c r="G585" s="899"/>
      <c r="H585" s="899"/>
      <c r="I585" s="1149" t="s">
        <v>658</v>
      </c>
      <c r="J585" s="678"/>
    </row>
    <row r="586" spans="1:10" s="896" customFormat="1" ht="34" customHeight="1">
      <c r="A586" s="1152" t="s">
        <v>1669</v>
      </c>
      <c r="B586" s="1153"/>
      <c r="C586" s="1052"/>
      <c r="D586" s="897">
        <f t="shared" si="10"/>
        <v>-0.83299999999999996</v>
      </c>
      <c r="E586" s="899">
        <v>-0.83299999999999996</v>
      </c>
      <c r="F586" s="899"/>
      <c r="G586" s="899"/>
      <c r="H586" s="899"/>
      <c r="I586" s="1149" t="s">
        <v>658</v>
      </c>
      <c r="J586" s="898"/>
    </row>
    <row r="587" spans="1:10" s="341" customFormat="1" ht="17.149999999999999" customHeight="1">
      <c r="A587" s="1152" t="s">
        <v>1670</v>
      </c>
      <c r="B587" s="1153"/>
      <c r="C587" s="679"/>
      <c r="D587" s="897">
        <f t="shared" si="10"/>
        <v>-7526.223</v>
      </c>
      <c r="E587" s="899">
        <v>-7526.223</v>
      </c>
      <c r="F587" s="899"/>
      <c r="G587" s="899"/>
      <c r="H587" s="899"/>
      <c r="I587" s="1149" t="s">
        <v>658</v>
      </c>
      <c r="J587" s="678"/>
    </row>
    <row r="588" spans="1:10" s="896" customFormat="1" ht="34" customHeight="1">
      <c r="A588" s="1152" t="s">
        <v>1671</v>
      </c>
      <c r="B588" s="1153"/>
      <c r="C588" s="1052"/>
      <c r="D588" s="897">
        <f t="shared" si="10"/>
        <v>-428.875</v>
      </c>
      <c r="E588" s="899">
        <v>-428.875</v>
      </c>
      <c r="F588" s="899"/>
      <c r="G588" s="899"/>
      <c r="H588" s="899"/>
      <c r="I588" s="1149" t="s">
        <v>658</v>
      </c>
      <c r="J588" s="898"/>
    </row>
    <row r="589" spans="1:10" s="341" customFormat="1" ht="17.149999999999999" customHeight="1">
      <c r="A589" s="1152" t="s">
        <v>1672</v>
      </c>
      <c r="B589" s="1153"/>
      <c r="C589" s="679"/>
      <c r="D589" s="897">
        <f t="shared" si="10"/>
        <v>-14.324999999999999</v>
      </c>
      <c r="E589" s="899">
        <v>-14.324999999999999</v>
      </c>
      <c r="F589" s="899"/>
      <c r="G589" s="899"/>
      <c r="H589" s="899"/>
      <c r="I589" s="1149" t="s">
        <v>658</v>
      </c>
      <c r="J589" s="678"/>
    </row>
    <row r="590" spans="1:10" s="341" customFormat="1" ht="17.149999999999999" customHeight="1">
      <c r="A590" s="1152" t="s">
        <v>1673</v>
      </c>
      <c r="B590" s="1153"/>
      <c r="C590" s="679"/>
      <c r="D590" s="897">
        <f t="shared" si="10"/>
        <v>58.981999999999999</v>
      </c>
      <c r="E590" s="899">
        <v>58.981999999999999</v>
      </c>
      <c r="F590" s="899"/>
      <c r="G590" s="899"/>
      <c r="H590" s="899"/>
      <c r="I590" s="1149" t="s">
        <v>658</v>
      </c>
      <c r="J590" s="678"/>
    </row>
    <row r="591" spans="1:10" s="896" customFormat="1" ht="34" customHeight="1">
      <c r="A591" s="1152" t="s">
        <v>1674</v>
      </c>
      <c r="B591" s="1153"/>
      <c r="C591" s="1052"/>
      <c r="D591" s="897">
        <f t="shared" si="10"/>
        <v>-0.67</v>
      </c>
      <c r="E591" s="899">
        <v>-0.67</v>
      </c>
      <c r="F591" s="899"/>
      <c r="G591" s="899"/>
      <c r="H591" s="899"/>
      <c r="I591" s="1149" t="s">
        <v>658</v>
      </c>
      <c r="J591" s="898"/>
    </row>
    <row r="592" spans="1:10" s="341" customFormat="1" ht="17.149999999999999" customHeight="1">
      <c r="A592" s="1152" t="s">
        <v>1241</v>
      </c>
      <c r="B592" s="1153"/>
      <c r="C592" s="679"/>
      <c r="D592" s="897">
        <f t="shared" si="10"/>
        <v>-666.00300000000004</v>
      </c>
      <c r="E592" s="899">
        <v>-666.00300000000004</v>
      </c>
      <c r="F592" s="899"/>
      <c r="G592" s="899"/>
      <c r="H592" s="899"/>
      <c r="I592" s="1149" t="s">
        <v>658</v>
      </c>
      <c r="J592" s="678"/>
    </row>
    <row r="593" spans="1:10" s="896" customFormat="1" ht="34" customHeight="1">
      <c r="A593" s="1152" t="s">
        <v>1675</v>
      </c>
      <c r="B593" s="1153"/>
      <c r="C593" s="1052"/>
      <c r="D593" s="897">
        <f t="shared" si="10"/>
        <v>-30.99</v>
      </c>
      <c r="E593" s="899">
        <v>-30.99</v>
      </c>
      <c r="F593" s="899"/>
      <c r="G593" s="899"/>
      <c r="H593" s="899"/>
      <c r="I593" s="1149" t="s">
        <v>658</v>
      </c>
      <c r="J593" s="898"/>
    </row>
    <row r="594" spans="1:10" s="341" customFormat="1" ht="17.149999999999999" customHeight="1">
      <c r="A594" s="1152" t="s">
        <v>1242</v>
      </c>
      <c r="B594" s="1153"/>
      <c r="C594" s="679"/>
      <c r="D594" s="897">
        <f t="shared" si="10"/>
        <v>0</v>
      </c>
      <c r="E594" s="899"/>
      <c r="F594" s="899"/>
      <c r="G594" s="899"/>
      <c r="H594" s="899"/>
      <c r="I594" s="1149" t="s">
        <v>658</v>
      </c>
      <c r="J594" s="678"/>
    </row>
    <row r="595" spans="1:10" s="341" customFormat="1" ht="17.149999999999999" customHeight="1">
      <c r="A595" s="1152" t="s">
        <v>1243</v>
      </c>
      <c r="B595" s="1153"/>
      <c r="C595" s="679"/>
      <c r="D595" s="897">
        <f t="shared" si="10"/>
        <v>0</v>
      </c>
      <c r="E595" s="899"/>
      <c r="F595" s="899"/>
      <c r="G595" s="899"/>
      <c r="H595" s="899"/>
      <c r="I595" s="1149" t="s">
        <v>658</v>
      </c>
      <c r="J595" s="678"/>
    </row>
    <row r="596" spans="1:10" s="341" customFormat="1" ht="17.149999999999999" customHeight="1">
      <c r="A596" s="1152" t="s">
        <v>1244</v>
      </c>
      <c r="B596" s="1153"/>
      <c r="C596" s="679"/>
      <c r="D596" s="897">
        <f t="shared" si="10"/>
        <v>-1480.413</v>
      </c>
      <c r="E596" s="899">
        <v>-1480.413</v>
      </c>
      <c r="F596" s="899"/>
      <c r="G596" s="899"/>
      <c r="H596" s="899"/>
      <c r="I596" s="1149" t="s">
        <v>658</v>
      </c>
      <c r="J596" s="678"/>
    </row>
    <row r="597" spans="1:10" s="896" customFormat="1" ht="34" customHeight="1">
      <c r="A597" s="1152" t="s">
        <v>1676</v>
      </c>
      <c r="B597" s="1153"/>
      <c r="C597" s="679"/>
      <c r="D597" s="897">
        <f t="shared" si="10"/>
        <v>-1.43</v>
      </c>
      <c r="E597" s="899">
        <v>-1.43</v>
      </c>
      <c r="F597" s="899"/>
      <c r="G597" s="899"/>
      <c r="H597" s="899"/>
      <c r="I597" s="1149" t="s">
        <v>658</v>
      </c>
      <c r="J597" s="898"/>
    </row>
    <row r="598" spans="1:10" s="341" customFormat="1" ht="17.149999999999999" customHeight="1">
      <c r="A598" s="1152" t="s">
        <v>1245</v>
      </c>
      <c r="B598" s="1153"/>
      <c r="C598" s="679"/>
      <c r="D598" s="897">
        <f t="shared" ref="D598:D662" si="11">SUM(E598:H598)</f>
        <v>-1.7030000000000001</v>
      </c>
      <c r="E598" s="899">
        <v>-1.7030000000000001</v>
      </c>
      <c r="F598" s="899"/>
      <c r="G598" s="899"/>
      <c r="H598" s="899"/>
      <c r="I598" s="1149" t="s">
        <v>658</v>
      </c>
      <c r="J598" s="678"/>
    </row>
    <row r="599" spans="1:10" s="341" customFormat="1" ht="17.149999999999999" customHeight="1">
      <c r="A599" s="1152" t="s">
        <v>1369</v>
      </c>
      <c r="B599" s="1153"/>
      <c r="C599" s="679"/>
      <c r="D599" s="897">
        <f t="shared" si="11"/>
        <v>-2E-3</v>
      </c>
      <c r="E599" s="899">
        <v>-2E-3</v>
      </c>
      <c r="F599" s="899"/>
      <c r="G599" s="899"/>
      <c r="H599" s="899"/>
      <c r="I599" s="1149" t="s">
        <v>658</v>
      </c>
      <c r="J599" s="678"/>
    </row>
    <row r="600" spans="1:10" s="341" customFormat="1" ht="17.149999999999999" customHeight="1">
      <c r="A600" s="1152" t="s">
        <v>1246</v>
      </c>
      <c r="B600" s="1153"/>
      <c r="C600" s="679"/>
      <c r="D600" s="897">
        <f t="shared" si="11"/>
        <v>-6.0000000000000001E-3</v>
      </c>
      <c r="E600" s="899">
        <v>-6.0000000000000001E-3</v>
      </c>
      <c r="F600" s="899"/>
      <c r="G600" s="899"/>
      <c r="H600" s="899"/>
      <c r="I600" s="1149" t="s">
        <v>658</v>
      </c>
      <c r="J600" s="678"/>
    </row>
    <row r="601" spans="1:10" s="341" customFormat="1" ht="17.149999999999999" customHeight="1">
      <c r="A601" s="1152" t="s">
        <v>1370</v>
      </c>
      <c r="B601" s="1153"/>
      <c r="C601" s="679"/>
      <c r="D601" s="897">
        <f t="shared" si="11"/>
        <v>0</v>
      </c>
      <c r="E601" s="899">
        <v>0</v>
      </c>
      <c r="F601" s="899"/>
      <c r="G601" s="899"/>
      <c r="H601" s="899"/>
      <c r="I601" s="1149" t="s">
        <v>658</v>
      </c>
      <c r="J601" s="678"/>
    </row>
    <row r="602" spans="1:10" s="896" customFormat="1" ht="17.149999999999999" customHeight="1">
      <c r="A602" s="1152" t="s">
        <v>1460</v>
      </c>
      <c r="B602" s="1153"/>
      <c r="C602" s="679"/>
      <c r="D602" s="897">
        <f t="shared" si="11"/>
        <v>2.5999999999999999E-2</v>
      </c>
      <c r="E602" s="899">
        <v>2.5999999999999999E-2</v>
      </c>
      <c r="F602" s="899"/>
      <c r="G602" s="899"/>
      <c r="H602" s="899"/>
      <c r="I602" s="1149" t="s">
        <v>658</v>
      </c>
      <c r="J602" s="898"/>
    </row>
    <row r="603" spans="1:10" s="341" customFormat="1" ht="17.149999999999999" customHeight="1">
      <c r="A603" s="1152" t="s">
        <v>1371</v>
      </c>
      <c r="B603" s="1153"/>
      <c r="C603" s="679"/>
      <c r="D603" s="897">
        <f t="shared" si="11"/>
        <v>0</v>
      </c>
      <c r="E603" s="899">
        <v>0</v>
      </c>
      <c r="F603" s="899"/>
      <c r="G603" s="899"/>
      <c r="H603" s="899"/>
      <c r="I603" s="1149" t="s">
        <v>658</v>
      </c>
      <c r="J603" s="678"/>
    </row>
    <row r="604" spans="1:10" s="341" customFormat="1" ht="17.149999999999999" customHeight="1">
      <c r="A604" s="1152" t="s">
        <v>1372</v>
      </c>
      <c r="B604" s="1153"/>
      <c r="C604" s="679"/>
      <c r="D604" s="897">
        <f t="shared" si="11"/>
        <v>1E-3</v>
      </c>
      <c r="E604" s="899">
        <v>1E-3</v>
      </c>
      <c r="F604" s="899"/>
      <c r="G604" s="899"/>
      <c r="H604" s="899"/>
      <c r="I604" s="1149" t="s">
        <v>658</v>
      </c>
      <c r="J604" s="678"/>
    </row>
    <row r="605" spans="1:10" s="341" customFormat="1" ht="17.149999999999999" customHeight="1">
      <c r="A605" s="1152" t="s">
        <v>1247</v>
      </c>
      <c r="B605" s="1153"/>
      <c r="C605" s="679"/>
      <c r="D605" s="897">
        <f t="shared" si="11"/>
        <v>-0.26700000000000002</v>
      </c>
      <c r="E605" s="899">
        <v>-0.26700000000000002</v>
      </c>
      <c r="F605" s="899"/>
      <c r="G605" s="899"/>
      <c r="H605" s="899"/>
      <c r="I605" s="1149" t="s">
        <v>658</v>
      </c>
      <c r="J605" s="678"/>
    </row>
    <row r="606" spans="1:10" s="341" customFormat="1" ht="17.149999999999999" customHeight="1">
      <c r="A606" s="1152" t="s">
        <v>1373</v>
      </c>
      <c r="B606" s="1153"/>
      <c r="C606" s="679"/>
      <c r="D606" s="897">
        <f t="shared" si="11"/>
        <v>-1E-3</v>
      </c>
      <c r="E606" s="899">
        <v>-1E-3</v>
      </c>
      <c r="F606" s="899"/>
      <c r="G606" s="899"/>
      <c r="H606" s="899"/>
      <c r="I606" s="1149" t="s">
        <v>658</v>
      </c>
      <c r="J606" s="678"/>
    </row>
    <row r="607" spans="1:10" s="341" customFormat="1" ht="17.149999999999999" customHeight="1">
      <c r="A607" s="1152" t="s">
        <v>1374</v>
      </c>
      <c r="B607" s="1153"/>
      <c r="C607" s="679"/>
      <c r="D607" s="897">
        <f t="shared" si="11"/>
        <v>-1E-3</v>
      </c>
      <c r="E607" s="899">
        <v>-1E-3</v>
      </c>
      <c r="F607" s="899"/>
      <c r="G607" s="899"/>
      <c r="H607" s="899"/>
      <c r="I607" s="1149" t="s">
        <v>658</v>
      </c>
      <c r="J607" s="678"/>
    </row>
    <row r="608" spans="1:10" s="341" customFormat="1" ht="17.149999999999999" customHeight="1">
      <c r="A608" s="1152" t="s">
        <v>1248</v>
      </c>
      <c r="B608" s="1153"/>
      <c r="C608" s="679"/>
      <c r="D608" s="897">
        <f t="shared" si="11"/>
        <v>-7.5999999999999998E-2</v>
      </c>
      <c r="E608" s="899">
        <v>-7.5999999999999998E-2</v>
      </c>
      <c r="F608" s="899"/>
      <c r="G608" s="899"/>
      <c r="H608" s="899"/>
      <c r="I608" s="1149" t="s">
        <v>658</v>
      </c>
      <c r="J608" s="678"/>
    </row>
    <row r="609" spans="1:10" s="341" customFormat="1" ht="17.149999999999999" customHeight="1">
      <c r="A609" s="1152" t="s">
        <v>1249</v>
      </c>
      <c r="B609" s="1153"/>
      <c r="C609" s="679"/>
      <c r="D609" s="897">
        <f t="shared" si="11"/>
        <v>0</v>
      </c>
      <c r="E609" s="899"/>
      <c r="F609" s="899"/>
      <c r="G609" s="899"/>
      <c r="H609" s="899"/>
      <c r="I609" s="1149" t="s">
        <v>658</v>
      </c>
      <c r="J609" s="678"/>
    </row>
    <row r="610" spans="1:10" s="341" customFormat="1" ht="17.149999999999999" customHeight="1">
      <c r="A610" s="1152" t="s">
        <v>1250</v>
      </c>
      <c r="B610" s="1153"/>
      <c r="C610" s="679"/>
      <c r="D610" s="897">
        <f t="shared" si="11"/>
        <v>-1.7999999999999999E-2</v>
      </c>
      <c r="E610" s="899">
        <v>-1.7999999999999999E-2</v>
      </c>
      <c r="F610" s="899"/>
      <c r="G610" s="899"/>
      <c r="H610" s="899"/>
      <c r="I610" s="1149" t="s">
        <v>658</v>
      </c>
      <c r="J610" s="678"/>
    </row>
    <row r="611" spans="1:10" s="341" customFormat="1" ht="17.149999999999999" customHeight="1">
      <c r="A611" s="1152" t="s">
        <v>1251</v>
      </c>
      <c r="B611" s="1153"/>
      <c r="C611" s="679"/>
      <c r="D611" s="897">
        <f t="shared" si="11"/>
        <v>-226.541</v>
      </c>
      <c r="E611" s="899">
        <v>-226.541</v>
      </c>
      <c r="F611" s="899"/>
      <c r="G611" s="899"/>
      <c r="H611" s="899"/>
      <c r="I611" s="1149" t="s">
        <v>658</v>
      </c>
      <c r="J611" s="678"/>
    </row>
    <row r="612" spans="1:10" s="341" customFormat="1" ht="17.149999999999999" customHeight="1">
      <c r="A612" s="1152" t="s">
        <v>1375</v>
      </c>
      <c r="B612" s="1153"/>
      <c r="C612" s="679"/>
      <c r="D612" s="897">
        <f t="shared" si="11"/>
        <v>-1.089</v>
      </c>
      <c r="E612" s="899">
        <v>-1.089</v>
      </c>
      <c r="F612" s="899"/>
      <c r="G612" s="899"/>
      <c r="H612" s="899"/>
      <c r="I612" s="1149" t="s">
        <v>658</v>
      </c>
      <c r="J612" s="678"/>
    </row>
    <row r="613" spans="1:10" s="341" customFormat="1" ht="17.149999999999999" customHeight="1">
      <c r="A613" s="1152" t="s">
        <v>1252</v>
      </c>
      <c r="B613" s="1153"/>
      <c r="C613" s="679"/>
      <c r="D613" s="897">
        <f t="shared" si="11"/>
        <v>6.3E-2</v>
      </c>
      <c r="E613" s="899">
        <v>6.3E-2</v>
      </c>
      <c r="F613" s="899"/>
      <c r="G613" s="899"/>
      <c r="H613" s="899"/>
      <c r="I613" s="1149" t="s">
        <v>658</v>
      </c>
      <c r="J613" s="678"/>
    </row>
    <row r="614" spans="1:10" s="341" customFormat="1" ht="17.149999999999999" customHeight="1">
      <c r="A614" s="1152" t="s">
        <v>1253</v>
      </c>
      <c r="B614" s="1153"/>
      <c r="C614" s="679"/>
      <c r="D614" s="897">
        <f t="shared" si="11"/>
        <v>0</v>
      </c>
      <c r="E614" s="899">
        <v>0</v>
      </c>
      <c r="F614" s="899"/>
      <c r="G614" s="899"/>
      <c r="H614" s="899"/>
      <c r="I614" s="1149" t="s">
        <v>658</v>
      </c>
      <c r="J614" s="678"/>
    </row>
    <row r="615" spans="1:10" s="341" customFormat="1" ht="17.149999999999999" customHeight="1">
      <c r="A615" s="1152" t="s">
        <v>1376</v>
      </c>
      <c r="B615" s="1153"/>
      <c r="C615" s="679"/>
      <c r="D615" s="897">
        <f t="shared" si="11"/>
        <v>0.627</v>
      </c>
      <c r="E615" s="899">
        <v>0.627</v>
      </c>
      <c r="F615" s="899"/>
      <c r="G615" s="899"/>
      <c r="H615" s="899"/>
      <c r="I615" s="1149" t="s">
        <v>658</v>
      </c>
      <c r="J615" s="678"/>
    </row>
    <row r="616" spans="1:10" s="341" customFormat="1" ht="17.149999999999999" customHeight="1">
      <c r="A616" s="1152" t="s">
        <v>1254</v>
      </c>
      <c r="B616" s="1153"/>
      <c r="C616" s="679"/>
      <c r="D616" s="897">
        <f t="shared" si="11"/>
        <v>0</v>
      </c>
      <c r="E616" s="899">
        <v>0</v>
      </c>
      <c r="F616" s="899"/>
      <c r="G616" s="899"/>
      <c r="H616" s="899"/>
      <c r="I616" s="1149" t="s">
        <v>658</v>
      </c>
      <c r="J616" s="678"/>
    </row>
    <row r="617" spans="1:10" s="341" customFormat="1" ht="17.149999999999999" customHeight="1">
      <c r="A617" s="1152" t="s">
        <v>1377</v>
      </c>
      <c r="B617" s="1153"/>
      <c r="C617" s="679"/>
      <c r="D617" s="897">
        <f t="shared" si="11"/>
        <v>-0.12</v>
      </c>
      <c r="E617" s="899">
        <v>-0.12</v>
      </c>
      <c r="F617" s="899"/>
      <c r="G617" s="899"/>
      <c r="H617" s="899"/>
      <c r="I617" s="1149" t="s">
        <v>658</v>
      </c>
      <c r="J617" s="678"/>
    </row>
    <row r="618" spans="1:10" s="341" customFormat="1" ht="17.149999999999999" customHeight="1">
      <c r="A618" s="1152" t="s">
        <v>1255</v>
      </c>
      <c r="B618" s="1153"/>
      <c r="C618" s="679"/>
      <c r="D618" s="897">
        <f t="shared" si="11"/>
        <v>-63.643999999999998</v>
      </c>
      <c r="E618" s="899">
        <v>-63.643999999999998</v>
      </c>
      <c r="F618" s="899"/>
      <c r="G618" s="899"/>
      <c r="H618" s="899"/>
      <c r="I618" s="1149" t="s">
        <v>658</v>
      </c>
      <c r="J618" s="678"/>
    </row>
    <row r="619" spans="1:10" s="341" customFormat="1" ht="17.149999999999999" customHeight="1">
      <c r="A619" s="1152" t="s">
        <v>1256</v>
      </c>
      <c r="B619" s="1153"/>
      <c r="C619" s="679"/>
      <c r="D619" s="897">
        <f t="shared" si="11"/>
        <v>-0.104</v>
      </c>
      <c r="E619" s="899">
        <v>-0.104</v>
      </c>
      <c r="F619" s="899"/>
      <c r="G619" s="899"/>
      <c r="H619" s="899"/>
      <c r="I619" s="1149" t="s">
        <v>658</v>
      </c>
      <c r="J619" s="678"/>
    </row>
    <row r="620" spans="1:10" s="341" customFormat="1" ht="17.149999999999999" customHeight="1">
      <c r="A620" s="1152" t="s">
        <v>1378</v>
      </c>
      <c r="B620" s="1153"/>
      <c r="C620" s="679"/>
      <c r="D620" s="897">
        <f t="shared" si="11"/>
        <v>0.315</v>
      </c>
      <c r="E620" s="899">
        <v>0.315</v>
      </c>
      <c r="F620" s="899"/>
      <c r="G620" s="899"/>
      <c r="H620" s="899"/>
      <c r="I620" s="1149" t="s">
        <v>658</v>
      </c>
      <c r="J620" s="678"/>
    </row>
    <row r="621" spans="1:10" s="341" customFormat="1" ht="17.149999999999999" customHeight="1">
      <c r="A621" s="1152" t="s">
        <v>1257</v>
      </c>
      <c r="B621" s="1153"/>
      <c r="C621" s="679"/>
      <c r="D621" s="897">
        <f t="shared" si="11"/>
        <v>-5.6779999999999999</v>
      </c>
      <c r="E621" s="899">
        <v>-5.6779999999999999</v>
      </c>
      <c r="F621" s="899"/>
      <c r="G621" s="899"/>
      <c r="H621" s="899"/>
      <c r="I621" s="1149" t="s">
        <v>658</v>
      </c>
      <c r="J621" s="678"/>
    </row>
    <row r="622" spans="1:10" s="341" customFormat="1" ht="17.149999999999999" customHeight="1">
      <c r="A622" s="1152" t="s">
        <v>1258</v>
      </c>
      <c r="B622" s="1153"/>
      <c r="C622" s="679"/>
      <c r="D622" s="897">
        <f t="shared" si="11"/>
        <v>0</v>
      </c>
      <c r="E622" s="899"/>
      <c r="F622" s="899"/>
      <c r="G622" s="899"/>
      <c r="H622" s="899"/>
      <c r="I622" s="1149" t="s">
        <v>658</v>
      </c>
      <c r="J622" s="678"/>
    </row>
    <row r="623" spans="1:10" s="341" customFormat="1" ht="17.149999999999999" customHeight="1">
      <c r="A623" s="1152" t="s">
        <v>1259</v>
      </c>
      <c r="B623" s="1153"/>
      <c r="C623" s="679"/>
      <c r="D623" s="897">
        <f t="shared" si="11"/>
        <v>0</v>
      </c>
      <c r="E623" s="899"/>
      <c r="F623" s="899"/>
      <c r="G623" s="899"/>
      <c r="H623" s="899"/>
      <c r="I623" s="1149" t="s">
        <v>658</v>
      </c>
      <c r="J623" s="678"/>
    </row>
    <row r="624" spans="1:10" s="341" customFormat="1" ht="17.149999999999999" customHeight="1">
      <c r="A624" s="1152" t="s">
        <v>1260</v>
      </c>
      <c r="B624" s="1153"/>
      <c r="C624" s="679"/>
      <c r="D624" s="897">
        <f t="shared" si="11"/>
        <v>-13.763</v>
      </c>
      <c r="E624" s="899">
        <v>-13.763</v>
      </c>
      <c r="F624" s="899"/>
      <c r="G624" s="899"/>
      <c r="H624" s="899"/>
      <c r="I624" s="1149" t="s">
        <v>658</v>
      </c>
      <c r="J624" s="678"/>
    </row>
    <row r="625" spans="1:10" s="341" customFormat="1" ht="17.149999999999999" customHeight="1">
      <c r="A625" s="1152" t="s">
        <v>1261</v>
      </c>
      <c r="B625" s="1153"/>
      <c r="C625" s="679"/>
      <c r="D625" s="897">
        <f t="shared" si="11"/>
        <v>-4642.5069999999996</v>
      </c>
      <c r="E625" s="899">
        <v>-4642.5069999999996</v>
      </c>
      <c r="F625" s="899"/>
      <c r="G625" s="899"/>
      <c r="H625" s="899"/>
      <c r="I625" s="1149" t="s">
        <v>658</v>
      </c>
      <c r="J625" s="678"/>
    </row>
    <row r="626" spans="1:10" s="341" customFormat="1" ht="17.149999999999999" customHeight="1">
      <c r="A626" s="1152" t="s">
        <v>1379</v>
      </c>
      <c r="B626" s="1153"/>
      <c r="C626" s="679"/>
      <c r="D626" s="897">
        <f t="shared" si="11"/>
        <v>-18.123999999999999</v>
      </c>
      <c r="E626" s="899">
        <v>-18.123999999999999</v>
      </c>
      <c r="F626" s="899"/>
      <c r="G626" s="899"/>
      <c r="H626" s="899"/>
      <c r="I626" s="1149" t="s">
        <v>658</v>
      </c>
      <c r="J626" s="678"/>
    </row>
    <row r="627" spans="1:10" s="341" customFormat="1" ht="17.149999999999999" customHeight="1">
      <c r="A627" s="1152" t="s">
        <v>1262</v>
      </c>
      <c r="B627" s="1153"/>
      <c r="C627" s="679"/>
      <c r="D627" s="897">
        <f t="shared" si="11"/>
        <v>2.2429999999999999</v>
      </c>
      <c r="E627" s="899">
        <v>2.2429999999999999</v>
      </c>
      <c r="F627" s="899"/>
      <c r="G627" s="899"/>
      <c r="H627" s="899"/>
      <c r="I627" s="1149" t="s">
        <v>658</v>
      </c>
      <c r="J627" s="678"/>
    </row>
    <row r="628" spans="1:10" s="341" customFormat="1" ht="17.149999999999999" customHeight="1">
      <c r="A628" s="1152" t="s">
        <v>1263</v>
      </c>
      <c r="B628" s="1153"/>
      <c r="C628" s="679"/>
      <c r="D628" s="897">
        <f t="shared" si="11"/>
        <v>0</v>
      </c>
      <c r="E628" s="899">
        <v>0</v>
      </c>
      <c r="F628" s="899"/>
      <c r="G628" s="899"/>
      <c r="H628" s="899"/>
      <c r="I628" s="1149" t="s">
        <v>658</v>
      </c>
      <c r="J628" s="678"/>
    </row>
    <row r="629" spans="1:10" s="896" customFormat="1" ht="17.149999999999999" customHeight="1">
      <c r="A629" s="1152" t="s">
        <v>1461</v>
      </c>
      <c r="B629" s="1153"/>
      <c r="C629" s="679"/>
      <c r="D629" s="897">
        <f t="shared" si="11"/>
        <v>45.316000000000003</v>
      </c>
      <c r="E629" s="899">
        <v>45.316000000000003</v>
      </c>
      <c r="F629" s="899"/>
      <c r="G629" s="899"/>
      <c r="H629" s="899"/>
      <c r="I629" s="1149" t="s">
        <v>658</v>
      </c>
      <c r="J629" s="898"/>
    </row>
    <row r="630" spans="1:10" s="341" customFormat="1" ht="17.149999999999999" customHeight="1">
      <c r="A630" s="1152" t="s">
        <v>1264</v>
      </c>
      <c r="B630" s="1153"/>
      <c r="C630" s="679"/>
      <c r="D630" s="897">
        <f t="shared" si="11"/>
        <v>0</v>
      </c>
      <c r="E630" s="899"/>
      <c r="F630" s="899"/>
      <c r="G630" s="899"/>
      <c r="H630" s="899"/>
      <c r="I630" s="1149" t="s">
        <v>658</v>
      </c>
      <c r="J630" s="678"/>
    </row>
    <row r="631" spans="1:10" s="341" customFormat="1" ht="17.149999999999999" customHeight="1">
      <c r="A631" s="1152" t="s">
        <v>1265</v>
      </c>
      <c r="B631" s="1153"/>
      <c r="C631" s="679"/>
      <c r="D631" s="897">
        <f t="shared" si="11"/>
        <v>0</v>
      </c>
      <c r="E631" s="899">
        <v>0</v>
      </c>
      <c r="F631" s="899"/>
      <c r="G631" s="899"/>
      <c r="H631" s="899"/>
      <c r="I631" s="1149" t="s">
        <v>658</v>
      </c>
      <c r="J631" s="678"/>
    </row>
    <row r="632" spans="1:10" s="341" customFormat="1" ht="17.149999999999999" customHeight="1">
      <c r="A632" s="1152" t="s">
        <v>1380</v>
      </c>
      <c r="B632" s="1153"/>
      <c r="C632" s="679"/>
      <c r="D632" s="897">
        <f t="shared" si="11"/>
        <v>-1.2889999999999999</v>
      </c>
      <c r="E632" s="899">
        <v>-1.2889999999999999</v>
      </c>
      <c r="F632" s="899"/>
      <c r="G632" s="899"/>
      <c r="H632" s="899"/>
      <c r="I632" s="1149" t="s">
        <v>658</v>
      </c>
      <c r="J632" s="678"/>
    </row>
    <row r="633" spans="1:10" s="341" customFormat="1" ht="17.149999999999999" customHeight="1">
      <c r="A633" s="1152" t="s">
        <v>1266</v>
      </c>
      <c r="B633" s="1153"/>
      <c r="C633" s="679"/>
      <c r="D633" s="897">
        <f t="shared" si="11"/>
        <v>-1355.125</v>
      </c>
      <c r="E633" s="899">
        <v>-1355.125</v>
      </c>
      <c r="F633" s="899"/>
      <c r="G633" s="899"/>
      <c r="H633" s="899"/>
      <c r="I633" s="1149" t="s">
        <v>658</v>
      </c>
      <c r="J633" s="678"/>
    </row>
    <row r="634" spans="1:10" s="341" customFormat="1" ht="17.149999999999999" customHeight="1">
      <c r="A634" s="1152" t="s">
        <v>1267</v>
      </c>
      <c r="B634" s="1153"/>
      <c r="C634" s="679"/>
      <c r="D634" s="897">
        <f t="shared" si="11"/>
        <v>-2.4319999999999999</v>
      </c>
      <c r="E634" s="899">
        <v>-2.4319999999999999</v>
      </c>
      <c r="F634" s="899"/>
      <c r="G634" s="899"/>
      <c r="H634" s="899"/>
      <c r="I634" s="1149" t="s">
        <v>658</v>
      </c>
      <c r="J634" s="678"/>
    </row>
    <row r="635" spans="1:10" s="341" customFormat="1" ht="17.149999999999999" customHeight="1">
      <c r="A635" s="1152" t="s">
        <v>1381</v>
      </c>
      <c r="B635" s="1153"/>
      <c r="C635" s="679"/>
      <c r="D635" s="897">
        <f t="shared" si="11"/>
        <v>9.9329999999999998</v>
      </c>
      <c r="E635" s="899">
        <v>9.9329999999999998</v>
      </c>
      <c r="F635" s="899"/>
      <c r="G635" s="899"/>
      <c r="H635" s="899"/>
      <c r="I635" s="1149" t="s">
        <v>658</v>
      </c>
      <c r="J635" s="678"/>
    </row>
    <row r="636" spans="1:10" s="341" customFormat="1" ht="17.149999999999999" customHeight="1">
      <c r="A636" s="1152" t="s">
        <v>1268</v>
      </c>
      <c r="B636" s="1153"/>
      <c r="C636" s="679"/>
      <c r="D636" s="897">
        <f t="shared" si="11"/>
        <v>-118.291</v>
      </c>
      <c r="E636" s="899">
        <v>-118.291</v>
      </c>
      <c r="F636" s="899"/>
      <c r="G636" s="899"/>
      <c r="H636" s="899"/>
      <c r="I636" s="1149" t="s">
        <v>658</v>
      </c>
      <c r="J636" s="678"/>
    </row>
    <row r="637" spans="1:10" s="341" customFormat="1" ht="17.149999999999999" customHeight="1">
      <c r="A637" s="1152" t="s">
        <v>1269</v>
      </c>
      <c r="B637" s="1153"/>
      <c r="C637" s="679"/>
      <c r="D637" s="897">
        <f t="shared" si="11"/>
        <v>0</v>
      </c>
      <c r="E637" s="899"/>
      <c r="F637" s="899"/>
      <c r="G637" s="899"/>
      <c r="H637" s="899"/>
      <c r="I637" s="1149" t="s">
        <v>658</v>
      </c>
      <c r="J637" s="678"/>
    </row>
    <row r="638" spans="1:10" s="341" customFormat="1" ht="17.149999999999999" customHeight="1">
      <c r="A638" s="1152" t="s">
        <v>1270</v>
      </c>
      <c r="B638" s="1153"/>
      <c r="C638" s="679"/>
      <c r="D638" s="897">
        <f t="shared" si="11"/>
        <v>0</v>
      </c>
      <c r="E638" s="899"/>
      <c r="F638" s="899"/>
      <c r="G638" s="899"/>
      <c r="H638" s="899"/>
      <c r="I638" s="1149" t="s">
        <v>658</v>
      </c>
      <c r="J638" s="678"/>
    </row>
    <row r="639" spans="1:10" s="341" customFormat="1" ht="17.149999999999999" customHeight="1">
      <c r="A639" s="1152" t="s">
        <v>1271</v>
      </c>
      <c r="B639" s="1153"/>
      <c r="C639" s="679"/>
      <c r="D639" s="897">
        <f t="shared" si="11"/>
        <v>-252.834</v>
      </c>
      <c r="E639" s="899">
        <v>-252.834</v>
      </c>
      <c r="F639" s="899"/>
      <c r="G639" s="899"/>
      <c r="H639" s="899"/>
      <c r="I639" s="1149" t="s">
        <v>658</v>
      </c>
      <c r="J639" s="678"/>
    </row>
    <row r="640" spans="1:10" s="341" customFormat="1" ht="17.149999999999999" customHeight="1">
      <c r="A640" s="1152" t="s">
        <v>1272</v>
      </c>
      <c r="B640" s="1153"/>
      <c r="C640" s="679"/>
      <c r="D640" s="897">
        <f t="shared" si="11"/>
        <v>-139.92599999999999</v>
      </c>
      <c r="E640" s="899">
        <v>-139.92599999999999</v>
      </c>
      <c r="F640" s="899"/>
      <c r="G640" s="899"/>
      <c r="H640" s="899"/>
      <c r="I640" s="1149" t="s">
        <v>658</v>
      </c>
      <c r="J640" s="678"/>
    </row>
    <row r="641" spans="1:10" s="341" customFormat="1" ht="17.149999999999999" customHeight="1">
      <c r="A641" s="1152" t="s">
        <v>1382</v>
      </c>
      <c r="B641" s="1153"/>
      <c r="C641" s="679"/>
      <c r="D641" s="897">
        <f t="shared" si="11"/>
        <v>-0.56000000000000005</v>
      </c>
      <c r="E641" s="899">
        <v>-0.56000000000000005</v>
      </c>
      <c r="F641" s="899"/>
      <c r="G641" s="899"/>
      <c r="H641" s="899"/>
      <c r="I641" s="1149" t="s">
        <v>658</v>
      </c>
      <c r="J641" s="678"/>
    </row>
    <row r="642" spans="1:10" s="341" customFormat="1" ht="17.149999999999999" customHeight="1">
      <c r="A642" s="1152" t="s">
        <v>1273</v>
      </c>
      <c r="B642" s="1153"/>
      <c r="C642" s="679"/>
      <c r="D642" s="897">
        <f t="shared" si="11"/>
        <v>8.3000000000000004E-2</v>
      </c>
      <c r="E642" s="899">
        <v>8.3000000000000004E-2</v>
      </c>
      <c r="F642" s="899"/>
      <c r="G642" s="899"/>
      <c r="H642" s="899"/>
      <c r="I642" s="1149" t="s">
        <v>658</v>
      </c>
      <c r="J642" s="678"/>
    </row>
    <row r="643" spans="1:10" s="341" customFormat="1" ht="17.149999999999999" customHeight="1">
      <c r="A643" s="1152" t="s">
        <v>1274</v>
      </c>
      <c r="B643" s="1153"/>
      <c r="C643" s="679"/>
      <c r="D643" s="897">
        <f t="shared" si="11"/>
        <v>0</v>
      </c>
      <c r="E643" s="899">
        <v>0</v>
      </c>
      <c r="F643" s="899"/>
      <c r="G643" s="899"/>
      <c r="H643" s="899"/>
      <c r="I643" s="1149" t="s">
        <v>658</v>
      </c>
      <c r="J643" s="678"/>
    </row>
    <row r="644" spans="1:10" s="341" customFormat="1" ht="17.149999999999999" customHeight="1">
      <c r="A644" s="1152" t="s">
        <v>1383</v>
      </c>
      <c r="B644" s="1153"/>
      <c r="C644" s="679"/>
      <c r="D644" s="897">
        <f t="shared" si="11"/>
        <v>1.3420000000000001</v>
      </c>
      <c r="E644" s="899">
        <v>1.3420000000000001</v>
      </c>
      <c r="F644" s="899"/>
      <c r="G644" s="899"/>
      <c r="H644" s="899"/>
      <c r="I644" s="1149" t="s">
        <v>658</v>
      </c>
      <c r="J644" s="678"/>
    </row>
    <row r="645" spans="1:10" s="341" customFormat="1" ht="17.149999999999999" customHeight="1">
      <c r="A645" s="1152" t="s">
        <v>1275</v>
      </c>
      <c r="B645" s="1153"/>
      <c r="C645" s="679"/>
      <c r="D645" s="897">
        <f t="shared" si="11"/>
        <v>0</v>
      </c>
      <c r="E645" s="899">
        <v>0</v>
      </c>
      <c r="F645" s="899"/>
      <c r="G645" s="899"/>
      <c r="H645" s="899"/>
      <c r="I645" s="1149" t="s">
        <v>658</v>
      </c>
      <c r="J645" s="678"/>
    </row>
    <row r="646" spans="1:10" s="341" customFormat="1" ht="17.149999999999999" customHeight="1">
      <c r="A646" s="1152" t="s">
        <v>1384</v>
      </c>
      <c r="B646" s="1153"/>
      <c r="C646" s="679"/>
      <c r="D646" s="897">
        <f t="shared" si="11"/>
        <v>-3.7999999999999999E-2</v>
      </c>
      <c r="E646" s="899">
        <v>-3.7999999999999999E-2</v>
      </c>
      <c r="F646" s="899"/>
      <c r="G646" s="899"/>
      <c r="H646" s="899"/>
      <c r="I646" s="1149" t="s">
        <v>658</v>
      </c>
      <c r="J646" s="678"/>
    </row>
    <row r="647" spans="1:10" s="341" customFormat="1" ht="17.149999999999999" customHeight="1">
      <c r="A647" s="1152" t="s">
        <v>1276</v>
      </c>
      <c r="B647" s="1153"/>
      <c r="C647" s="679"/>
      <c r="D647" s="897">
        <f t="shared" si="11"/>
        <v>-41.456000000000003</v>
      </c>
      <c r="E647" s="899">
        <v>-41.456000000000003</v>
      </c>
      <c r="F647" s="899"/>
      <c r="G647" s="899"/>
      <c r="H647" s="899"/>
      <c r="I647" s="1149" t="s">
        <v>658</v>
      </c>
      <c r="J647" s="678"/>
    </row>
    <row r="648" spans="1:10" s="341" customFormat="1" ht="17.149999999999999" customHeight="1">
      <c r="A648" s="1152" t="s">
        <v>1277</v>
      </c>
      <c r="B648" s="1153"/>
      <c r="C648" s="679"/>
      <c r="D648" s="897">
        <f t="shared" si="11"/>
        <v>-7.2999999999999995E-2</v>
      </c>
      <c r="E648" s="899">
        <v>-7.2999999999999995E-2</v>
      </c>
      <c r="F648" s="899"/>
      <c r="G648" s="899"/>
      <c r="H648" s="899"/>
      <c r="I648" s="1149" t="s">
        <v>658</v>
      </c>
      <c r="J648" s="678"/>
    </row>
    <row r="649" spans="1:10" s="341" customFormat="1" ht="17.149999999999999" customHeight="1">
      <c r="A649" s="1152" t="s">
        <v>1385</v>
      </c>
      <c r="B649" s="1153"/>
      <c r="C649" s="679"/>
      <c r="D649" s="897">
        <f t="shared" si="11"/>
        <v>0.307</v>
      </c>
      <c r="E649" s="899">
        <v>0.307</v>
      </c>
      <c r="F649" s="899"/>
      <c r="G649" s="899"/>
      <c r="H649" s="899"/>
      <c r="I649" s="1149" t="s">
        <v>658</v>
      </c>
      <c r="J649" s="678"/>
    </row>
    <row r="650" spans="1:10" s="341" customFormat="1" ht="17.149999999999999" customHeight="1">
      <c r="A650" s="1152" t="s">
        <v>1278</v>
      </c>
      <c r="B650" s="1153"/>
      <c r="C650" s="679"/>
      <c r="D650" s="897">
        <f t="shared" si="11"/>
        <v>-3.4910000000000001</v>
      </c>
      <c r="E650" s="899">
        <v>-3.4910000000000001</v>
      </c>
      <c r="F650" s="899"/>
      <c r="G650" s="899"/>
      <c r="H650" s="899"/>
      <c r="I650" s="1149" t="s">
        <v>658</v>
      </c>
      <c r="J650" s="678"/>
    </row>
    <row r="651" spans="1:10" s="341" customFormat="1" ht="17.149999999999999" customHeight="1">
      <c r="A651" s="1152" t="s">
        <v>1279</v>
      </c>
      <c r="B651" s="1153"/>
      <c r="C651" s="679"/>
      <c r="D651" s="897">
        <f t="shared" si="11"/>
        <v>0</v>
      </c>
      <c r="E651" s="899"/>
      <c r="F651" s="899"/>
      <c r="G651" s="899"/>
      <c r="H651" s="899"/>
      <c r="I651" s="1149" t="s">
        <v>658</v>
      </c>
      <c r="J651" s="678"/>
    </row>
    <row r="652" spans="1:10" s="341" customFormat="1" ht="17.149999999999999" customHeight="1">
      <c r="A652" s="1152" t="s">
        <v>1280</v>
      </c>
      <c r="B652" s="1153"/>
      <c r="C652" s="679"/>
      <c r="D652" s="897">
        <f t="shared" si="11"/>
        <v>0</v>
      </c>
      <c r="E652" s="899"/>
      <c r="F652" s="899"/>
      <c r="G652" s="899"/>
      <c r="H652" s="899"/>
      <c r="I652" s="1149" t="s">
        <v>658</v>
      </c>
      <c r="J652" s="678"/>
    </row>
    <row r="653" spans="1:10" s="341" customFormat="1" ht="17.149999999999999" customHeight="1">
      <c r="A653" s="1152" t="s">
        <v>1281</v>
      </c>
      <c r="B653" s="1153"/>
      <c r="C653" s="679"/>
      <c r="D653" s="897">
        <f t="shared" si="11"/>
        <v>-7.8209999999999997</v>
      </c>
      <c r="E653" s="899">
        <v>-7.8209999999999997</v>
      </c>
      <c r="F653" s="899"/>
      <c r="G653" s="899"/>
      <c r="H653" s="899"/>
      <c r="I653" s="1149" t="s">
        <v>658</v>
      </c>
      <c r="J653" s="678"/>
    </row>
    <row r="654" spans="1:10" s="341" customFormat="1" ht="17.149999999999999" customHeight="1">
      <c r="A654" s="1152" t="s">
        <v>1282</v>
      </c>
      <c r="B654" s="1153"/>
      <c r="C654" s="679"/>
      <c r="D654" s="897">
        <f t="shared" si="11"/>
        <v>-2.3690000000000002</v>
      </c>
      <c r="E654" s="899">
        <v>-2.3690000000000002</v>
      </c>
      <c r="F654" s="899"/>
      <c r="G654" s="899"/>
      <c r="H654" s="899"/>
      <c r="I654" s="1149" t="s">
        <v>658</v>
      </c>
      <c r="J654" s="678"/>
    </row>
    <row r="655" spans="1:10" s="341" customFormat="1" ht="17.149999999999999" customHeight="1">
      <c r="A655" s="1152" t="s">
        <v>1283</v>
      </c>
      <c r="B655" s="1153"/>
      <c r="C655" s="679"/>
      <c r="D655" s="897">
        <f t="shared" si="11"/>
        <v>0</v>
      </c>
      <c r="E655" s="899"/>
      <c r="F655" s="899"/>
      <c r="G655" s="899"/>
      <c r="H655" s="899"/>
      <c r="I655" s="1149" t="s">
        <v>658</v>
      </c>
      <c r="J655" s="678"/>
    </row>
    <row r="656" spans="1:10" s="341" customFormat="1" ht="17.149999999999999" customHeight="1">
      <c r="A656" s="1152" t="s">
        <v>1284</v>
      </c>
      <c r="B656" s="1153"/>
      <c r="C656" s="679"/>
      <c r="D656" s="897">
        <f t="shared" si="11"/>
        <v>0</v>
      </c>
      <c r="E656" s="899"/>
      <c r="F656" s="899"/>
      <c r="G656" s="899"/>
      <c r="H656" s="899"/>
      <c r="I656" s="1149" t="s">
        <v>658</v>
      </c>
      <c r="J656" s="678"/>
    </row>
    <row r="657" spans="1:10" s="341" customFormat="1" ht="17.149999999999999" customHeight="1">
      <c r="A657" s="1152" t="s">
        <v>1285</v>
      </c>
      <c r="B657" s="1153"/>
      <c r="C657" s="679"/>
      <c r="D657" s="897">
        <f t="shared" si="11"/>
        <v>0</v>
      </c>
      <c r="E657" s="899">
        <v>0</v>
      </c>
      <c r="F657" s="899"/>
      <c r="G657" s="899"/>
      <c r="H657" s="899"/>
      <c r="I657" s="1149" t="s">
        <v>658</v>
      </c>
      <c r="J657" s="678"/>
    </row>
    <row r="658" spans="1:10" s="341" customFormat="1" ht="17.149999999999999" customHeight="1">
      <c r="A658" s="1152" t="s">
        <v>1286</v>
      </c>
      <c r="B658" s="1153"/>
      <c r="C658" s="679"/>
      <c r="D658" s="897">
        <f t="shared" si="11"/>
        <v>-51.463000000000001</v>
      </c>
      <c r="E658" s="899">
        <v>-51.463000000000001</v>
      </c>
      <c r="F658" s="899"/>
      <c r="G658" s="899"/>
      <c r="H658" s="899"/>
      <c r="I658" s="1149" t="s">
        <v>658</v>
      </c>
      <c r="J658" s="678"/>
    </row>
    <row r="659" spans="1:10" s="341" customFormat="1" ht="17.149999999999999" customHeight="1">
      <c r="A659" s="1152" t="s">
        <v>1287</v>
      </c>
      <c r="B659" s="1153"/>
      <c r="C659" s="679"/>
      <c r="D659" s="897">
        <f t="shared" si="11"/>
        <v>-4.702</v>
      </c>
      <c r="E659" s="899">
        <v>-4.702</v>
      </c>
      <c r="F659" s="899"/>
      <c r="G659" s="899"/>
      <c r="H659" s="899"/>
      <c r="I659" s="1149" t="s">
        <v>658</v>
      </c>
      <c r="J659" s="678"/>
    </row>
    <row r="660" spans="1:10" s="341" customFormat="1" ht="17.149999999999999" customHeight="1">
      <c r="A660" s="1152" t="s">
        <v>1288</v>
      </c>
      <c r="B660" s="1153"/>
      <c r="C660" s="679"/>
      <c r="D660" s="897">
        <f t="shared" si="11"/>
        <v>-339.47199999999998</v>
      </c>
      <c r="E660" s="899">
        <v>-339.47199999999998</v>
      </c>
      <c r="F660" s="899"/>
      <c r="G660" s="899"/>
      <c r="H660" s="899"/>
      <c r="I660" s="1149" t="s">
        <v>658</v>
      </c>
      <c r="J660" s="678"/>
    </row>
    <row r="661" spans="1:10" s="896" customFormat="1" ht="17.149999999999999" customHeight="1">
      <c r="A661" s="1152" t="s">
        <v>1677</v>
      </c>
      <c r="B661" s="1153"/>
      <c r="C661" s="679"/>
      <c r="D661" s="897">
        <f t="shared" si="11"/>
        <v>1E-3</v>
      </c>
      <c r="E661" s="899">
        <v>1E-3</v>
      </c>
      <c r="F661" s="899"/>
      <c r="G661" s="899"/>
      <c r="H661" s="899"/>
      <c r="I661" s="1149" t="s">
        <v>658</v>
      </c>
      <c r="J661" s="898"/>
    </row>
    <row r="662" spans="1:10" s="341" customFormat="1" ht="17.149999999999999" customHeight="1">
      <c r="A662" s="1152" t="s">
        <v>1289</v>
      </c>
      <c r="B662" s="1153"/>
      <c r="C662" s="679"/>
      <c r="D662" s="897">
        <f t="shared" si="11"/>
        <v>-1E-3</v>
      </c>
      <c r="E662" s="899">
        <v>-1E-3</v>
      </c>
      <c r="F662" s="899"/>
      <c r="G662" s="899"/>
      <c r="H662" s="899"/>
      <c r="I662" s="1149" t="s">
        <v>658</v>
      </c>
      <c r="J662" s="678"/>
    </row>
    <row r="663" spans="1:10" s="341" customFormat="1" ht="17.149999999999999" customHeight="1">
      <c r="A663" s="1152" t="s">
        <v>1290</v>
      </c>
      <c r="B663" s="1153"/>
      <c r="C663" s="679"/>
      <c r="D663" s="897">
        <f t="shared" ref="D663:D729" si="12">SUM(E663:H663)</f>
        <v>-2019.501</v>
      </c>
      <c r="E663" s="899">
        <v>-2019.501</v>
      </c>
      <c r="F663" s="899"/>
      <c r="G663" s="899"/>
      <c r="H663" s="899"/>
      <c r="I663" s="1149" t="s">
        <v>658</v>
      </c>
      <c r="J663" s="678"/>
    </row>
    <row r="664" spans="1:10" s="341" customFormat="1" ht="17.149999999999999" customHeight="1">
      <c r="A664" s="1152" t="s">
        <v>1344</v>
      </c>
      <c r="B664" s="1153"/>
      <c r="C664" s="679"/>
      <c r="D664" s="897">
        <f t="shared" si="12"/>
        <v>-33160.324000000001</v>
      </c>
      <c r="E664" s="899">
        <v>-33160.324000000001</v>
      </c>
      <c r="F664" s="899"/>
      <c r="G664" s="899"/>
      <c r="H664" s="899"/>
      <c r="I664" s="1149" t="s">
        <v>658</v>
      </c>
      <c r="J664" s="678"/>
    </row>
    <row r="665" spans="1:10" s="341" customFormat="1" ht="17.149999999999999" customHeight="1">
      <c r="A665" s="1152" t="s">
        <v>1345</v>
      </c>
      <c r="B665" s="1153"/>
      <c r="C665" s="679"/>
      <c r="D665" s="897">
        <f t="shared" si="12"/>
        <v>7476.3980000000001</v>
      </c>
      <c r="E665" s="899">
        <v>7476.3980000000001</v>
      </c>
      <c r="F665" s="899"/>
      <c r="G665" s="899"/>
      <c r="H665" s="899"/>
      <c r="I665" s="1149" t="s">
        <v>658</v>
      </c>
      <c r="J665" s="678"/>
    </row>
    <row r="666" spans="1:10" s="341" customFormat="1" ht="17.149999999999999" customHeight="1">
      <c r="A666" s="1152" t="s">
        <v>1291</v>
      </c>
      <c r="B666" s="1153"/>
      <c r="C666" s="679"/>
      <c r="D666" s="897">
        <f t="shared" si="12"/>
        <v>-712.423</v>
      </c>
      <c r="E666" s="899">
        <v>-712.423</v>
      </c>
      <c r="F666" s="899"/>
      <c r="G666" s="899"/>
      <c r="H666" s="899"/>
      <c r="I666" s="1149" t="s">
        <v>658</v>
      </c>
      <c r="J666" s="678"/>
    </row>
    <row r="667" spans="1:10" s="341" customFormat="1" ht="17.149999999999999" customHeight="1">
      <c r="A667" s="1152" t="s">
        <v>1292</v>
      </c>
      <c r="B667" s="1153"/>
      <c r="C667" s="679"/>
      <c r="D667" s="897">
        <f t="shared" si="12"/>
        <v>107.54600000000001</v>
      </c>
      <c r="E667" s="899">
        <v>107.54600000000001</v>
      </c>
      <c r="F667" s="883"/>
      <c r="G667" s="899"/>
      <c r="H667" s="899"/>
      <c r="I667" s="1149" t="s">
        <v>658</v>
      </c>
      <c r="J667" s="678"/>
    </row>
    <row r="668" spans="1:10" s="341" customFormat="1" ht="17.149999999999999" customHeight="1">
      <c r="A668" s="1152" t="s">
        <v>1347</v>
      </c>
      <c r="B668" s="1153"/>
      <c r="C668" s="679"/>
      <c r="D668" s="897">
        <f t="shared" si="12"/>
        <v>0</v>
      </c>
      <c r="E668" s="899"/>
      <c r="F668" s="899"/>
      <c r="G668" s="899"/>
      <c r="H668" s="899"/>
      <c r="I668" s="1149" t="s">
        <v>658</v>
      </c>
      <c r="J668" s="678"/>
    </row>
    <row r="669" spans="1:10" s="341" customFormat="1" ht="17.149999999999999" customHeight="1">
      <c r="A669" s="1152" t="s">
        <v>1293</v>
      </c>
      <c r="B669" s="1153"/>
      <c r="C669" s="679"/>
      <c r="D669" s="897">
        <f t="shared" si="12"/>
        <v>-282.226</v>
      </c>
      <c r="E669" s="899">
        <v>-282.226</v>
      </c>
      <c r="F669" s="899"/>
      <c r="G669" s="899"/>
      <c r="H669" s="899"/>
      <c r="I669" s="1149" t="s">
        <v>658</v>
      </c>
      <c r="J669" s="678"/>
    </row>
    <row r="670" spans="1:10" s="341" customFormat="1" ht="17.149999999999999" customHeight="1">
      <c r="A670" s="1152" t="s">
        <v>1294</v>
      </c>
      <c r="B670" s="1153"/>
      <c r="C670" s="679"/>
      <c r="D670" s="897">
        <f t="shared" si="12"/>
        <v>0</v>
      </c>
      <c r="E670" s="899"/>
      <c r="F670" s="899"/>
      <c r="G670" s="899"/>
      <c r="H670" s="899"/>
      <c r="I670" s="1149" t="s">
        <v>658</v>
      </c>
      <c r="J670" s="678"/>
    </row>
    <row r="671" spans="1:10" s="896" customFormat="1" ht="17.149999999999999" customHeight="1">
      <c r="A671" s="1152" t="s">
        <v>1534</v>
      </c>
      <c r="B671" s="1153"/>
      <c r="C671" s="679"/>
      <c r="D671" s="897">
        <f t="shared" si="12"/>
        <v>-38817.934999999998</v>
      </c>
      <c r="E671" s="899">
        <v>-38817.934999999998</v>
      </c>
      <c r="F671" s="899"/>
      <c r="G671" s="899"/>
      <c r="H671" s="899"/>
      <c r="I671" s="1149" t="s">
        <v>658</v>
      </c>
      <c r="J671" s="898"/>
    </row>
    <row r="672" spans="1:10" s="341" customFormat="1" ht="17.149999999999999" customHeight="1">
      <c r="A672" s="1152" t="s">
        <v>1295</v>
      </c>
      <c r="B672" s="1153"/>
      <c r="C672" s="679"/>
      <c r="D672" s="897">
        <f t="shared" si="12"/>
        <v>-4765.5</v>
      </c>
      <c r="E672" s="899">
        <v>-4765.5</v>
      </c>
      <c r="F672" s="899"/>
      <c r="G672" s="899"/>
      <c r="H672" s="899"/>
      <c r="I672" s="1149" t="s">
        <v>658</v>
      </c>
      <c r="J672" s="678"/>
    </row>
    <row r="673" spans="1:10" s="341" customFormat="1" ht="17.149999999999999" customHeight="1">
      <c r="A673" s="1152" t="s">
        <v>1296</v>
      </c>
      <c r="B673" s="1153"/>
      <c r="C673" s="679"/>
      <c r="D673" s="897">
        <f t="shared" si="12"/>
        <v>-34.024999999999999</v>
      </c>
      <c r="E673" s="899">
        <v>-34.024999999999999</v>
      </c>
      <c r="F673" s="899"/>
      <c r="G673" s="899"/>
      <c r="H673" s="899"/>
      <c r="I673" s="1149" t="s">
        <v>658</v>
      </c>
      <c r="J673" s="678"/>
    </row>
    <row r="674" spans="1:10" s="341" customFormat="1" ht="17.149999999999999" customHeight="1">
      <c r="A674" s="1152" t="s">
        <v>1297</v>
      </c>
      <c r="B674" s="1153"/>
      <c r="C674" s="679"/>
      <c r="D674" s="897">
        <f t="shared" si="12"/>
        <v>-509.72399999999999</v>
      </c>
      <c r="E674" s="899">
        <v>-509.72399999999999</v>
      </c>
      <c r="F674" s="899"/>
      <c r="G674" s="899"/>
      <c r="H674" s="899"/>
      <c r="I674" s="1149" t="s">
        <v>658</v>
      </c>
      <c r="J674" s="678"/>
    </row>
    <row r="675" spans="1:10" s="341" customFormat="1" ht="17.149999999999999" customHeight="1">
      <c r="A675" s="1152" t="s">
        <v>1149</v>
      </c>
      <c r="B675" s="1153"/>
      <c r="C675" s="679"/>
      <c r="D675" s="897">
        <f t="shared" si="12"/>
        <v>0</v>
      </c>
      <c r="E675" s="899"/>
      <c r="F675" s="899"/>
      <c r="G675" s="899"/>
      <c r="H675" s="899"/>
      <c r="I675" s="1149" t="s">
        <v>658</v>
      </c>
      <c r="J675" s="678"/>
    </row>
    <row r="676" spans="1:10" s="341" customFormat="1" ht="17.149999999999999" customHeight="1">
      <c r="A676" s="1152" t="s">
        <v>1148</v>
      </c>
      <c r="B676" s="1153"/>
      <c r="C676" s="679"/>
      <c r="D676" s="897">
        <f t="shared" si="12"/>
        <v>-3008.9279999999999</v>
      </c>
      <c r="E676" s="899">
        <v>-3008.9279999999999</v>
      </c>
      <c r="F676" s="899"/>
      <c r="G676" s="899"/>
      <c r="H676" s="899"/>
      <c r="I676" s="1149" t="s">
        <v>658</v>
      </c>
      <c r="J676" s="678"/>
    </row>
    <row r="677" spans="1:10" s="341" customFormat="1" ht="17.149999999999999" customHeight="1">
      <c r="A677" s="1152" t="s">
        <v>1086</v>
      </c>
      <c r="B677" s="1153"/>
      <c r="C677" s="679"/>
      <c r="D677" s="897">
        <f t="shared" si="12"/>
        <v>-23731.654999999999</v>
      </c>
      <c r="E677" s="899">
        <v>-23731.654999999999</v>
      </c>
      <c r="F677" s="899"/>
      <c r="G677" s="899"/>
      <c r="H677" s="899"/>
      <c r="I677" s="1149" t="s">
        <v>658</v>
      </c>
      <c r="J677" s="678"/>
    </row>
    <row r="678" spans="1:10" s="896" customFormat="1" ht="17.149999999999999" customHeight="1">
      <c r="A678" s="1152" t="s">
        <v>1474</v>
      </c>
      <c r="B678" s="1153"/>
      <c r="C678" s="679"/>
      <c r="D678" s="897">
        <f t="shared" si="12"/>
        <v>0</v>
      </c>
      <c r="E678" s="899">
        <v>0</v>
      </c>
      <c r="F678" s="899"/>
      <c r="G678" s="899"/>
      <c r="H678" s="899"/>
      <c r="I678" s="1149" t="s">
        <v>658</v>
      </c>
      <c r="J678" s="898"/>
    </row>
    <row r="679" spans="1:10" s="341" customFormat="1" ht="17.149999999999999" customHeight="1">
      <c r="A679" s="1152" t="s">
        <v>1415</v>
      </c>
      <c r="B679" s="1153"/>
      <c r="C679" s="679"/>
      <c r="D679" s="897">
        <f t="shared" si="12"/>
        <v>-2530.2730000000001</v>
      </c>
      <c r="E679" s="899">
        <v>-2530.2730000000001</v>
      </c>
      <c r="F679" s="899"/>
      <c r="G679" s="899"/>
      <c r="H679" s="899"/>
      <c r="I679" s="1149" t="s">
        <v>658</v>
      </c>
      <c r="J679" s="678"/>
    </row>
    <row r="680" spans="1:10" s="341" customFormat="1" ht="17.149999999999999" customHeight="1">
      <c r="A680" s="1152" t="s">
        <v>1150</v>
      </c>
      <c r="B680" s="1153"/>
      <c r="C680" s="679"/>
      <c r="D680" s="897">
        <f t="shared" si="12"/>
        <v>0</v>
      </c>
      <c r="E680" s="899"/>
      <c r="F680" s="899"/>
      <c r="G680" s="899"/>
      <c r="H680" s="899"/>
      <c r="I680" s="1149" t="s">
        <v>658</v>
      </c>
      <c r="J680" s="678"/>
    </row>
    <row r="681" spans="1:10" s="341" customFormat="1" ht="17.149999999999999" customHeight="1">
      <c r="A681" s="1152" t="s">
        <v>1316</v>
      </c>
      <c r="B681" s="1153"/>
      <c r="C681" s="679"/>
      <c r="D681" s="897">
        <f t="shared" si="12"/>
        <v>0</v>
      </c>
      <c r="E681" s="899"/>
      <c r="F681" s="899"/>
      <c r="G681" s="899"/>
      <c r="H681" s="899"/>
      <c r="I681" s="1149" t="s">
        <v>658</v>
      </c>
      <c r="J681" s="678"/>
    </row>
    <row r="682" spans="1:10" s="341" customFormat="1" ht="17.149999999999999" customHeight="1">
      <c r="A682" s="1152" t="s">
        <v>1120</v>
      </c>
      <c r="B682" s="1153"/>
      <c r="C682" s="679"/>
      <c r="D682" s="897">
        <f t="shared" si="12"/>
        <v>0</v>
      </c>
      <c r="E682" s="899"/>
      <c r="F682" s="899"/>
      <c r="G682" s="899"/>
      <c r="H682" s="899"/>
      <c r="I682" s="1149" t="s">
        <v>658</v>
      </c>
      <c r="J682" s="678"/>
    </row>
    <row r="683" spans="1:10" s="341" customFormat="1" ht="17.149999999999999" customHeight="1">
      <c r="A683" s="1152" t="s">
        <v>1151</v>
      </c>
      <c r="B683" s="1153"/>
      <c r="C683" s="679"/>
      <c r="D683" s="897">
        <f t="shared" si="12"/>
        <v>0</v>
      </c>
      <c r="E683" s="899"/>
      <c r="F683" s="899"/>
      <c r="G683" s="899"/>
      <c r="H683" s="899"/>
      <c r="I683" s="1149" t="s">
        <v>658</v>
      </c>
      <c r="J683" s="678"/>
    </row>
    <row r="684" spans="1:10" s="341" customFormat="1" ht="17.149999999999999" customHeight="1">
      <c r="A684" s="1152" t="s">
        <v>1152</v>
      </c>
      <c r="B684" s="1153"/>
      <c r="C684" s="679"/>
      <c r="D684" s="897">
        <f t="shared" si="12"/>
        <v>0</v>
      </c>
      <c r="E684" s="899"/>
      <c r="F684" s="899"/>
      <c r="G684" s="899"/>
      <c r="H684" s="899"/>
      <c r="I684" s="1149" t="s">
        <v>658</v>
      </c>
      <c r="J684" s="678"/>
    </row>
    <row r="685" spans="1:10" s="341" customFormat="1" ht="17.149999999999999" customHeight="1">
      <c r="A685" s="1152" t="s">
        <v>1153</v>
      </c>
      <c r="B685" s="1153"/>
      <c r="C685" s="679"/>
      <c r="D685" s="897">
        <f t="shared" si="12"/>
        <v>0</v>
      </c>
      <c r="E685" s="899"/>
      <c r="F685" s="899"/>
      <c r="G685" s="899"/>
      <c r="H685" s="899"/>
      <c r="I685" s="1149" t="s">
        <v>658</v>
      </c>
      <c r="J685" s="678"/>
    </row>
    <row r="686" spans="1:10" s="341" customFormat="1" ht="17.149999999999999" customHeight="1">
      <c r="A686" s="1152" t="s">
        <v>1154</v>
      </c>
      <c r="B686" s="1153"/>
      <c r="C686" s="679"/>
      <c r="D686" s="897">
        <f t="shared" si="12"/>
        <v>0</v>
      </c>
      <c r="E686" s="899"/>
      <c r="F686" s="899"/>
      <c r="G686" s="899"/>
      <c r="H686" s="899"/>
      <c r="I686" s="1149" t="s">
        <v>658</v>
      </c>
      <c r="J686" s="678"/>
    </row>
    <row r="687" spans="1:10" s="341" customFormat="1" ht="17.149999999999999" customHeight="1">
      <c r="A687" s="1152" t="s">
        <v>1155</v>
      </c>
      <c r="B687" s="1153"/>
      <c r="C687" s="679"/>
      <c r="D687" s="897">
        <f t="shared" si="12"/>
        <v>0</v>
      </c>
      <c r="E687" s="899"/>
      <c r="F687" s="899"/>
      <c r="G687" s="899"/>
      <c r="H687" s="899"/>
      <c r="I687" s="1149" t="s">
        <v>658</v>
      </c>
      <c r="J687" s="678"/>
    </row>
    <row r="688" spans="1:10" s="896" customFormat="1" ht="17.149999999999999" customHeight="1">
      <c r="A688" s="1152" t="s">
        <v>1678</v>
      </c>
      <c r="B688" s="1153"/>
      <c r="C688" s="679"/>
      <c r="D688" s="897">
        <f t="shared" si="12"/>
        <v>-1639.5740000000001</v>
      </c>
      <c r="E688" s="899">
        <v>-1639.5740000000001</v>
      </c>
      <c r="F688" s="899"/>
      <c r="G688" s="899"/>
      <c r="H688" s="899"/>
      <c r="I688" s="1149" t="s">
        <v>658</v>
      </c>
      <c r="J688" s="898"/>
    </row>
    <row r="689" spans="1:10" s="341" customFormat="1" ht="17.149999999999999" customHeight="1">
      <c r="A689" s="1152" t="s">
        <v>1317</v>
      </c>
      <c r="B689" s="1153"/>
      <c r="C689" s="679"/>
      <c r="D689" s="897">
        <f t="shared" si="12"/>
        <v>0</v>
      </c>
      <c r="E689" s="899"/>
      <c r="F689" s="899"/>
      <c r="G689" s="899"/>
      <c r="H689" s="899"/>
      <c r="I689" s="1149" t="s">
        <v>658</v>
      </c>
      <c r="J689" s="678"/>
    </row>
    <row r="690" spans="1:10" s="341" customFormat="1" ht="17.149999999999999" customHeight="1">
      <c r="A690" s="1152" t="s">
        <v>1315</v>
      </c>
      <c r="B690" s="1153"/>
      <c r="C690" s="679"/>
      <c r="D690" s="897">
        <f t="shared" si="12"/>
        <v>1E-3</v>
      </c>
      <c r="E690" s="899">
        <v>1E-3</v>
      </c>
      <c r="F690" s="899"/>
      <c r="G690" s="899"/>
      <c r="H690" s="899"/>
      <c r="I690" s="1149" t="s">
        <v>658</v>
      </c>
      <c r="J690" s="678"/>
    </row>
    <row r="691" spans="1:10" s="896" customFormat="1" ht="17.149999999999999" customHeight="1">
      <c r="A691" s="1152" t="s">
        <v>1679</v>
      </c>
      <c r="B691" s="1153"/>
      <c r="C691" s="679"/>
      <c r="D691" s="897">
        <f t="shared" si="12"/>
        <v>1E-3</v>
      </c>
      <c r="E691" s="899">
        <v>1E-3</v>
      </c>
      <c r="F691" s="899"/>
      <c r="G691" s="899"/>
      <c r="H691" s="899"/>
      <c r="I691" s="1149" t="s">
        <v>658</v>
      </c>
      <c r="J691" s="898"/>
    </row>
    <row r="692" spans="1:10" s="341" customFormat="1" ht="17.149999999999999" customHeight="1">
      <c r="A692" s="1152" t="s">
        <v>1156</v>
      </c>
      <c r="B692" s="1153"/>
      <c r="C692" s="679"/>
      <c r="D692" s="897">
        <f t="shared" si="12"/>
        <v>0</v>
      </c>
      <c r="E692" s="899"/>
      <c r="F692" s="899"/>
      <c r="G692" s="899"/>
      <c r="H692" s="899"/>
      <c r="I692" s="1149" t="s">
        <v>658</v>
      </c>
      <c r="J692" s="678"/>
    </row>
    <row r="693" spans="1:10" s="896" customFormat="1" ht="17.149999999999999" customHeight="1">
      <c r="A693" s="1152" t="s">
        <v>1535</v>
      </c>
      <c r="B693" s="1153"/>
      <c r="C693" s="679"/>
      <c r="D693" s="897">
        <f t="shared" si="12"/>
        <v>1E-3</v>
      </c>
      <c r="E693" s="899">
        <v>1E-3</v>
      </c>
      <c r="F693" s="899"/>
      <c r="G693" s="899"/>
      <c r="H693" s="899"/>
      <c r="I693" s="1149" t="s">
        <v>658</v>
      </c>
      <c r="J693" s="898"/>
    </row>
    <row r="694" spans="1:10" s="896" customFormat="1" ht="17.149999999999999" customHeight="1">
      <c r="A694" s="1152" t="s">
        <v>1462</v>
      </c>
      <c r="B694" s="1153"/>
      <c r="C694" s="679"/>
      <c r="D694" s="897">
        <f t="shared" si="12"/>
        <v>-3683.9490000000001</v>
      </c>
      <c r="E694" s="899">
        <v>-3683.9490000000001</v>
      </c>
      <c r="F694" s="899"/>
      <c r="G694" s="899"/>
      <c r="H694" s="899"/>
      <c r="I694" s="1149" t="s">
        <v>658</v>
      </c>
      <c r="J694" s="898"/>
    </row>
    <row r="695" spans="1:10" s="896" customFormat="1" ht="17.149999999999999" customHeight="1">
      <c r="A695" s="1152" t="s">
        <v>1463</v>
      </c>
      <c r="B695" s="1153"/>
      <c r="C695" s="679"/>
      <c r="D695" s="897">
        <f t="shared" si="12"/>
        <v>-1745.288</v>
      </c>
      <c r="E695" s="899">
        <v>-1745.288</v>
      </c>
      <c r="F695" s="899"/>
      <c r="G695" s="899"/>
      <c r="H695" s="899"/>
      <c r="I695" s="1149" t="s">
        <v>658</v>
      </c>
      <c r="J695" s="898"/>
    </row>
    <row r="696" spans="1:10" s="896" customFormat="1" ht="17.149999999999999" customHeight="1">
      <c r="A696" s="1152" t="s">
        <v>1350</v>
      </c>
      <c r="B696" s="1153"/>
      <c r="C696" s="679"/>
      <c r="D696" s="897">
        <f t="shared" si="12"/>
        <v>0</v>
      </c>
      <c r="E696" s="899">
        <v>0</v>
      </c>
      <c r="F696" s="899"/>
      <c r="G696" s="899"/>
      <c r="H696" s="899"/>
      <c r="I696" s="1149" t="s">
        <v>658</v>
      </c>
      <c r="J696" s="898"/>
    </row>
    <row r="697" spans="1:10" s="341" customFormat="1" ht="17.149999999999999" customHeight="1">
      <c r="A697" s="1152" t="s">
        <v>1386</v>
      </c>
      <c r="B697" s="1153"/>
      <c r="C697" s="679"/>
      <c r="D697" s="897">
        <f t="shared" si="12"/>
        <v>-2E-3</v>
      </c>
      <c r="E697" s="899">
        <v>-2E-3</v>
      </c>
      <c r="F697" s="899"/>
      <c r="G697" s="899"/>
      <c r="H697" s="899"/>
      <c r="I697" s="1149" t="s">
        <v>658</v>
      </c>
      <c r="J697" s="678"/>
    </row>
    <row r="698" spans="1:10" s="896" customFormat="1" ht="17.149999999999999" customHeight="1">
      <c r="A698" s="1152" t="s">
        <v>1464</v>
      </c>
      <c r="B698" s="1153"/>
      <c r="C698" s="679"/>
      <c r="D698" s="897">
        <f t="shared" si="12"/>
        <v>-405.505</v>
      </c>
      <c r="E698" s="899">
        <v>-405.505</v>
      </c>
      <c r="F698" s="899"/>
      <c r="G698" s="899"/>
      <c r="H698" s="899"/>
      <c r="I698" s="1149" t="s">
        <v>658</v>
      </c>
      <c r="J698" s="898"/>
    </row>
    <row r="699" spans="1:10" s="896" customFormat="1" ht="17.149999999999999" customHeight="1">
      <c r="A699" s="1152" t="s">
        <v>1465</v>
      </c>
      <c r="B699" s="1153"/>
      <c r="C699" s="679"/>
      <c r="D699" s="897">
        <f t="shared" si="12"/>
        <v>-2723.6419999999998</v>
      </c>
      <c r="E699" s="899">
        <v>-2723.6419999999998</v>
      </c>
      <c r="F699" s="899"/>
      <c r="G699" s="899"/>
      <c r="H699" s="899"/>
      <c r="I699" s="1149" t="s">
        <v>658</v>
      </c>
      <c r="J699" s="898"/>
    </row>
    <row r="700" spans="1:10" s="896" customFormat="1" ht="17.149999999999999" customHeight="1">
      <c r="A700" s="1152" t="s">
        <v>1536</v>
      </c>
      <c r="B700" s="1153"/>
      <c r="C700" s="679"/>
      <c r="D700" s="897">
        <f t="shared" si="12"/>
        <v>-85.843000000000004</v>
      </c>
      <c r="E700" s="899">
        <v>-85.843000000000004</v>
      </c>
      <c r="F700" s="899"/>
      <c r="G700" s="899"/>
      <c r="H700" s="899"/>
      <c r="I700" s="1149" t="s">
        <v>658</v>
      </c>
      <c r="J700" s="898"/>
    </row>
    <row r="701" spans="1:10" s="896" customFormat="1" ht="17.149999999999999" customHeight="1">
      <c r="A701" s="1152" t="s">
        <v>1537</v>
      </c>
      <c r="B701" s="1153"/>
      <c r="C701" s="679"/>
      <c r="D701" s="897">
        <f t="shared" si="12"/>
        <v>-440.65800000000002</v>
      </c>
      <c r="E701" s="899">
        <v>-440.65800000000002</v>
      </c>
      <c r="F701" s="899"/>
      <c r="G701" s="899"/>
      <c r="H701" s="899"/>
      <c r="I701" s="1149" t="s">
        <v>658</v>
      </c>
      <c r="J701" s="898"/>
    </row>
    <row r="702" spans="1:10" s="341" customFormat="1" ht="17.149999999999999" customHeight="1">
      <c r="A702" s="1152" t="s">
        <v>1298</v>
      </c>
      <c r="B702" s="1153"/>
      <c r="C702" s="679"/>
      <c r="D702" s="897">
        <f t="shared" si="12"/>
        <v>-584.87599999999998</v>
      </c>
      <c r="E702" s="899">
        <v>-584.87599999999998</v>
      </c>
      <c r="F702" s="899"/>
      <c r="G702" s="899"/>
      <c r="H702" s="899"/>
      <c r="I702" s="1149" t="s">
        <v>658</v>
      </c>
      <c r="J702" s="678"/>
    </row>
    <row r="703" spans="1:10" s="341" customFormat="1" ht="17.149999999999999" customHeight="1">
      <c r="A703" s="1152" t="s">
        <v>1299</v>
      </c>
      <c r="B703" s="1153"/>
      <c r="C703" s="679"/>
      <c r="D703" s="897">
        <f t="shared" si="12"/>
        <v>-2E-3</v>
      </c>
      <c r="E703" s="899">
        <v>-2E-3</v>
      </c>
      <c r="F703" s="899"/>
      <c r="G703" s="899"/>
      <c r="H703" s="899"/>
      <c r="I703" s="1149" t="s">
        <v>658</v>
      </c>
      <c r="J703" s="678"/>
    </row>
    <row r="704" spans="1:10" s="341" customFormat="1" ht="17.149999999999999" customHeight="1">
      <c r="A704" s="1152" t="s">
        <v>1387</v>
      </c>
      <c r="B704" s="1153"/>
      <c r="C704" s="679"/>
      <c r="D704" s="897">
        <f t="shared" si="12"/>
        <v>2.5419999999999998</v>
      </c>
      <c r="E704" s="899">
        <v>2.5419999999999998</v>
      </c>
      <c r="F704" s="899"/>
      <c r="G704" s="899"/>
      <c r="H704" s="899"/>
      <c r="I704" s="1149" t="s">
        <v>658</v>
      </c>
      <c r="J704" s="678"/>
    </row>
    <row r="705" spans="1:10" s="896" customFormat="1" ht="17.149999999999999" customHeight="1">
      <c r="A705" s="1152" t="s">
        <v>1538</v>
      </c>
      <c r="B705" s="1153"/>
      <c r="C705" s="679"/>
      <c r="D705" s="897">
        <f t="shared" si="12"/>
        <v>-79.997</v>
      </c>
      <c r="E705" s="899">
        <v>-79.997</v>
      </c>
      <c r="F705" s="899"/>
      <c r="G705" s="899"/>
      <c r="H705" s="899"/>
      <c r="I705" s="1149" t="s">
        <v>658</v>
      </c>
      <c r="J705" s="898"/>
    </row>
    <row r="706" spans="1:10" s="341" customFormat="1" ht="17.149999999999999" customHeight="1">
      <c r="A706" s="1152" t="s">
        <v>1300</v>
      </c>
      <c r="B706" s="1153"/>
      <c r="C706" s="679"/>
      <c r="D706" s="897">
        <f t="shared" si="12"/>
        <v>-281.58600000000001</v>
      </c>
      <c r="E706" s="899">
        <v>-281.58600000000001</v>
      </c>
      <c r="F706" s="899"/>
      <c r="G706" s="899"/>
      <c r="H706" s="899"/>
      <c r="I706" s="1149" t="s">
        <v>658</v>
      </c>
      <c r="J706" s="678"/>
    </row>
    <row r="707" spans="1:10" s="341" customFormat="1" ht="17.149999999999999" customHeight="1">
      <c r="A707" s="1152" t="s">
        <v>1301</v>
      </c>
      <c r="B707" s="1153"/>
      <c r="C707" s="679"/>
      <c r="D707" s="897">
        <f t="shared" si="12"/>
        <v>0</v>
      </c>
      <c r="E707" s="899">
        <v>0</v>
      </c>
      <c r="F707" s="899"/>
      <c r="G707" s="899"/>
      <c r="H707" s="899"/>
      <c r="I707" s="1149" t="s">
        <v>658</v>
      </c>
      <c r="J707" s="678"/>
    </row>
    <row r="708" spans="1:10" s="896" customFormat="1" ht="17.149999999999999" customHeight="1">
      <c r="A708" s="1152" t="s">
        <v>1680</v>
      </c>
      <c r="B708" s="1153"/>
      <c r="C708" s="679"/>
      <c r="D708" s="897">
        <f t="shared" si="12"/>
        <v>1.756</v>
      </c>
      <c r="E708" s="899">
        <v>1.756</v>
      </c>
      <c r="F708" s="899"/>
      <c r="G708" s="899"/>
      <c r="H708" s="899"/>
      <c r="I708" s="1149" t="s">
        <v>658</v>
      </c>
      <c r="J708" s="898"/>
    </row>
    <row r="709" spans="1:10" s="896" customFormat="1" ht="17.149999999999999" customHeight="1">
      <c r="A709" s="1152" t="s">
        <v>1539</v>
      </c>
      <c r="B709" s="1153"/>
      <c r="C709" s="679"/>
      <c r="D709" s="897">
        <f t="shared" si="12"/>
        <v>-326.78500000000003</v>
      </c>
      <c r="E709" s="899">
        <v>-326.78500000000003</v>
      </c>
      <c r="F709" s="899"/>
      <c r="G709" s="899"/>
      <c r="H709" s="899"/>
      <c r="I709" s="1149" t="s">
        <v>658</v>
      </c>
      <c r="J709" s="898"/>
    </row>
    <row r="710" spans="1:10" s="341" customFormat="1" ht="17.149999999999999" customHeight="1">
      <c r="A710" s="1152" t="s">
        <v>1388</v>
      </c>
      <c r="B710" s="1153"/>
      <c r="C710" s="679"/>
      <c r="D710" s="897">
        <f t="shared" si="12"/>
        <v>0</v>
      </c>
      <c r="E710" s="899">
        <v>0</v>
      </c>
      <c r="F710" s="899"/>
      <c r="G710" s="899"/>
      <c r="H710" s="899"/>
      <c r="I710" s="1149" t="s">
        <v>658</v>
      </c>
      <c r="J710" s="678"/>
    </row>
    <row r="711" spans="1:10" s="896" customFormat="1" ht="17.149999999999999" customHeight="1">
      <c r="A711" s="1152" t="s">
        <v>1540</v>
      </c>
      <c r="B711" s="1153"/>
      <c r="C711" s="679"/>
      <c r="D711" s="897">
        <f t="shared" si="12"/>
        <v>0</v>
      </c>
      <c r="E711" s="899">
        <v>0</v>
      </c>
      <c r="F711" s="899"/>
      <c r="G711" s="899"/>
      <c r="H711" s="899"/>
      <c r="I711" s="1149" t="s">
        <v>658</v>
      </c>
      <c r="J711" s="898"/>
    </row>
    <row r="712" spans="1:10" s="341" customFormat="1" ht="17.149999999999999" customHeight="1">
      <c r="A712" s="1152" t="s">
        <v>1389</v>
      </c>
      <c r="B712" s="1153"/>
      <c r="C712" s="679"/>
      <c r="D712" s="897">
        <f t="shared" si="12"/>
        <v>0</v>
      </c>
      <c r="E712" s="899">
        <v>0</v>
      </c>
      <c r="F712" s="899"/>
      <c r="G712" s="899"/>
      <c r="H712" s="899"/>
      <c r="I712" s="1149" t="s">
        <v>658</v>
      </c>
      <c r="J712" s="678"/>
    </row>
    <row r="713" spans="1:10" s="896" customFormat="1" ht="17.149999999999999" customHeight="1">
      <c r="A713" s="1152" t="s">
        <v>1541</v>
      </c>
      <c r="B713" s="1153"/>
      <c r="C713" s="679"/>
      <c r="D713" s="897">
        <f t="shared" si="12"/>
        <v>0</v>
      </c>
      <c r="E713" s="899">
        <v>0</v>
      </c>
      <c r="F713" s="899"/>
      <c r="G713" s="899"/>
      <c r="H713" s="899"/>
      <c r="I713" s="1149" t="s">
        <v>658</v>
      </c>
      <c r="J713" s="898"/>
    </row>
    <row r="714" spans="1:10" s="341" customFormat="1" ht="17.149999999999999" customHeight="1">
      <c r="A714" s="1152" t="s">
        <v>1302</v>
      </c>
      <c r="B714" s="1153"/>
      <c r="C714" s="679"/>
      <c r="D714" s="897">
        <f t="shared" si="12"/>
        <v>0</v>
      </c>
      <c r="E714" s="899"/>
      <c r="F714" s="899"/>
      <c r="G714" s="899"/>
      <c r="H714" s="899"/>
      <c r="I714" s="1149" t="s">
        <v>658</v>
      </c>
      <c r="J714" s="678"/>
    </row>
    <row r="715" spans="1:10" s="341" customFormat="1" ht="17.149999999999999" customHeight="1">
      <c r="A715" s="1152" t="s">
        <v>1303</v>
      </c>
      <c r="B715" s="1153"/>
      <c r="C715" s="679"/>
      <c r="D715" s="897">
        <f t="shared" si="12"/>
        <v>-68.460999999999999</v>
      </c>
      <c r="E715" s="899">
        <v>-68.460999999999999</v>
      </c>
      <c r="F715" s="899"/>
      <c r="G715" s="899"/>
      <c r="H715" s="899"/>
      <c r="I715" s="1149" t="s">
        <v>658</v>
      </c>
      <c r="J715" s="678"/>
    </row>
    <row r="716" spans="1:10" s="341" customFormat="1" ht="17.149999999999999" customHeight="1">
      <c r="A716" s="1152" t="s">
        <v>1304</v>
      </c>
      <c r="B716" s="1153"/>
      <c r="C716" s="679"/>
      <c r="D716" s="897">
        <f t="shared" si="12"/>
        <v>-3993.2020000000002</v>
      </c>
      <c r="E716" s="899">
        <v>-3993.2020000000002</v>
      </c>
      <c r="F716" s="899"/>
      <c r="G716" s="899"/>
      <c r="H716" s="899"/>
      <c r="I716" s="1149" t="s">
        <v>658</v>
      </c>
      <c r="J716" s="678"/>
    </row>
    <row r="717" spans="1:10" s="341" customFormat="1" ht="17.149999999999999" customHeight="1">
      <c r="A717" s="1152" t="s">
        <v>1390</v>
      </c>
      <c r="B717" s="1153"/>
      <c r="C717" s="679"/>
      <c r="D717" s="897">
        <f t="shared" si="12"/>
        <v>-143.06</v>
      </c>
      <c r="E717" s="899">
        <v>-143.06</v>
      </c>
      <c r="F717" s="899"/>
      <c r="G717" s="899"/>
      <c r="H717" s="899"/>
      <c r="I717" s="1149" t="s">
        <v>658</v>
      </c>
      <c r="J717" s="678"/>
    </row>
    <row r="718" spans="1:10" s="896" customFormat="1" ht="17.149999999999999" customHeight="1">
      <c r="A718" s="1152" t="s">
        <v>1542</v>
      </c>
      <c r="B718" s="1153"/>
      <c r="C718" s="679"/>
      <c r="D718" s="897">
        <f t="shared" si="12"/>
        <v>0</v>
      </c>
      <c r="E718" s="899">
        <v>0</v>
      </c>
      <c r="F718" s="899"/>
      <c r="G718" s="899"/>
      <c r="H718" s="899"/>
      <c r="I718" s="1149" t="s">
        <v>658</v>
      </c>
      <c r="J718" s="898"/>
    </row>
    <row r="719" spans="1:10" s="341" customFormat="1" ht="17.149999999999999" customHeight="1">
      <c r="A719" s="1152" t="s">
        <v>1305</v>
      </c>
      <c r="B719" s="1153"/>
      <c r="C719" s="679"/>
      <c r="D719" s="897">
        <f t="shared" si="12"/>
        <v>-17190.295999999998</v>
      </c>
      <c r="E719" s="899">
        <v>-17190.295999999998</v>
      </c>
      <c r="F719" s="899"/>
      <c r="G719" s="899"/>
      <c r="H719" s="899"/>
      <c r="I719" s="1149" t="s">
        <v>658</v>
      </c>
      <c r="J719" s="678"/>
    </row>
    <row r="720" spans="1:10" s="341" customFormat="1" ht="17.149999999999999" customHeight="1">
      <c r="A720" s="1152" t="s">
        <v>1306</v>
      </c>
      <c r="B720" s="1153"/>
      <c r="C720" s="679"/>
      <c r="D720" s="897">
        <f t="shared" si="12"/>
        <v>0</v>
      </c>
      <c r="E720" s="899">
        <v>0</v>
      </c>
      <c r="F720" s="899"/>
      <c r="G720" s="899"/>
      <c r="H720" s="899"/>
      <c r="I720" s="1149" t="s">
        <v>658</v>
      </c>
      <c r="J720" s="678"/>
    </row>
    <row r="721" spans="1:10" s="896" customFormat="1" ht="17.149999999999999" customHeight="1">
      <c r="A721" s="1152" t="s">
        <v>1543</v>
      </c>
      <c r="B721" s="1153"/>
      <c r="C721" s="679"/>
      <c r="D721" s="897">
        <f t="shared" si="12"/>
        <v>-212.48500000000001</v>
      </c>
      <c r="E721" s="899">
        <v>-212.48500000000001</v>
      </c>
      <c r="F721" s="899"/>
      <c r="G721" s="899"/>
      <c r="H721" s="899"/>
      <c r="I721" s="1149" t="s">
        <v>658</v>
      </c>
      <c r="J721" s="898"/>
    </row>
    <row r="722" spans="1:10" s="896" customFormat="1" ht="17.149999999999999" customHeight="1">
      <c r="A722" s="1152" t="s">
        <v>1544</v>
      </c>
      <c r="B722" s="1153"/>
      <c r="C722" s="679"/>
      <c r="D722" s="897">
        <f t="shared" si="12"/>
        <v>1177.876</v>
      </c>
      <c r="E722" s="899">
        <v>1177.876</v>
      </c>
      <c r="F722" s="899"/>
      <c r="G722" s="899"/>
      <c r="H722" s="899"/>
      <c r="I722" s="1149" t="s">
        <v>658</v>
      </c>
      <c r="J722" s="898"/>
    </row>
    <row r="723" spans="1:10" s="896" customFormat="1" ht="17.149999999999999" customHeight="1">
      <c r="A723" s="1152" t="s">
        <v>1466</v>
      </c>
      <c r="B723" s="1153"/>
      <c r="C723" s="679"/>
      <c r="D723" s="897">
        <f t="shared" si="12"/>
        <v>-475.52800000000002</v>
      </c>
      <c r="E723" s="899">
        <v>-475.52800000000002</v>
      </c>
      <c r="F723" s="899"/>
      <c r="G723" s="899"/>
      <c r="H723" s="899"/>
      <c r="I723" s="1149" t="s">
        <v>658</v>
      </c>
      <c r="J723" s="898"/>
    </row>
    <row r="724" spans="1:10" s="896" customFormat="1" ht="17.149999999999999" customHeight="1">
      <c r="A724" s="1152" t="s">
        <v>1467</v>
      </c>
      <c r="B724" s="1153"/>
      <c r="C724" s="679"/>
      <c r="D724" s="897">
        <f t="shared" si="12"/>
        <v>-554.78700000000003</v>
      </c>
      <c r="E724" s="899">
        <v>-554.78700000000003</v>
      </c>
      <c r="F724" s="899"/>
      <c r="G724" s="899"/>
      <c r="H724" s="899"/>
      <c r="I724" s="1149" t="s">
        <v>658</v>
      </c>
      <c r="J724" s="898"/>
    </row>
    <row r="725" spans="1:10" s="341" customFormat="1" ht="17.149999999999999" customHeight="1">
      <c r="A725" s="1152" t="s">
        <v>1391</v>
      </c>
      <c r="B725" s="1153"/>
      <c r="C725" s="679"/>
      <c r="D725" s="897">
        <f t="shared" si="12"/>
        <v>-65.927999999999997</v>
      </c>
      <c r="E725" s="899">
        <v>-65.927999999999997</v>
      </c>
      <c r="F725" s="899"/>
      <c r="G725" s="899"/>
      <c r="H725" s="899"/>
      <c r="I725" s="1149" t="s">
        <v>658</v>
      </c>
      <c r="J725" s="678"/>
    </row>
    <row r="726" spans="1:10" s="896" customFormat="1" ht="17.149999999999999" customHeight="1">
      <c r="A726" s="1152" t="s">
        <v>1468</v>
      </c>
      <c r="B726" s="1153"/>
      <c r="C726" s="679"/>
      <c r="D726" s="897">
        <f t="shared" si="12"/>
        <v>-215.44499999999999</v>
      </c>
      <c r="E726" s="899">
        <v>-215.44499999999999</v>
      </c>
      <c r="F726" s="899"/>
      <c r="G726" s="899"/>
      <c r="H726" s="899"/>
      <c r="I726" s="1149" t="s">
        <v>658</v>
      </c>
      <c r="J726" s="898"/>
    </row>
    <row r="727" spans="1:10" s="341" customFormat="1" ht="17.149999999999999" customHeight="1">
      <c r="A727" s="1152" t="s">
        <v>1307</v>
      </c>
      <c r="B727" s="1153"/>
      <c r="C727" s="679"/>
      <c r="D727" s="897">
        <f t="shared" si="12"/>
        <v>-331.16800000000001</v>
      </c>
      <c r="E727" s="899">
        <v>-331.16800000000001</v>
      </c>
      <c r="F727" s="899"/>
      <c r="G727" s="899"/>
      <c r="H727" s="899"/>
      <c r="I727" s="1149" t="s">
        <v>658</v>
      </c>
      <c r="J727" s="678"/>
    </row>
    <row r="728" spans="1:10" s="341" customFormat="1" ht="17.149999999999999" customHeight="1">
      <c r="A728" s="1152" t="s">
        <v>1308</v>
      </c>
      <c r="B728" s="1153"/>
      <c r="C728" s="679"/>
      <c r="D728" s="897">
        <f t="shared" si="12"/>
        <v>-6319.42</v>
      </c>
      <c r="E728" s="899">
        <v>-6319.42</v>
      </c>
      <c r="F728" s="899"/>
      <c r="G728" s="899"/>
      <c r="H728" s="899"/>
      <c r="I728" s="1149" t="s">
        <v>658</v>
      </c>
      <c r="J728" s="678"/>
    </row>
    <row r="729" spans="1:10" s="341" customFormat="1" ht="17.149999999999999" customHeight="1">
      <c r="A729" s="1152" t="s">
        <v>1392</v>
      </c>
      <c r="B729" s="1153"/>
      <c r="C729" s="679"/>
      <c r="D729" s="897">
        <f t="shared" si="12"/>
        <v>54.261000000000003</v>
      </c>
      <c r="E729" s="899">
        <v>54.261000000000003</v>
      </c>
      <c r="F729" s="899"/>
      <c r="G729" s="899"/>
      <c r="H729" s="899"/>
      <c r="I729" s="1149" t="s">
        <v>658</v>
      </c>
      <c r="J729" s="678"/>
    </row>
    <row r="730" spans="1:10" s="896" customFormat="1" ht="17.149999999999999" customHeight="1">
      <c r="A730" s="1152" t="s">
        <v>1545</v>
      </c>
      <c r="B730" s="1153"/>
      <c r="C730" s="679"/>
      <c r="D730" s="897">
        <f t="shared" ref="D730:D808" si="13">SUM(E730:H730)</f>
        <v>1547.5540000000001</v>
      </c>
      <c r="E730" s="899">
        <v>1547.5540000000001</v>
      </c>
      <c r="F730" s="899"/>
      <c r="G730" s="899"/>
      <c r="H730" s="899"/>
      <c r="I730" s="1149" t="s">
        <v>658</v>
      </c>
      <c r="J730" s="898"/>
    </row>
    <row r="731" spans="1:10" s="341" customFormat="1" ht="17.149999999999999" customHeight="1">
      <c r="A731" s="1152" t="s">
        <v>1309</v>
      </c>
      <c r="B731" s="1153"/>
      <c r="C731" s="679"/>
      <c r="D731" s="897">
        <f t="shared" si="13"/>
        <v>-3.0000000000000001E-3</v>
      </c>
      <c r="E731" s="899">
        <v>-3.0000000000000001E-3</v>
      </c>
      <c r="F731" s="899"/>
      <c r="G731" s="899"/>
      <c r="H731" s="899"/>
      <c r="I731" s="1149" t="s">
        <v>658</v>
      </c>
      <c r="J731" s="678"/>
    </row>
    <row r="732" spans="1:10" s="341" customFormat="1" ht="17.149999999999999" customHeight="1">
      <c r="A732" s="1152" t="s">
        <v>1393</v>
      </c>
      <c r="B732" s="1153"/>
      <c r="C732" s="679"/>
      <c r="D732" s="897">
        <f t="shared" si="13"/>
        <v>-11.275</v>
      </c>
      <c r="E732" s="899">
        <v>-11.275</v>
      </c>
      <c r="F732" s="899"/>
      <c r="G732" s="899"/>
      <c r="H732" s="899"/>
      <c r="I732" s="1149" t="s">
        <v>658</v>
      </c>
      <c r="J732" s="678"/>
    </row>
    <row r="733" spans="1:10" s="896" customFormat="1" ht="17.149999999999999" customHeight="1">
      <c r="A733" s="1152" t="s">
        <v>1546</v>
      </c>
      <c r="B733" s="1153"/>
      <c r="C733" s="679"/>
      <c r="D733" s="897">
        <f t="shared" si="13"/>
        <v>207.637</v>
      </c>
      <c r="E733" s="899">
        <v>207.637</v>
      </c>
      <c r="F733" s="899"/>
      <c r="G733" s="899"/>
      <c r="H733" s="899"/>
      <c r="I733" s="1149" t="s">
        <v>658</v>
      </c>
      <c r="J733" s="898"/>
    </row>
    <row r="734" spans="1:10" s="341" customFormat="1" ht="17.149999999999999" customHeight="1">
      <c r="A734" s="1152" t="s">
        <v>1310</v>
      </c>
      <c r="B734" s="1153"/>
      <c r="C734" s="679"/>
      <c r="D734" s="897">
        <f t="shared" si="13"/>
        <v>-4593.9809999999998</v>
      </c>
      <c r="E734" s="899">
        <v>-4593.9809999999998</v>
      </c>
      <c r="F734" s="899"/>
      <c r="G734" s="899"/>
      <c r="H734" s="899"/>
      <c r="I734" s="1149" t="s">
        <v>658</v>
      </c>
      <c r="J734" s="678"/>
    </row>
    <row r="735" spans="1:10" s="341" customFormat="1" ht="17.149999999999999" customHeight="1">
      <c r="A735" s="1152" t="s">
        <v>1394</v>
      </c>
      <c r="B735" s="1153"/>
      <c r="C735" s="679"/>
      <c r="D735" s="897">
        <f t="shared" si="13"/>
        <v>481.99700000000001</v>
      </c>
      <c r="E735" s="899">
        <v>481.99700000000001</v>
      </c>
      <c r="F735" s="899"/>
      <c r="G735" s="899"/>
      <c r="H735" s="899"/>
      <c r="I735" s="1149" t="s">
        <v>658</v>
      </c>
      <c r="J735" s="678"/>
    </row>
    <row r="736" spans="1:10" s="341" customFormat="1" ht="17.149999999999999" customHeight="1">
      <c r="A736" s="1152" t="s">
        <v>1311</v>
      </c>
      <c r="B736" s="1153"/>
      <c r="C736" s="679"/>
      <c r="D736" s="897">
        <f t="shared" si="13"/>
        <v>-9.61</v>
      </c>
      <c r="E736" s="899">
        <v>-9.61</v>
      </c>
      <c r="F736" s="899"/>
      <c r="G736" s="899"/>
      <c r="H736" s="899"/>
      <c r="I736" s="1149" t="s">
        <v>658</v>
      </c>
      <c r="J736" s="678"/>
    </row>
    <row r="737" spans="1:10" s="341" customFormat="1" ht="17.149999999999999" customHeight="1">
      <c r="A737" s="1152" t="s">
        <v>1395</v>
      </c>
      <c r="B737" s="1153"/>
      <c r="C737" s="679"/>
      <c r="D737" s="897">
        <f t="shared" si="13"/>
        <v>19.434999999999999</v>
      </c>
      <c r="E737" s="899">
        <v>19.434999999999999</v>
      </c>
      <c r="F737" s="899"/>
      <c r="G737" s="899"/>
      <c r="H737" s="899"/>
      <c r="I737" s="1149" t="s">
        <v>658</v>
      </c>
      <c r="J737" s="678"/>
    </row>
    <row r="738" spans="1:10" s="896" customFormat="1" ht="17.149999999999999" customHeight="1">
      <c r="A738" s="1152" t="s">
        <v>1469</v>
      </c>
      <c r="B738" s="1153"/>
      <c r="C738" s="679"/>
      <c r="D738" s="897">
        <f t="shared" si="13"/>
        <v>-280.54899999999998</v>
      </c>
      <c r="E738" s="899">
        <v>-280.54899999999998</v>
      </c>
      <c r="F738" s="899"/>
      <c r="G738" s="899"/>
      <c r="H738" s="899"/>
      <c r="I738" s="1149" t="s">
        <v>658</v>
      </c>
      <c r="J738" s="898"/>
    </row>
    <row r="739" spans="1:10" s="341" customFormat="1" ht="17.149999999999999" customHeight="1">
      <c r="A739" s="1152" t="s">
        <v>1312</v>
      </c>
      <c r="B739" s="1153"/>
      <c r="C739" s="679"/>
      <c r="D739" s="897">
        <f t="shared" si="13"/>
        <v>-913.09</v>
      </c>
      <c r="E739" s="899">
        <v>-913.09</v>
      </c>
      <c r="F739" s="899"/>
      <c r="G739" s="899"/>
      <c r="H739" s="899"/>
      <c r="I739" s="1149" t="s">
        <v>658</v>
      </c>
      <c r="J739" s="678"/>
    </row>
    <row r="740" spans="1:10" s="341" customFormat="1" ht="17.149999999999999" customHeight="1">
      <c r="A740" s="1152" t="s">
        <v>1313</v>
      </c>
      <c r="B740" s="1153"/>
      <c r="C740" s="679"/>
      <c r="D740" s="897">
        <f t="shared" si="13"/>
        <v>-10019.86</v>
      </c>
      <c r="E740" s="899">
        <v>-10019.86</v>
      </c>
      <c r="F740" s="899"/>
      <c r="G740" s="899"/>
      <c r="H740" s="899"/>
      <c r="I740" s="1149" t="s">
        <v>658</v>
      </c>
      <c r="J740" s="678"/>
    </row>
    <row r="741" spans="1:10" s="341" customFormat="1" ht="17.149999999999999" customHeight="1">
      <c r="A741" s="1152" t="s">
        <v>1314</v>
      </c>
      <c r="B741" s="1153"/>
      <c r="C741" s="679"/>
      <c r="D741" s="897">
        <f t="shared" si="13"/>
        <v>-602.83799999999997</v>
      </c>
      <c r="E741" s="899">
        <v>-602.83799999999997</v>
      </c>
      <c r="F741" s="899"/>
      <c r="G741" s="899"/>
      <c r="H741" s="899"/>
      <c r="I741" s="1149" t="s">
        <v>658</v>
      </c>
      <c r="J741" s="678"/>
    </row>
    <row r="742" spans="1:10" s="341" customFormat="1" ht="17.149999999999999" customHeight="1">
      <c r="A742" s="1152" t="s">
        <v>1396</v>
      </c>
      <c r="B742" s="1153"/>
      <c r="C742" s="679"/>
      <c r="D742" s="897">
        <f t="shared" si="13"/>
        <v>-407.92200000000003</v>
      </c>
      <c r="E742" s="899">
        <v>-407.92200000000003</v>
      </c>
      <c r="F742" s="899"/>
      <c r="G742" s="899"/>
      <c r="H742" s="899"/>
      <c r="I742" s="1149" t="s">
        <v>658</v>
      </c>
      <c r="J742" s="678"/>
    </row>
    <row r="743" spans="1:10" s="896" customFormat="1" ht="17.149999999999999" customHeight="1">
      <c r="A743" s="1152" t="s">
        <v>1681</v>
      </c>
      <c r="B743" s="1153"/>
      <c r="C743" s="679"/>
      <c r="D743" s="897">
        <f t="shared" si="13"/>
        <v>-11573.083000000001</v>
      </c>
      <c r="E743" s="899">
        <v>-11573.083000000001</v>
      </c>
      <c r="F743" s="899"/>
      <c r="G743" s="899"/>
      <c r="H743" s="899"/>
      <c r="I743" s="1149" t="s">
        <v>658</v>
      </c>
      <c r="J743" s="898"/>
    </row>
    <row r="744" spans="1:10" s="896" customFormat="1" ht="17.149999999999999" customHeight="1">
      <c r="A744" s="1152" t="s">
        <v>1470</v>
      </c>
      <c r="B744" s="1153"/>
      <c r="C744" s="679"/>
      <c r="D744" s="897">
        <f t="shared" si="13"/>
        <v>-37.44</v>
      </c>
      <c r="E744" s="899">
        <v>-37.44</v>
      </c>
      <c r="F744" s="899"/>
      <c r="G744" s="899"/>
      <c r="H744" s="899"/>
      <c r="I744" s="1149" t="s">
        <v>658</v>
      </c>
      <c r="J744" s="898"/>
    </row>
    <row r="745" spans="1:10" s="896" customFormat="1" ht="17.149999999999999" customHeight="1">
      <c r="A745" s="1152" t="s">
        <v>1471</v>
      </c>
      <c r="B745" s="1153"/>
      <c r="C745" s="679"/>
      <c r="D745" s="897">
        <f t="shared" si="13"/>
        <v>-347.25799999999998</v>
      </c>
      <c r="E745" s="899">
        <v>-347.25799999999998</v>
      </c>
      <c r="F745" s="899"/>
      <c r="G745" s="899"/>
      <c r="H745" s="899"/>
      <c r="I745" s="1149" t="s">
        <v>658</v>
      </c>
      <c r="J745" s="898"/>
    </row>
    <row r="746" spans="1:10" s="896" customFormat="1" ht="17.149999999999999" customHeight="1">
      <c r="A746" s="1152" t="s">
        <v>1472</v>
      </c>
      <c r="B746" s="1153"/>
      <c r="C746" s="679"/>
      <c r="D746" s="897">
        <f t="shared" si="13"/>
        <v>-207.69</v>
      </c>
      <c r="E746" s="899">
        <v>-207.69</v>
      </c>
      <c r="F746" s="899"/>
      <c r="G746" s="899"/>
      <c r="H746" s="899"/>
      <c r="I746" s="1149" t="s">
        <v>658</v>
      </c>
      <c r="J746" s="898"/>
    </row>
    <row r="747" spans="1:10" s="896" customFormat="1" ht="17.149999999999999" customHeight="1">
      <c r="A747" s="1152" t="s">
        <v>1473</v>
      </c>
      <c r="B747" s="1153"/>
      <c r="C747" s="679"/>
      <c r="D747" s="897">
        <f t="shared" si="13"/>
        <v>-484.60399999999998</v>
      </c>
      <c r="E747" s="899">
        <v>-484.60399999999998</v>
      </c>
      <c r="F747" s="899"/>
      <c r="G747" s="899"/>
      <c r="H747" s="899"/>
      <c r="I747" s="1149" t="s">
        <v>658</v>
      </c>
      <c r="J747" s="898"/>
    </row>
    <row r="748" spans="1:10" s="341" customFormat="1" ht="17.149999999999999" customHeight="1">
      <c r="A748" s="1152" t="s">
        <v>1087</v>
      </c>
      <c r="B748" s="1153"/>
      <c r="C748" s="679"/>
      <c r="D748" s="897">
        <f t="shared" si="13"/>
        <v>-13835.621999999999</v>
      </c>
      <c r="E748" s="899">
        <v>-13835.621999999999</v>
      </c>
      <c r="F748" s="899"/>
      <c r="G748" s="899"/>
      <c r="H748" s="899"/>
      <c r="I748" s="1149" t="s">
        <v>658</v>
      </c>
      <c r="J748" s="678"/>
    </row>
    <row r="749" spans="1:10" s="341" customFormat="1" ht="17.149999999999999" customHeight="1">
      <c r="A749" s="1152" t="s">
        <v>1089</v>
      </c>
      <c r="B749" s="1153"/>
      <c r="C749" s="679"/>
      <c r="D749" s="897">
        <f t="shared" si="13"/>
        <v>-1957.4690000000001</v>
      </c>
      <c r="E749" s="899">
        <v>-1957.4690000000001</v>
      </c>
      <c r="F749" s="899"/>
      <c r="G749" s="899"/>
      <c r="H749" s="899"/>
      <c r="I749" s="1149" t="s">
        <v>658</v>
      </c>
      <c r="J749" s="678"/>
    </row>
    <row r="750" spans="1:10" s="341" customFormat="1" ht="17.149999999999999" customHeight="1">
      <c r="A750" s="1152" t="s">
        <v>1088</v>
      </c>
      <c r="B750" s="1153"/>
      <c r="C750" s="679"/>
      <c r="D750" s="897">
        <f t="shared" si="13"/>
        <v>0</v>
      </c>
      <c r="E750" s="899"/>
      <c r="F750" s="899"/>
      <c r="G750" s="899"/>
      <c r="H750" s="899"/>
      <c r="I750" s="1149" t="s">
        <v>658</v>
      </c>
      <c r="J750" s="678"/>
    </row>
    <row r="751" spans="1:10" s="341" customFormat="1" ht="17.149999999999999" customHeight="1">
      <c r="A751" s="1152" t="s">
        <v>1090</v>
      </c>
      <c r="B751" s="1153"/>
      <c r="C751" s="679"/>
      <c r="D751" s="897">
        <f t="shared" si="13"/>
        <v>0</v>
      </c>
      <c r="E751" s="899"/>
      <c r="F751" s="899"/>
      <c r="G751" s="899"/>
      <c r="H751" s="899"/>
      <c r="I751" s="1149" t="s">
        <v>658</v>
      </c>
      <c r="J751" s="678"/>
    </row>
    <row r="752" spans="1:10" s="341" customFormat="1" ht="17.149999999999999" customHeight="1">
      <c r="A752" s="1152" t="s">
        <v>1091</v>
      </c>
      <c r="B752" s="1153"/>
      <c r="C752" s="679"/>
      <c r="D752" s="897">
        <f t="shared" si="13"/>
        <v>0</v>
      </c>
      <c r="E752" s="899"/>
      <c r="F752" s="899"/>
      <c r="G752" s="899"/>
      <c r="H752" s="899"/>
      <c r="I752" s="1149" t="s">
        <v>658</v>
      </c>
      <c r="J752" s="678"/>
    </row>
    <row r="753" spans="1:10" s="341" customFormat="1" ht="34" customHeight="1">
      <c r="A753" s="1152" t="s">
        <v>593</v>
      </c>
      <c r="B753" s="1153"/>
      <c r="C753" s="679"/>
      <c r="D753" s="897">
        <f t="shared" si="13"/>
        <v>0</v>
      </c>
      <c r="E753" s="899"/>
      <c r="F753" s="899"/>
      <c r="G753" s="899"/>
      <c r="H753" s="899"/>
      <c r="I753" s="1149" t="s">
        <v>16</v>
      </c>
      <c r="J753" s="678"/>
    </row>
    <row r="754" spans="1:10" s="341" customFormat="1" ht="34" customHeight="1">
      <c r="A754" s="1152" t="s">
        <v>594</v>
      </c>
      <c r="B754" s="1153"/>
      <c r="C754" s="679"/>
      <c r="D754" s="897">
        <f t="shared" si="13"/>
        <v>-1567.376</v>
      </c>
      <c r="E754" s="899"/>
      <c r="F754" s="899"/>
      <c r="G754" s="899"/>
      <c r="H754" s="899">
        <v>-1567.376</v>
      </c>
      <c r="I754" s="1149" t="s">
        <v>16</v>
      </c>
      <c r="J754" s="678"/>
    </row>
    <row r="755" spans="1:10" s="341" customFormat="1" ht="34" customHeight="1">
      <c r="A755" s="1152" t="s">
        <v>595</v>
      </c>
      <c r="B755" s="1153"/>
      <c r="C755" s="679"/>
      <c r="D755" s="897">
        <f t="shared" si="13"/>
        <v>0</v>
      </c>
      <c r="E755" s="899"/>
      <c r="F755" s="899"/>
      <c r="G755" s="899"/>
      <c r="H755" s="899"/>
      <c r="I755" s="1149" t="s">
        <v>16</v>
      </c>
      <c r="J755" s="678"/>
    </row>
    <row r="756" spans="1:10" s="341" customFormat="1" ht="34" customHeight="1">
      <c r="A756" s="1152" t="s">
        <v>596</v>
      </c>
      <c r="B756" s="1153"/>
      <c r="C756" s="679"/>
      <c r="D756" s="897">
        <f t="shared" si="13"/>
        <v>-2092.7020000000002</v>
      </c>
      <c r="E756" s="899">
        <v>-2092.7020000000002</v>
      </c>
      <c r="F756" s="899"/>
      <c r="G756" s="899"/>
      <c r="H756" s="899"/>
      <c r="I756" s="1149" t="s">
        <v>16</v>
      </c>
      <c r="J756" s="678"/>
    </row>
    <row r="757" spans="1:10" s="341" customFormat="1" ht="34" customHeight="1">
      <c r="A757" s="1152" t="s">
        <v>1093</v>
      </c>
      <c r="B757" s="1153"/>
      <c r="C757" s="679"/>
      <c r="D757" s="897">
        <f t="shared" si="13"/>
        <v>0</v>
      </c>
      <c r="E757" s="899"/>
      <c r="F757" s="899"/>
      <c r="G757" s="899"/>
      <c r="H757" s="899"/>
      <c r="I757" s="1149" t="s">
        <v>16</v>
      </c>
      <c r="J757" s="678"/>
    </row>
    <row r="758" spans="1:10" s="341" customFormat="1" ht="34" customHeight="1">
      <c r="A758" s="1152" t="s">
        <v>1157</v>
      </c>
      <c r="B758" s="1153"/>
      <c r="C758" s="679"/>
      <c r="D758" s="897">
        <f t="shared" si="13"/>
        <v>-2811.4670000000001</v>
      </c>
      <c r="E758" s="899">
        <v>-2811.4670000000001</v>
      </c>
      <c r="F758" s="899"/>
      <c r="G758" s="899"/>
      <c r="H758" s="899"/>
      <c r="I758" s="1149" t="s">
        <v>16</v>
      </c>
      <c r="J758" s="678"/>
    </row>
    <row r="759" spans="1:10" s="341" customFormat="1" ht="34" customHeight="1">
      <c r="A759" s="1152" t="s">
        <v>1092</v>
      </c>
      <c r="B759" s="1153"/>
      <c r="C759" s="679"/>
      <c r="D759" s="897">
        <f t="shared" si="13"/>
        <v>-14284.205</v>
      </c>
      <c r="E759" s="899">
        <v>-14284.205</v>
      </c>
      <c r="F759" s="899"/>
      <c r="G759" s="899"/>
      <c r="H759" s="899"/>
      <c r="I759" s="1149" t="s">
        <v>16</v>
      </c>
      <c r="J759" s="678"/>
    </row>
    <row r="760" spans="1:10" s="341" customFormat="1" ht="17.149999999999999" customHeight="1">
      <c r="A760" s="1152" t="s">
        <v>741</v>
      </c>
      <c r="B760" s="1153"/>
      <c r="C760" s="679"/>
      <c r="D760" s="897">
        <f t="shared" si="13"/>
        <v>-332.721</v>
      </c>
      <c r="E760" s="899">
        <v>-332.721</v>
      </c>
      <c r="F760" s="899"/>
      <c r="G760" s="899"/>
      <c r="H760" s="899"/>
      <c r="I760" s="1149" t="s">
        <v>658</v>
      </c>
      <c r="J760" s="678"/>
    </row>
    <row r="761" spans="1:10" s="341" customFormat="1" ht="34" customHeight="1">
      <c r="A761" s="1152" t="s">
        <v>598</v>
      </c>
      <c r="B761" s="1153"/>
      <c r="C761" s="679"/>
      <c r="D761" s="897">
        <f t="shared" si="13"/>
        <v>0</v>
      </c>
      <c r="E761" s="899"/>
      <c r="F761" s="899"/>
      <c r="G761" s="899"/>
      <c r="H761" s="899"/>
      <c r="I761" s="1149" t="s">
        <v>239</v>
      </c>
      <c r="J761" s="678"/>
    </row>
    <row r="762" spans="1:10" s="341" customFormat="1" ht="34" customHeight="1">
      <c r="A762" s="1152" t="s">
        <v>599</v>
      </c>
      <c r="B762" s="1153"/>
      <c r="C762" s="679"/>
      <c r="D762" s="897">
        <f t="shared" si="13"/>
        <v>0</v>
      </c>
      <c r="E762" s="899"/>
      <c r="F762" s="899"/>
      <c r="G762" s="899"/>
      <c r="H762" s="899"/>
      <c r="I762" s="1149" t="s">
        <v>591</v>
      </c>
      <c r="J762" s="678"/>
    </row>
    <row r="763" spans="1:10" s="341" customFormat="1" ht="34" customHeight="1">
      <c r="A763" s="1152" t="s">
        <v>600</v>
      </c>
      <c r="B763" s="1153"/>
      <c r="C763" s="679"/>
      <c r="D763" s="897">
        <f t="shared" si="13"/>
        <v>-4593.0010000000002</v>
      </c>
      <c r="E763" s="899"/>
      <c r="F763" s="899"/>
      <c r="G763" s="899">
        <v>-4593.0010000000002</v>
      </c>
      <c r="H763" s="899"/>
      <c r="I763" s="1149" t="s">
        <v>136</v>
      </c>
      <c r="J763" s="678"/>
    </row>
    <row r="764" spans="1:10" s="341" customFormat="1" ht="17.149999999999999" customHeight="1">
      <c r="A764" s="1152" t="s">
        <v>1201</v>
      </c>
      <c r="B764" s="1153"/>
      <c r="C764" s="679"/>
      <c r="D764" s="897">
        <f t="shared" si="13"/>
        <v>-29555.893</v>
      </c>
      <c r="E764" s="899">
        <v>-29555.893</v>
      </c>
      <c r="F764" s="899"/>
      <c r="G764" s="899"/>
      <c r="H764" s="899"/>
      <c r="I764" s="1149" t="s">
        <v>658</v>
      </c>
      <c r="J764" s="678"/>
    </row>
    <row r="765" spans="1:10" s="896" customFormat="1" ht="17.149999999999999" customHeight="1">
      <c r="A765" s="1152" t="s">
        <v>547</v>
      </c>
      <c r="B765" s="1153"/>
      <c r="C765" s="679"/>
      <c r="D765" s="897">
        <f t="shared" si="13"/>
        <v>-546.53099999999995</v>
      </c>
      <c r="E765" s="899">
        <v>-546.53099999999995</v>
      </c>
      <c r="F765" s="899"/>
      <c r="G765" s="899"/>
      <c r="H765" s="899"/>
      <c r="I765" s="1149" t="s">
        <v>658</v>
      </c>
      <c r="J765" s="898"/>
    </row>
    <row r="766" spans="1:10" s="341" customFormat="1" ht="17.149999999999999" customHeight="1">
      <c r="A766" s="1152" t="s">
        <v>1211</v>
      </c>
      <c r="B766" s="1153"/>
      <c r="C766" s="679"/>
      <c r="D766" s="897">
        <f t="shared" si="13"/>
        <v>-5574.0420000000004</v>
      </c>
      <c r="E766" s="899">
        <v>-5574.0420000000004</v>
      </c>
      <c r="F766" s="899"/>
      <c r="G766" s="899"/>
      <c r="H766" s="899"/>
      <c r="I766" s="1149" t="s">
        <v>658</v>
      </c>
      <c r="J766" s="678"/>
    </row>
    <row r="767" spans="1:10" s="341" customFormat="1" ht="17.149999999999999" customHeight="1">
      <c r="A767" s="1152" t="s">
        <v>1219</v>
      </c>
      <c r="B767" s="1153"/>
      <c r="C767" s="679"/>
      <c r="D767" s="897">
        <f t="shared" si="13"/>
        <v>-2.4009999999999998</v>
      </c>
      <c r="E767" s="899">
        <v>-2.4009999999999998</v>
      </c>
      <c r="F767" s="899"/>
      <c r="G767" s="899"/>
      <c r="H767" s="899"/>
      <c r="I767" s="1149" t="s">
        <v>658</v>
      </c>
      <c r="J767" s="678"/>
    </row>
    <row r="768" spans="1:10" s="896" customFormat="1" ht="17.149999999999999" customHeight="1">
      <c r="A768" s="1152" t="s">
        <v>772</v>
      </c>
      <c r="B768" s="1153"/>
      <c r="C768" s="679"/>
      <c r="D768" s="897">
        <f t="shared" si="13"/>
        <v>-825.07500000000005</v>
      </c>
      <c r="E768" s="899">
        <v>-825.07500000000005</v>
      </c>
      <c r="F768" s="899"/>
      <c r="G768" s="899"/>
      <c r="H768" s="899"/>
      <c r="I768" s="1149" t="s">
        <v>658</v>
      </c>
      <c r="J768" s="898"/>
    </row>
    <row r="769" spans="1:10" s="341" customFormat="1" ht="17.149999999999999" customHeight="1">
      <c r="A769" s="1152" t="s">
        <v>1397</v>
      </c>
      <c r="B769" s="1153"/>
      <c r="C769" s="679"/>
      <c r="D769" s="897">
        <f t="shared" si="13"/>
        <v>-498.63400000000001</v>
      </c>
      <c r="E769" s="899">
        <v>-498.63400000000001</v>
      </c>
      <c r="F769" s="899"/>
      <c r="G769" s="899"/>
      <c r="H769" s="899"/>
      <c r="I769" s="1149" t="s">
        <v>658</v>
      </c>
      <c r="J769" s="678"/>
    </row>
    <row r="770" spans="1:10" s="896" customFormat="1" ht="34" customHeight="1">
      <c r="A770" s="1152" t="s">
        <v>1547</v>
      </c>
      <c r="B770" s="1153"/>
      <c r="C770" s="679"/>
      <c r="D770" s="897">
        <f t="shared" si="13"/>
        <v>0</v>
      </c>
      <c r="E770" s="899"/>
      <c r="F770" s="899"/>
      <c r="G770" s="899"/>
      <c r="H770" s="899"/>
      <c r="I770" s="1149" t="s">
        <v>34</v>
      </c>
      <c r="J770" s="898"/>
    </row>
    <row r="771" spans="1:10" s="896" customFormat="1" ht="17.149999999999999" customHeight="1">
      <c r="A771" s="1152" t="s">
        <v>1548</v>
      </c>
      <c r="B771" s="1153"/>
      <c r="C771" s="679"/>
      <c r="D771" s="897">
        <f t="shared" si="13"/>
        <v>0</v>
      </c>
      <c r="E771" s="899"/>
      <c r="F771" s="899"/>
      <c r="G771" s="899"/>
      <c r="H771" s="899"/>
      <c r="I771" s="1149" t="s">
        <v>658</v>
      </c>
      <c r="J771" s="898"/>
    </row>
    <row r="772" spans="1:10" s="896" customFormat="1" ht="17.149999999999999" customHeight="1">
      <c r="A772" s="1152" t="s">
        <v>1497</v>
      </c>
      <c r="B772" s="1153"/>
      <c r="C772" s="679"/>
      <c r="D772" s="897">
        <f t="shared" si="13"/>
        <v>0</v>
      </c>
      <c r="E772" s="899"/>
      <c r="F772" s="899"/>
      <c r="G772" s="899"/>
      <c r="H772" s="899"/>
      <c r="I772" s="1149" t="s">
        <v>658</v>
      </c>
      <c r="J772" s="898"/>
    </row>
    <row r="773" spans="1:10" s="896" customFormat="1" ht="17.149999999999999" customHeight="1">
      <c r="A773" s="1152" t="s">
        <v>1518</v>
      </c>
      <c r="B773" s="1153"/>
      <c r="C773" s="679"/>
      <c r="D773" s="897">
        <f t="shared" si="13"/>
        <v>0</v>
      </c>
      <c r="E773" s="899"/>
      <c r="F773" s="899"/>
      <c r="G773" s="899"/>
      <c r="H773" s="899"/>
      <c r="I773" s="1149" t="s">
        <v>658</v>
      </c>
      <c r="J773" s="898"/>
    </row>
    <row r="774" spans="1:10" s="896" customFormat="1" ht="17.149999999999999" customHeight="1">
      <c r="A774" s="1152" t="s">
        <v>1102</v>
      </c>
      <c r="B774" s="1153"/>
      <c r="C774" s="679"/>
      <c r="D774" s="897">
        <f t="shared" si="13"/>
        <v>-8900.4920000000002</v>
      </c>
      <c r="E774" s="899">
        <v>-8900.4920000000002</v>
      </c>
      <c r="F774" s="899"/>
      <c r="G774" s="899"/>
      <c r="H774" s="899"/>
      <c r="I774" s="1149" t="s">
        <v>658</v>
      </c>
      <c r="J774" s="898"/>
    </row>
    <row r="775" spans="1:10" s="896" customFormat="1" ht="17.149999999999999" customHeight="1">
      <c r="A775" s="1152" t="s">
        <v>1105</v>
      </c>
      <c r="B775" s="1153"/>
      <c r="C775" s="679"/>
      <c r="D775" s="897">
        <f t="shared" si="13"/>
        <v>0</v>
      </c>
      <c r="E775" s="899"/>
      <c r="F775" s="899"/>
      <c r="G775" s="899"/>
      <c r="H775" s="899"/>
      <c r="I775" s="1149" t="s">
        <v>658</v>
      </c>
      <c r="J775" s="898"/>
    </row>
    <row r="776" spans="1:10" s="896" customFormat="1" ht="17.149999999999999" customHeight="1">
      <c r="A776" s="1152" t="s">
        <v>1113</v>
      </c>
      <c r="B776" s="1153"/>
      <c r="C776" s="679"/>
      <c r="D776" s="897">
        <f t="shared" si="13"/>
        <v>-173.15199999999999</v>
      </c>
      <c r="E776" s="899">
        <v>-173.15199999999999</v>
      </c>
      <c r="F776" s="899"/>
      <c r="G776" s="899"/>
      <c r="H776" s="899"/>
      <c r="I776" s="1149" t="s">
        <v>658</v>
      </c>
      <c r="J776" s="898"/>
    </row>
    <row r="777" spans="1:10" s="896" customFormat="1" ht="17.149999999999999" customHeight="1">
      <c r="A777" s="1152" t="s">
        <v>1549</v>
      </c>
      <c r="B777" s="1153"/>
      <c r="C777" s="679"/>
      <c r="D777" s="897">
        <f t="shared" si="13"/>
        <v>-288.47899999999998</v>
      </c>
      <c r="E777" s="899">
        <v>-288.47899999999998</v>
      </c>
      <c r="F777" s="899"/>
      <c r="G777" s="899"/>
      <c r="H777" s="899"/>
      <c r="I777" s="1149" t="s">
        <v>658</v>
      </c>
      <c r="J777" s="898"/>
    </row>
    <row r="778" spans="1:10" s="896" customFormat="1" ht="17.149999999999999" customHeight="1">
      <c r="A778" s="1152" t="s">
        <v>1550</v>
      </c>
      <c r="B778" s="1153"/>
      <c r="C778" s="679"/>
      <c r="D778" s="897">
        <f t="shared" si="13"/>
        <v>0</v>
      </c>
      <c r="E778" s="899">
        <v>0</v>
      </c>
      <c r="F778" s="899"/>
      <c r="G778" s="899"/>
      <c r="H778" s="899"/>
      <c r="I778" s="1149" t="s">
        <v>658</v>
      </c>
      <c r="J778" s="898"/>
    </row>
    <row r="779" spans="1:10" s="896" customFormat="1" ht="17.149999999999999" customHeight="1">
      <c r="A779" s="1152" t="s">
        <v>1551</v>
      </c>
      <c r="B779" s="1153"/>
      <c r="C779" s="679"/>
      <c r="D779" s="897">
        <f t="shared" si="13"/>
        <v>0</v>
      </c>
      <c r="E779" s="899">
        <v>0</v>
      </c>
      <c r="F779" s="899"/>
      <c r="G779" s="899"/>
      <c r="H779" s="899"/>
      <c r="I779" s="1149" t="s">
        <v>658</v>
      </c>
      <c r="J779" s="898"/>
    </row>
    <row r="780" spans="1:10" s="896" customFormat="1" ht="17.149999999999999" customHeight="1">
      <c r="A780" s="1152" t="s">
        <v>1499</v>
      </c>
      <c r="B780" s="1153"/>
      <c r="C780" s="679"/>
      <c r="D780" s="897">
        <f t="shared" si="13"/>
        <v>0</v>
      </c>
      <c r="E780" s="899"/>
      <c r="F780" s="899"/>
      <c r="G780" s="899"/>
      <c r="H780" s="899"/>
      <c r="I780" s="1149" t="s">
        <v>658</v>
      </c>
      <c r="J780" s="898"/>
    </row>
    <row r="781" spans="1:10" s="896" customFormat="1" ht="17.149999999999999" customHeight="1">
      <c r="A781" s="1152" t="s">
        <v>1398</v>
      </c>
      <c r="B781" s="1153"/>
      <c r="C781" s="679"/>
      <c r="D781" s="897">
        <f t="shared" si="13"/>
        <v>0</v>
      </c>
      <c r="E781" s="899"/>
      <c r="F781" s="899"/>
      <c r="G781" s="899"/>
      <c r="H781" s="899"/>
      <c r="I781" s="1149" t="s">
        <v>658</v>
      </c>
      <c r="J781" s="898"/>
    </row>
    <row r="782" spans="1:10" s="896" customFormat="1" ht="17.149999999999999" customHeight="1">
      <c r="A782" s="1152" t="s">
        <v>1552</v>
      </c>
      <c r="B782" s="1153"/>
      <c r="C782" s="679"/>
      <c r="D782" s="897">
        <f t="shared" si="13"/>
        <v>0</v>
      </c>
      <c r="E782" s="899"/>
      <c r="F782" s="899"/>
      <c r="G782" s="899"/>
      <c r="H782" s="899"/>
      <c r="I782" s="1149" t="s">
        <v>658</v>
      </c>
      <c r="J782" s="898"/>
    </row>
    <row r="783" spans="1:10" s="896" customFormat="1" ht="17.149999999999999" customHeight="1">
      <c r="A783" s="1152" t="s">
        <v>1400</v>
      </c>
      <c r="B783" s="1153"/>
      <c r="C783" s="679"/>
      <c r="D783" s="897">
        <f t="shared" si="13"/>
        <v>-520.81100000000004</v>
      </c>
      <c r="E783" s="899">
        <v>-520.81100000000004</v>
      </c>
      <c r="F783" s="899"/>
      <c r="G783" s="899"/>
      <c r="H783" s="899"/>
      <c r="I783" s="1149" t="s">
        <v>658</v>
      </c>
      <c r="J783" s="898"/>
    </row>
    <row r="784" spans="1:10" s="896" customFormat="1" ht="17.149999999999999" customHeight="1">
      <c r="A784" s="1152" t="s">
        <v>1553</v>
      </c>
      <c r="B784" s="1153"/>
      <c r="C784" s="679"/>
      <c r="D784" s="897">
        <f t="shared" si="13"/>
        <v>-94.828999999999994</v>
      </c>
      <c r="E784" s="899">
        <v>-94.828999999999994</v>
      </c>
      <c r="F784" s="899"/>
      <c r="G784" s="899"/>
      <c r="H784" s="899"/>
      <c r="I784" s="1149" t="s">
        <v>658</v>
      </c>
      <c r="J784" s="898"/>
    </row>
    <row r="785" spans="1:10" s="896" customFormat="1" ht="17.149999999999999" customHeight="1">
      <c r="A785" s="1152" t="s">
        <v>1501</v>
      </c>
      <c r="B785" s="1153"/>
      <c r="C785" s="679"/>
      <c r="D785" s="897">
        <f t="shared" si="13"/>
        <v>0</v>
      </c>
      <c r="E785" s="899"/>
      <c r="F785" s="899"/>
      <c r="G785" s="899"/>
      <c r="H785" s="899"/>
      <c r="I785" s="1149" t="s">
        <v>658</v>
      </c>
      <c r="J785" s="898"/>
    </row>
    <row r="786" spans="1:10" s="896" customFormat="1" ht="17.149999999999999" customHeight="1">
      <c r="A786" s="1152" t="s">
        <v>739</v>
      </c>
      <c r="B786" s="1153"/>
      <c r="C786" s="679"/>
      <c r="D786" s="897">
        <f t="shared" si="13"/>
        <v>0</v>
      </c>
      <c r="E786" s="899">
        <v>0</v>
      </c>
      <c r="F786" s="899"/>
      <c r="G786" s="899"/>
      <c r="H786" s="899"/>
      <c r="I786" s="1149" t="s">
        <v>658</v>
      </c>
      <c r="J786" s="898"/>
    </row>
    <row r="787" spans="1:10" s="896" customFormat="1" ht="17.149999999999999" customHeight="1">
      <c r="A787" s="1152" t="s">
        <v>1502</v>
      </c>
      <c r="B787" s="1153"/>
      <c r="C787" s="679"/>
      <c r="D787" s="897">
        <f t="shared" si="13"/>
        <v>0</v>
      </c>
      <c r="E787" s="899">
        <v>0</v>
      </c>
      <c r="F787" s="899"/>
      <c r="G787" s="899"/>
      <c r="H787" s="899"/>
      <c r="I787" s="1149" t="s">
        <v>658</v>
      </c>
      <c r="J787" s="898"/>
    </row>
    <row r="788" spans="1:10" s="896" customFormat="1" ht="17.149999999999999" customHeight="1">
      <c r="A788" s="1152" t="s">
        <v>1554</v>
      </c>
      <c r="B788" s="1153"/>
      <c r="C788" s="679"/>
      <c r="D788" s="897">
        <f t="shared" si="13"/>
        <v>0</v>
      </c>
      <c r="E788" s="899"/>
      <c r="F788" s="899"/>
      <c r="G788" s="899"/>
      <c r="H788" s="899"/>
      <c r="I788" s="1149" t="s">
        <v>658</v>
      </c>
      <c r="J788" s="898"/>
    </row>
    <row r="789" spans="1:10" s="896" customFormat="1" ht="17.149999999999999" customHeight="1">
      <c r="A789" s="1152" t="s">
        <v>1555</v>
      </c>
      <c r="B789" s="1153"/>
      <c r="C789" s="679"/>
      <c r="D789" s="897">
        <f t="shared" si="13"/>
        <v>0</v>
      </c>
      <c r="E789" s="899"/>
      <c r="F789" s="899"/>
      <c r="G789" s="899"/>
      <c r="H789" s="899"/>
      <c r="I789" s="1149" t="s">
        <v>658</v>
      </c>
      <c r="J789" s="898"/>
    </row>
    <row r="790" spans="1:10" s="896" customFormat="1" ht="17.149999999999999" customHeight="1">
      <c r="A790" s="1152" t="s">
        <v>1556</v>
      </c>
      <c r="B790" s="1153"/>
      <c r="C790" s="679"/>
      <c r="D790" s="897">
        <f t="shared" si="13"/>
        <v>0</v>
      </c>
      <c r="E790" s="899"/>
      <c r="F790" s="899"/>
      <c r="G790" s="899"/>
      <c r="H790" s="899"/>
      <c r="I790" s="1149" t="s">
        <v>658</v>
      </c>
      <c r="J790" s="898"/>
    </row>
    <row r="791" spans="1:10" s="896" customFormat="1" ht="17.149999999999999" customHeight="1">
      <c r="A791" s="1152" t="s">
        <v>1557</v>
      </c>
      <c r="B791" s="1153"/>
      <c r="C791" s="679"/>
      <c r="D791" s="897">
        <f t="shared" si="13"/>
        <v>0</v>
      </c>
      <c r="E791" s="899"/>
      <c r="F791" s="899"/>
      <c r="G791" s="899"/>
      <c r="H791" s="899"/>
      <c r="I791" s="1149" t="s">
        <v>658</v>
      </c>
      <c r="J791" s="898"/>
    </row>
    <row r="792" spans="1:10" s="896" customFormat="1" ht="17.149999999999999" customHeight="1">
      <c r="A792" s="1152" t="s">
        <v>1503</v>
      </c>
      <c r="B792" s="1153"/>
      <c r="C792" s="679"/>
      <c r="D792" s="897">
        <f t="shared" si="13"/>
        <v>-107.54600000000001</v>
      </c>
      <c r="E792" s="899">
        <v>-107.54600000000001</v>
      </c>
      <c r="F792" s="899"/>
      <c r="G792" s="899"/>
      <c r="H792" s="899"/>
      <c r="I792" s="1149" t="s">
        <v>658</v>
      </c>
      <c r="J792" s="898"/>
    </row>
    <row r="793" spans="1:10" s="896" customFormat="1" ht="17.149999999999999" customHeight="1">
      <c r="A793" s="1152" t="s">
        <v>1558</v>
      </c>
      <c r="B793" s="1153"/>
      <c r="C793" s="679"/>
      <c r="D793" s="897">
        <f t="shared" si="13"/>
        <v>0</v>
      </c>
      <c r="E793" s="899"/>
      <c r="F793" s="899"/>
      <c r="G793" s="899"/>
      <c r="H793" s="899"/>
      <c r="I793" s="1149" t="s">
        <v>658</v>
      </c>
      <c r="J793" s="898"/>
    </row>
    <row r="794" spans="1:10" s="896" customFormat="1" ht="17.149999999999999" customHeight="1">
      <c r="A794" s="1152" t="s">
        <v>1504</v>
      </c>
      <c r="B794" s="1153"/>
      <c r="C794" s="679"/>
      <c r="D794" s="897">
        <f t="shared" si="13"/>
        <v>-1177.876</v>
      </c>
      <c r="E794" s="899">
        <v>-1177.876</v>
      </c>
      <c r="F794" s="899"/>
      <c r="G794" s="899"/>
      <c r="H794" s="899"/>
      <c r="I794" s="1149" t="s">
        <v>658</v>
      </c>
      <c r="J794" s="898"/>
    </row>
    <row r="795" spans="1:10" s="896" customFormat="1" ht="17.149999999999999" customHeight="1">
      <c r="A795" s="1152" t="s">
        <v>1505</v>
      </c>
      <c r="B795" s="1153"/>
      <c r="C795" s="679"/>
      <c r="D795" s="897">
        <f t="shared" si="13"/>
        <v>0</v>
      </c>
      <c r="E795" s="899">
        <v>0</v>
      </c>
      <c r="F795" s="899"/>
      <c r="G795" s="899"/>
      <c r="H795" s="899"/>
      <c r="I795" s="1149" t="s">
        <v>658</v>
      </c>
      <c r="J795" s="898"/>
    </row>
    <row r="796" spans="1:10" s="896" customFormat="1" ht="17.149999999999999" customHeight="1">
      <c r="A796" s="1152" t="s">
        <v>1506</v>
      </c>
      <c r="B796" s="1153"/>
      <c r="C796" s="679"/>
      <c r="D796" s="897">
        <f t="shared" si="13"/>
        <v>-54.261000000000003</v>
      </c>
      <c r="E796" s="899">
        <v>-54.261000000000003</v>
      </c>
      <c r="F796" s="899"/>
      <c r="G796" s="899"/>
      <c r="H796" s="899"/>
      <c r="I796" s="1149" t="s">
        <v>658</v>
      </c>
      <c r="J796" s="898"/>
    </row>
    <row r="797" spans="1:10" s="896" customFormat="1" ht="17.149999999999999" customHeight="1">
      <c r="A797" s="1152" t="s">
        <v>1507</v>
      </c>
      <c r="B797" s="1153"/>
      <c r="C797" s="679"/>
      <c r="D797" s="897">
        <f t="shared" si="13"/>
        <v>-1547.5540000000001</v>
      </c>
      <c r="E797" s="899">
        <v>-1547.5540000000001</v>
      </c>
      <c r="F797" s="899"/>
      <c r="G797" s="899"/>
      <c r="H797" s="899"/>
      <c r="I797" s="1149" t="s">
        <v>658</v>
      </c>
      <c r="J797" s="898"/>
    </row>
    <row r="798" spans="1:10" s="896" customFormat="1" ht="17.149999999999999" customHeight="1">
      <c r="A798" s="1152" t="s">
        <v>1508</v>
      </c>
      <c r="B798" s="1153"/>
      <c r="C798" s="679"/>
      <c r="D798" s="897">
        <f t="shared" si="13"/>
        <v>-207.637</v>
      </c>
      <c r="E798" s="899">
        <v>-207.637</v>
      </c>
      <c r="F798" s="899"/>
      <c r="G798" s="899"/>
      <c r="H798" s="899"/>
      <c r="I798" s="1149" t="s">
        <v>658</v>
      </c>
      <c r="J798" s="898"/>
    </row>
    <row r="799" spans="1:10" s="896" customFormat="1" ht="17.149999999999999" customHeight="1">
      <c r="A799" s="1152" t="s">
        <v>1509</v>
      </c>
      <c r="B799" s="1153"/>
      <c r="C799" s="679"/>
      <c r="D799" s="897">
        <f t="shared" si="13"/>
        <v>0</v>
      </c>
      <c r="E799" s="899">
        <v>0</v>
      </c>
      <c r="F799" s="899"/>
      <c r="G799" s="899"/>
      <c r="H799" s="899"/>
      <c r="I799" s="1149" t="s">
        <v>658</v>
      </c>
      <c r="J799" s="898"/>
    </row>
    <row r="800" spans="1:10" s="341" customFormat="1" ht="17.149999999999999" customHeight="1">
      <c r="A800" s="1152" t="s">
        <v>1510</v>
      </c>
      <c r="B800" s="1153"/>
      <c r="C800" s="679"/>
      <c r="D800" s="897">
        <f t="shared" si="13"/>
        <v>0</v>
      </c>
      <c r="E800" s="899">
        <v>0</v>
      </c>
      <c r="F800" s="899"/>
      <c r="G800" s="899"/>
      <c r="H800" s="899"/>
      <c r="I800" s="1149" t="s">
        <v>658</v>
      </c>
      <c r="J800" s="678"/>
    </row>
    <row r="801" spans="1:10" s="341" customFormat="1" ht="17.149999999999999" customHeight="1">
      <c r="A801" s="1152" t="s">
        <v>1559</v>
      </c>
      <c r="B801" s="1153"/>
      <c r="C801" s="679"/>
      <c r="D801" s="897">
        <f t="shared" si="13"/>
        <v>0</v>
      </c>
      <c r="E801" s="899"/>
      <c r="F801" s="899"/>
      <c r="G801" s="899"/>
      <c r="H801" s="899"/>
      <c r="I801" s="1149" t="s">
        <v>658</v>
      </c>
      <c r="J801" s="678"/>
    </row>
    <row r="802" spans="1:10" s="341" customFormat="1" ht="17.149999999999999" customHeight="1">
      <c r="A802" s="1152" t="s">
        <v>1511</v>
      </c>
      <c r="B802" s="1153"/>
      <c r="C802" s="679"/>
      <c r="D802" s="897">
        <f t="shared" si="13"/>
        <v>0</v>
      </c>
      <c r="E802" s="899"/>
      <c r="F802" s="899"/>
      <c r="G802" s="899"/>
      <c r="H802" s="899"/>
      <c r="I802" s="1149" t="s">
        <v>658</v>
      </c>
      <c r="J802" s="678"/>
    </row>
    <row r="803" spans="1:10" s="896" customFormat="1" ht="17.149999999999999" customHeight="1">
      <c r="A803" s="1152" t="s">
        <v>1512</v>
      </c>
      <c r="B803" s="1153"/>
      <c r="C803" s="679"/>
      <c r="D803" s="897">
        <f t="shared" si="13"/>
        <v>0</v>
      </c>
      <c r="E803" s="899">
        <v>0</v>
      </c>
      <c r="F803" s="899"/>
      <c r="G803" s="899"/>
      <c r="H803" s="899"/>
      <c r="I803" s="1149" t="s">
        <v>658</v>
      </c>
      <c r="J803" s="898"/>
    </row>
    <row r="804" spans="1:10" s="341" customFormat="1" ht="17.149999999999999" customHeight="1">
      <c r="A804" s="1152" t="s">
        <v>1399</v>
      </c>
      <c r="B804" s="1153"/>
      <c r="C804" s="679"/>
      <c r="D804" s="897">
        <f t="shared" si="13"/>
        <v>0</v>
      </c>
      <c r="E804" s="899"/>
      <c r="F804" s="899"/>
      <c r="G804" s="899"/>
      <c r="H804" s="899"/>
      <c r="I804" s="1149" t="s">
        <v>658</v>
      </c>
      <c r="J804" s="678"/>
    </row>
    <row r="805" spans="1:10" s="341" customFormat="1" ht="17.149999999999999" customHeight="1">
      <c r="A805" s="1152" t="s">
        <v>1517</v>
      </c>
      <c r="B805" s="1153"/>
      <c r="C805" s="679"/>
      <c r="D805" s="897">
        <f t="shared" si="13"/>
        <v>0</v>
      </c>
      <c r="E805" s="899"/>
      <c r="F805" s="899"/>
      <c r="G805" s="899"/>
      <c r="H805" s="899"/>
      <c r="I805" s="1149" t="s">
        <v>658</v>
      </c>
      <c r="J805" s="678"/>
    </row>
    <row r="806" spans="1:10" s="896" customFormat="1" ht="17.149999999999999" customHeight="1">
      <c r="A806" s="1152" t="s">
        <v>569</v>
      </c>
      <c r="B806" s="1153"/>
      <c r="C806" s="679"/>
      <c r="D806" s="897">
        <f t="shared" si="13"/>
        <v>-8453.1939999999995</v>
      </c>
      <c r="E806" s="899"/>
      <c r="F806" s="899"/>
      <c r="G806" s="899"/>
      <c r="H806" s="899">
        <v>-8453.1939999999995</v>
      </c>
      <c r="I806" s="1149" t="s">
        <v>270</v>
      </c>
      <c r="J806" s="898"/>
    </row>
    <row r="807" spans="1:10" s="896" customFormat="1" ht="17.149999999999999" customHeight="1">
      <c r="A807" s="1152" t="s">
        <v>1682</v>
      </c>
      <c r="B807" s="1153"/>
      <c r="C807" s="679"/>
      <c r="D807" s="897">
        <f t="shared" si="13"/>
        <v>-32.786000000000001</v>
      </c>
      <c r="E807" s="899">
        <v>-32.786000000000001</v>
      </c>
      <c r="F807" s="899"/>
      <c r="G807" s="899"/>
      <c r="H807" s="899"/>
      <c r="I807" s="1149" t="s">
        <v>658</v>
      </c>
      <c r="J807" s="898"/>
    </row>
    <row r="808" spans="1:10" s="341" customFormat="1" ht="17.149999999999999" customHeight="1">
      <c r="A808" s="1152" t="s">
        <v>1367</v>
      </c>
      <c r="B808" s="1153"/>
      <c r="C808" s="679"/>
      <c r="D808" s="897">
        <f t="shared" si="13"/>
        <v>-7.1999999999999995E-2</v>
      </c>
      <c r="E808" s="899">
        <v>-7.1999999999999995E-2</v>
      </c>
      <c r="F808" s="899"/>
      <c r="G808" s="899"/>
      <c r="H808" s="899"/>
      <c r="I808" s="1149" t="s">
        <v>658</v>
      </c>
      <c r="J808" s="678"/>
    </row>
    <row r="809" spans="1:10" s="341" customFormat="1" ht="14.3">
      <c r="A809" s="726" t="s">
        <v>509</v>
      </c>
      <c r="B809" s="683"/>
      <c r="C809" s="679"/>
      <c r="D809" s="727">
        <f>SUM(D522:D808)</f>
        <v>-1119752.6907924749</v>
      </c>
      <c r="E809" s="727">
        <f>SUM(E522:E808)</f>
        <v>-1105139.1197924749</v>
      </c>
      <c r="F809" s="727">
        <f>SUM(F522:F808)</f>
        <v>0</v>
      </c>
      <c r="G809" s="727">
        <f>SUM(G522:G808)</f>
        <v>-4593.0010000000002</v>
      </c>
      <c r="H809" s="727">
        <f>SUM(H522:H808)</f>
        <v>-10020.57</v>
      </c>
      <c r="I809" s="728"/>
      <c r="J809" s="678"/>
    </row>
    <row r="810" spans="1:10" s="341" customFormat="1" ht="14.3">
      <c r="A810" s="688" t="s">
        <v>479</v>
      </c>
      <c r="B810" s="683"/>
      <c r="C810" s="679"/>
      <c r="D810" s="727">
        <f>SUM(E810:H810)</f>
        <v>-44052.894070000177</v>
      </c>
      <c r="E810" s="729">
        <f>SUM(E575:E653)</f>
        <v>-44052.894070000177</v>
      </c>
      <c r="F810" s="729">
        <f>SUM(F572:F635)</f>
        <v>0</v>
      </c>
      <c r="G810" s="729">
        <f>SUM(G572:G635)</f>
        <v>0</v>
      </c>
      <c r="H810" s="729">
        <f>SUM(H572:H635)</f>
        <v>0</v>
      </c>
      <c r="I810" s="889"/>
      <c r="J810" s="678"/>
    </row>
    <row r="811" spans="1:10" s="341" customFormat="1" ht="14.3">
      <c r="A811" s="688" t="s">
        <v>505</v>
      </c>
      <c r="B811" s="683"/>
      <c r="C811" s="679"/>
      <c r="D811" s="727">
        <f>SUM(E811:H811)</f>
        <v>-8453.1939999999995</v>
      </c>
      <c r="E811" s="729">
        <f>E806</f>
        <v>0</v>
      </c>
      <c r="F811" s="729">
        <f t="shared" ref="F811:H811" si="14">F806</f>
        <v>0</v>
      </c>
      <c r="G811" s="729">
        <f t="shared" si="14"/>
        <v>0</v>
      </c>
      <c r="H811" s="729">
        <f t="shared" si="14"/>
        <v>-8453.1939999999995</v>
      </c>
      <c r="I811" s="900"/>
      <c r="J811" s="678"/>
    </row>
    <row r="812" spans="1:10" s="341" customFormat="1" ht="14.3">
      <c r="A812" s="730" t="s">
        <v>813</v>
      </c>
      <c r="B812" s="685"/>
      <c r="C812" s="679"/>
      <c r="D812" s="727">
        <f>+D809-D810-D811</f>
        <v>-1067246.6027224748</v>
      </c>
      <c r="E812" s="727">
        <f>+E809-E810-E811</f>
        <v>-1061086.2257224747</v>
      </c>
      <c r="F812" s="727">
        <f>+F809-F810-F811</f>
        <v>0</v>
      </c>
      <c r="G812" s="727">
        <f>+G809-G810-G811</f>
        <v>-4593.0010000000002</v>
      </c>
      <c r="H812" s="727">
        <f>+H809-H810-H811</f>
        <v>-1567.3760000000002</v>
      </c>
      <c r="I812" s="888"/>
      <c r="J812" s="678"/>
    </row>
    <row r="813" spans="1:10" s="341" customFormat="1" ht="14.3">
      <c r="A813" s="689"/>
      <c r="B813" s="690"/>
      <c r="C813" s="898"/>
      <c r="D813" s="898"/>
      <c r="E813" s="692"/>
      <c r="F813" s="692"/>
      <c r="G813" s="692"/>
      <c r="H813" s="692"/>
      <c r="I813" s="694"/>
      <c r="J813" s="678"/>
    </row>
    <row r="814" spans="1:10" s="341" customFormat="1" ht="14.3">
      <c r="A814" s="689"/>
      <c r="B814" s="695" t="s">
        <v>323</v>
      </c>
      <c r="C814" s="697"/>
      <c r="D814" s="697"/>
      <c r="E814" s="696"/>
      <c r="F814" s="696"/>
      <c r="G814" s="722"/>
      <c r="H814" s="700"/>
      <c r="I814" s="731"/>
      <c r="J814" s="678"/>
    </row>
    <row r="815" spans="1:10" s="341" customFormat="1" ht="14.95" customHeight="1">
      <c r="A815" s="689"/>
      <c r="B815" s="1157" t="s">
        <v>429</v>
      </c>
      <c r="C815" s="1158"/>
      <c r="D815" s="1158"/>
      <c r="E815" s="1158"/>
      <c r="F815" s="1158"/>
      <c r="G815" s="1158"/>
      <c r="H815" s="1159"/>
      <c r="I815" s="694"/>
      <c r="J815" s="678"/>
    </row>
    <row r="816" spans="1:10" s="341" customFormat="1" ht="14.3">
      <c r="A816" s="689"/>
      <c r="B816" s="702" t="s">
        <v>430</v>
      </c>
      <c r="C816" s="898"/>
      <c r="D816" s="898"/>
      <c r="E816" s="691"/>
      <c r="F816" s="691"/>
      <c r="G816" s="675"/>
      <c r="H816" s="703"/>
      <c r="I816" s="731"/>
      <c r="J816" s="678"/>
    </row>
    <row r="817" spans="1:10" s="341" customFormat="1" ht="14.3">
      <c r="A817" s="689"/>
      <c r="B817" s="702" t="s">
        <v>57</v>
      </c>
      <c r="C817" s="898"/>
      <c r="D817" s="898"/>
      <c r="E817" s="691"/>
      <c r="F817" s="691"/>
      <c r="G817" s="675"/>
      <c r="H817" s="703"/>
      <c r="I817" s="694"/>
      <c r="J817" s="678"/>
    </row>
    <row r="818" spans="1:10" s="341" customFormat="1" ht="12.75" customHeight="1">
      <c r="A818" s="689"/>
      <c r="B818" s="702" t="s">
        <v>58</v>
      </c>
      <c r="C818" s="898"/>
      <c r="D818" s="898"/>
      <c r="E818" s="898"/>
      <c r="F818" s="898"/>
      <c r="G818" s="898"/>
      <c r="H818" s="687"/>
      <c r="I818" s="704"/>
      <c r="J818" s="678"/>
    </row>
    <row r="819" spans="1:10" s="341" customFormat="1" ht="46.55" customHeight="1">
      <c r="A819" s="689"/>
      <c r="B819" s="1154" t="str">
        <f>+B501</f>
        <v>5. Deferred income taxes arise when items are included in taxable income in different periods than they are included in rates, therefore if the item giving rise to the ADIT is not included in the formula, the associated ADIT amount shall be excluded</v>
      </c>
      <c r="C819" s="1155"/>
      <c r="D819" s="1155"/>
      <c r="E819" s="1155"/>
      <c r="F819" s="1155"/>
      <c r="G819" s="1155"/>
      <c r="H819" s="1156"/>
      <c r="I819" s="694"/>
      <c r="J819" s="678"/>
    </row>
    <row r="820" spans="1:10" s="341" customFormat="1" ht="14.3">
      <c r="A820" s="689"/>
      <c r="B820" s="705" t="s">
        <v>507</v>
      </c>
      <c r="C820" s="707"/>
      <c r="D820" s="707"/>
      <c r="E820" s="707"/>
      <c r="F820" s="707"/>
      <c r="G820" s="707"/>
      <c r="H820" s="685"/>
      <c r="I820" s="694"/>
      <c r="J820" s="678"/>
    </row>
    <row r="821" spans="1:10" s="341" customFormat="1" ht="13.6">
      <c r="A821" s="689"/>
      <c r="B821" s="898"/>
      <c r="C821" s="898"/>
      <c r="D821" s="898"/>
      <c r="E821" s="898"/>
      <c r="F821" s="898"/>
      <c r="G821" s="898"/>
      <c r="H821" s="898"/>
      <c r="I821" s="898"/>
      <c r="J821" s="678"/>
    </row>
    <row r="822" spans="1:10" s="341" customFormat="1" ht="13.6">
      <c r="A822" s="898"/>
      <c r="B822" s="898"/>
      <c r="C822" s="898"/>
      <c r="D822" s="898"/>
      <c r="E822" s="898"/>
      <c r="F822" s="898"/>
      <c r="G822" s="898"/>
      <c r="H822" s="898"/>
      <c r="I822" s="898"/>
      <c r="J822" s="678"/>
    </row>
    <row r="823" spans="1:10" s="341" customFormat="1" ht="13.6">
      <c r="A823" s="898"/>
      <c r="B823" s="898"/>
      <c r="C823" s="898"/>
      <c r="D823" s="898"/>
      <c r="E823" s="898"/>
      <c r="F823" s="898"/>
      <c r="G823" s="898"/>
      <c r="H823" s="898"/>
      <c r="I823" s="898"/>
      <c r="J823" s="678"/>
    </row>
    <row r="824" spans="1:10" s="341" customFormat="1" ht="14.3">
      <c r="A824" s="732" t="s">
        <v>827</v>
      </c>
      <c r="B824" s="711"/>
      <c r="C824" s="711"/>
      <c r="D824" s="711"/>
      <c r="E824" s="711"/>
      <c r="F824" s="711"/>
      <c r="G824" s="711"/>
      <c r="H824" s="711"/>
      <c r="I824" s="711"/>
      <c r="J824" s="711"/>
    </row>
    <row r="825" spans="1:10" s="341" customFormat="1" ht="14.3">
      <c r="A825" s="180" t="s">
        <v>284</v>
      </c>
      <c r="B825" s="898"/>
      <c r="C825" s="898"/>
      <c r="D825" s="898"/>
      <c r="E825" s="733"/>
      <c r="F825" s="733"/>
      <c r="G825" s="733"/>
      <c r="H825" s="733"/>
      <c r="I825" s="733"/>
      <c r="J825" s="733"/>
    </row>
    <row r="826" spans="1:10" s="341" customFormat="1" ht="14.3">
      <c r="A826" s="180"/>
      <c r="B826" s="898"/>
      <c r="C826" s="898"/>
      <c r="D826" s="898"/>
      <c r="E826" s="734"/>
      <c r="F826" s="734"/>
      <c r="G826" s="733"/>
      <c r="H826" s="733"/>
      <c r="I826" s="733"/>
      <c r="J826" s="733"/>
    </row>
    <row r="827" spans="1:10" s="341" customFormat="1" ht="13.6">
      <c r="A827" s="735"/>
      <c r="B827" s="736"/>
      <c r="C827" s="736" t="s">
        <v>828</v>
      </c>
      <c r="D827" s="736"/>
      <c r="E827" s="736" t="s">
        <v>435</v>
      </c>
      <c r="F827" s="736" t="s">
        <v>829</v>
      </c>
      <c r="G827" s="896"/>
      <c r="H827" s="898"/>
      <c r="I827" s="898"/>
      <c r="J827" s="678"/>
    </row>
    <row r="828" spans="1:10" s="341" customFormat="1" ht="13.6">
      <c r="A828" s="735"/>
      <c r="B828" s="735"/>
      <c r="C828" s="736"/>
      <c r="D828" s="736"/>
      <c r="E828" s="737"/>
      <c r="F828" s="737"/>
      <c r="G828" s="896"/>
      <c r="H828" s="898"/>
      <c r="I828" s="898"/>
      <c r="J828" s="678"/>
    </row>
    <row r="829" spans="1:10" s="341" customFormat="1" ht="13.6">
      <c r="A829" s="735"/>
      <c r="B829" s="736"/>
      <c r="C829" s="736"/>
      <c r="D829" s="736"/>
      <c r="E829" s="738"/>
      <c r="F829" s="738"/>
      <c r="G829" s="896"/>
      <c r="H829" s="898"/>
      <c r="I829" s="898"/>
      <c r="J829" s="678"/>
    </row>
    <row r="830" spans="1:10" s="341" customFormat="1" ht="13.6">
      <c r="A830" s="735"/>
      <c r="B830" s="736"/>
      <c r="C830" s="736"/>
      <c r="D830" s="736"/>
      <c r="E830" s="737"/>
      <c r="F830" s="737"/>
      <c r="G830" s="896"/>
      <c r="H830" s="898"/>
      <c r="I830" s="898"/>
      <c r="J830" s="678"/>
    </row>
    <row r="831" spans="1:10" s="341" customFormat="1" ht="13.6">
      <c r="A831" s="735">
        <v>1</v>
      </c>
      <c r="B831" s="736" t="s">
        <v>829</v>
      </c>
      <c r="C831" s="736"/>
      <c r="D831" s="736"/>
      <c r="E831" s="896"/>
      <c r="F831" s="737">
        <f>F836-F832</f>
        <v>759</v>
      </c>
      <c r="G831" s="896"/>
      <c r="H831" s="898"/>
      <c r="I831" s="898"/>
      <c r="J831" s="678"/>
    </row>
    <row r="832" spans="1:10" s="341" customFormat="1" ht="13.6">
      <c r="A832" s="735">
        <v>2</v>
      </c>
      <c r="B832" s="736" t="s">
        <v>285</v>
      </c>
      <c r="C832" s="736" t="s">
        <v>813</v>
      </c>
      <c r="D832" s="736"/>
      <c r="E832" s="739"/>
      <c r="F832" s="739">
        <v>137</v>
      </c>
      <c r="G832" s="896"/>
      <c r="H832" s="898"/>
      <c r="I832" s="898"/>
      <c r="J832" s="678"/>
    </row>
    <row r="833" spans="1:10" s="341" customFormat="1" ht="13.6">
      <c r="A833" s="735"/>
      <c r="B833" s="736"/>
      <c r="C833" s="736"/>
      <c r="D833" s="736"/>
      <c r="E833" s="737"/>
      <c r="F833" s="737"/>
      <c r="G833" s="896"/>
      <c r="H833" s="898"/>
      <c r="I833" s="898"/>
      <c r="J833" s="678"/>
    </row>
    <row r="834" spans="1:10" s="341" customFormat="1" ht="13.6">
      <c r="A834" s="735">
        <v>3</v>
      </c>
      <c r="B834" s="736" t="s">
        <v>813</v>
      </c>
      <c r="C834" s="736"/>
      <c r="D834" s="736"/>
      <c r="E834" s="737">
        <f>+E832+E829</f>
        <v>0</v>
      </c>
      <c r="F834" s="737">
        <f>SUM(F831:F832)</f>
        <v>896</v>
      </c>
      <c r="G834" s="896"/>
      <c r="H834" s="898"/>
      <c r="I834" s="898"/>
      <c r="J834" s="678"/>
    </row>
    <row r="835" spans="1:10" s="341" customFormat="1" ht="13.6">
      <c r="A835" s="735"/>
      <c r="B835" s="736"/>
      <c r="C835" s="736"/>
      <c r="D835" s="736"/>
      <c r="E835" s="737"/>
      <c r="F835" s="737"/>
      <c r="G835" s="896"/>
      <c r="H835" s="898"/>
      <c r="I835" s="898"/>
      <c r="J835" s="678"/>
    </row>
    <row r="836" spans="1:10" s="341" customFormat="1" ht="13.6">
      <c r="A836" s="735">
        <v>4</v>
      </c>
      <c r="B836" s="736" t="s">
        <v>68</v>
      </c>
      <c r="C836" s="736" t="s">
        <v>67</v>
      </c>
      <c r="D836" s="736"/>
      <c r="E836" s="739"/>
      <c r="F836" s="739">
        <v>896</v>
      </c>
      <c r="G836" s="896"/>
      <c r="H836" s="898"/>
      <c r="I836" s="898"/>
      <c r="J836" s="678"/>
    </row>
    <row r="837" spans="1:10" s="341" customFormat="1" ht="13.6">
      <c r="A837" s="736"/>
      <c r="B837" s="736"/>
      <c r="C837" s="736"/>
      <c r="D837" s="736"/>
      <c r="E837" s="737"/>
      <c r="F837" s="737"/>
      <c r="G837" s="896"/>
      <c r="H837" s="898"/>
      <c r="I837" s="898"/>
      <c r="J837" s="678"/>
    </row>
    <row r="838" spans="1:10" s="341" customFormat="1" ht="13.6">
      <c r="A838" s="735">
        <v>5</v>
      </c>
      <c r="B838" s="736" t="s">
        <v>830</v>
      </c>
      <c r="C838" s="736"/>
      <c r="D838" s="736"/>
      <c r="E838" s="737">
        <f>+E834-E836</f>
        <v>0</v>
      </c>
      <c r="F838" s="737">
        <f>+F834-F836</f>
        <v>0</v>
      </c>
      <c r="G838" s="896"/>
      <c r="H838" s="898"/>
      <c r="I838" s="898"/>
      <c r="J838" s="678"/>
    </row>
    <row r="839" spans="1:10" s="341" customFormat="1" ht="13.6">
      <c r="A839" s="898"/>
      <c r="B839" s="898"/>
      <c r="C839" s="898"/>
      <c r="D839" s="898"/>
      <c r="E839" s="740"/>
      <c r="F839" s="740"/>
      <c r="G839" s="896"/>
      <c r="H839" s="898"/>
      <c r="I839" s="898"/>
      <c r="J839" s="678"/>
    </row>
    <row r="840" spans="1:10" s="341" customFormat="1" ht="13.6">
      <c r="A840" s="689"/>
      <c r="B840" s="898" t="s">
        <v>831</v>
      </c>
      <c r="C840" s="898"/>
      <c r="D840" s="898"/>
      <c r="E840" s="898"/>
      <c r="F840" s="898"/>
      <c r="G840" s="896"/>
      <c r="H840" s="898"/>
      <c r="I840" s="898"/>
      <c r="J840" s="678"/>
    </row>
    <row r="841" spans="1:10" s="341" customFormat="1" ht="13.6">
      <c r="A841" s="741"/>
      <c r="B841" s="896"/>
      <c r="C841" s="896"/>
      <c r="D841" s="896"/>
      <c r="E841" s="896"/>
      <c r="F841" s="896"/>
      <c r="G841" s="896"/>
      <c r="H841" s="896"/>
      <c r="I841" s="896"/>
    </row>
    <row r="842" spans="1:10" s="341" customFormat="1" ht="13.6">
      <c r="A842" s="741"/>
      <c r="B842" s="896"/>
      <c r="C842" s="896"/>
      <c r="D842" s="896"/>
      <c r="E842" s="896"/>
      <c r="F842" s="896"/>
      <c r="G842" s="896"/>
      <c r="H842" s="896"/>
      <c r="I842" s="896"/>
    </row>
    <row r="843" spans="1:10">
      <c r="A843" s="283"/>
      <c r="B843" s="167"/>
      <c r="C843" s="167"/>
      <c r="D843" s="167"/>
      <c r="E843" s="167"/>
      <c r="F843" s="167"/>
      <c r="G843" s="167"/>
      <c r="H843" s="167"/>
      <c r="I843" s="167"/>
    </row>
    <row r="844" spans="1:10">
      <c r="A844" s="283"/>
      <c r="B844" s="167"/>
      <c r="C844" s="167"/>
      <c r="D844" s="167"/>
      <c r="E844" s="167"/>
      <c r="F844" s="167"/>
      <c r="G844" s="167"/>
      <c r="H844" s="167"/>
      <c r="I844" s="167"/>
    </row>
    <row r="845" spans="1:10">
      <c r="A845" s="283"/>
      <c r="B845" s="167"/>
      <c r="C845" s="167"/>
      <c r="D845" s="167"/>
      <c r="E845" s="167"/>
      <c r="F845" s="167"/>
      <c r="G845" s="167"/>
      <c r="H845" s="167"/>
      <c r="I845" s="167"/>
    </row>
    <row r="846" spans="1:10">
      <c r="A846" s="283"/>
      <c r="B846" s="167"/>
      <c r="C846" s="167"/>
      <c r="D846" s="167"/>
      <c r="E846" s="167"/>
      <c r="F846" s="167"/>
      <c r="G846" s="167"/>
      <c r="H846" s="167"/>
      <c r="I846" s="167"/>
    </row>
    <row r="847" spans="1:10">
      <c r="A847" s="283"/>
      <c r="B847" s="167"/>
      <c r="C847" s="167"/>
      <c r="D847" s="167"/>
      <c r="E847" s="167"/>
      <c r="F847" s="167"/>
      <c r="G847" s="167"/>
      <c r="H847" s="167"/>
      <c r="I847" s="167"/>
    </row>
    <row r="848" spans="1:10">
      <c r="A848" s="283"/>
      <c r="B848" s="167"/>
      <c r="C848" s="167"/>
      <c r="D848" s="167"/>
      <c r="E848" s="167"/>
      <c r="F848" s="167"/>
      <c r="G848" s="167"/>
      <c r="H848" s="167"/>
      <c r="I848" s="167"/>
    </row>
    <row r="849" spans="1:9">
      <c r="A849" s="283"/>
      <c r="B849" s="167"/>
      <c r="C849" s="167"/>
      <c r="D849" s="167"/>
      <c r="E849" s="167"/>
      <c r="F849" s="167"/>
      <c r="G849" s="167"/>
      <c r="H849" s="167"/>
      <c r="I849" s="167"/>
    </row>
    <row r="850" spans="1:9">
      <c r="A850" s="283"/>
      <c r="B850" s="167"/>
      <c r="C850" s="167"/>
      <c r="D850" s="167"/>
      <c r="E850" s="167"/>
      <c r="F850" s="167"/>
      <c r="G850" s="167"/>
      <c r="H850" s="167"/>
      <c r="I850" s="167"/>
    </row>
    <row r="851" spans="1:9">
      <c r="A851" s="283"/>
      <c r="B851" s="167"/>
      <c r="C851" s="167"/>
      <c r="D851" s="167"/>
      <c r="E851" s="167"/>
      <c r="F851" s="167"/>
      <c r="G851" s="167"/>
      <c r="H851" s="167"/>
      <c r="I851" s="167"/>
    </row>
    <row r="852" spans="1:9">
      <c r="A852" s="283"/>
      <c r="B852" s="167"/>
      <c r="C852" s="167"/>
      <c r="D852" s="167"/>
      <c r="E852" s="167"/>
      <c r="F852" s="167"/>
      <c r="G852" s="167"/>
      <c r="H852" s="167"/>
      <c r="I852" s="167"/>
    </row>
    <row r="853" spans="1:9">
      <c r="A853" s="283"/>
      <c r="B853" s="167"/>
      <c r="C853" s="167"/>
      <c r="D853" s="167"/>
      <c r="E853" s="167"/>
      <c r="F853" s="167"/>
      <c r="G853" s="167"/>
      <c r="H853" s="167"/>
      <c r="I853" s="167"/>
    </row>
    <row r="854" spans="1:9">
      <c r="A854" s="283"/>
      <c r="B854" s="167"/>
      <c r="C854" s="167"/>
      <c r="D854" s="167"/>
      <c r="E854" s="167"/>
      <c r="F854" s="167"/>
      <c r="G854" s="167"/>
      <c r="H854" s="167"/>
      <c r="I854" s="167"/>
    </row>
    <row r="855" spans="1:9">
      <c r="A855" s="283"/>
      <c r="B855" s="167"/>
      <c r="C855" s="167"/>
      <c r="D855" s="167"/>
      <c r="E855" s="167"/>
      <c r="F855" s="167"/>
      <c r="G855" s="167"/>
      <c r="H855" s="167"/>
      <c r="I855" s="167"/>
    </row>
    <row r="856" spans="1:9">
      <c r="A856" s="283"/>
      <c r="B856" s="167"/>
      <c r="C856" s="167"/>
      <c r="D856" s="167"/>
      <c r="E856" s="167"/>
      <c r="F856" s="167"/>
      <c r="G856" s="167"/>
      <c r="H856" s="167"/>
      <c r="I856" s="167"/>
    </row>
    <row r="857" spans="1:9">
      <c r="A857" s="283"/>
      <c r="B857" s="167"/>
      <c r="C857" s="167"/>
      <c r="D857" s="167"/>
      <c r="E857" s="167"/>
      <c r="F857" s="167"/>
      <c r="G857" s="167"/>
      <c r="H857" s="167"/>
      <c r="I857" s="167"/>
    </row>
    <row r="858" spans="1:9">
      <c r="A858" s="283"/>
      <c r="B858" s="167"/>
      <c r="C858" s="167"/>
      <c r="D858" s="167"/>
      <c r="E858" s="167"/>
      <c r="F858" s="167"/>
      <c r="G858" s="167"/>
      <c r="H858" s="167"/>
      <c r="I858" s="167"/>
    </row>
    <row r="859" spans="1:9">
      <c r="A859" s="283"/>
      <c r="B859" s="167"/>
      <c r="C859" s="167"/>
      <c r="D859" s="167"/>
      <c r="E859" s="167"/>
      <c r="F859" s="167"/>
      <c r="G859" s="167"/>
      <c r="H859" s="167"/>
      <c r="I859" s="167"/>
    </row>
    <row r="860" spans="1:9">
      <c r="A860" s="283"/>
      <c r="B860" s="167"/>
      <c r="C860" s="167"/>
      <c r="D860" s="167"/>
      <c r="E860" s="167"/>
      <c r="F860" s="167"/>
      <c r="G860" s="167"/>
      <c r="H860" s="167"/>
      <c r="I860" s="167"/>
    </row>
    <row r="861" spans="1:9">
      <c r="A861" s="283"/>
      <c r="B861" s="167"/>
      <c r="C861" s="167"/>
      <c r="D861" s="167"/>
      <c r="E861" s="167"/>
      <c r="F861" s="167"/>
      <c r="G861" s="167"/>
      <c r="H861" s="167"/>
      <c r="I861" s="167"/>
    </row>
    <row r="862" spans="1:9">
      <c r="A862" s="283"/>
      <c r="B862" s="167"/>
      <c r="C862" s="167"/>
      <c r="D862" s="167"/>
      <c r="E862" s="167"/>
      <c r="F862" s="167"/>
      <c r="G862" s="167"/>
      <c r="H862" s="167"/>
      <c r="I862" s="167"/>
    </row>
    <row r="863" spans="1:9">
      <c r="A863" s="283"/>
      <c r="B863" s="167"/>
      <c r="C863" s="167"/>
      <c r="D863" s="167"/>
      <c r="E863" s="167"/>
      <c r="F863" s="167"/>
      <c r="G863" s="167"/>
      <c r="H863" s="167"/>
      <c r="I863" s="167"/>
    </row>
    <row r="864" spans="1:9">
      <c r="A864" s="283"/>
      <c r="B864" s="167"/>
      <c r="C864" s="167"/>
      <c r="D864" s="167"/>
      <c r="E864" s="167"/>
      <c r="F864" s="167"/>
      <c r="G864" s="167"/>
      <c r="H864" s="167"/>
      <c r="I864" s="167"/>
    </row>
    <row r="865" spans="1:9">
      <c r="A865" s="283"/>
      <c r="B865" s="167"/>
      <c r="C865" s="167"/>
      <c r="D865" s="167"/>
      <c r="E865" s="167"/>
      <c r="F865" s="167"/>
      <c r="G865" s="167"/>
      <c r="H865" s="167"/>
      <c r="I865" s="167"/>
    </row>
    <row r="866" spans="1:9">
      <c r="A866" s="283"/>
      <c r="B866" s="167"/>
      <c r="C866" s="167"/>
      <c r="D866" s="167"/>
      <c r="E866" s="167"/>
      <c r="F866" s="167"/>
      <c r="G866" s="167"/>
      <c r="H866" s="167"/>
      <c r="I866" s="167"/>
    </row>
    <row r="867" spans="1:9">
      <c r="A867" s="283"/>
      <c r="B867" s="167"/>
      <c r="C867" s="167"/>
      <c r="D867" s="167"/>
      <c r="E867" s="167"/>
      <c r="F867" s="167"/>
      <c r="G867" s="167"/>
      <c r="H867" s="167"/>
      <c r="I867" s="167"/>
    </row>
    <row r="868" spans="1:9">
      <c r="A868" s="283"/>
      <c r="B868" s="167"/>
      <c r="C868" s="167"/>
      <c r="D868" s="167"/>
      <c r="E868" s="167"/>
      <c r="F868" s="167"/>
      <c r="G868" s="167"/>
      <c r="H868" s="167"/>
      <c r="I868" s="167"/>
    </row>
    <row r="869" spans="1:9">
      <c r="A869" s="283"/>
      <c r="B869" s="167"/>
      <c r="C869" s="167"/>
      <c r="D869" s="167"/>
      <c r="E869" s="167"/>
      <c r="F869" s="167"/>
      <c r="G869" s="167"/>
      <c r="H869" s="167"/>
      <c r="I869" s="167"/>
    </row>
    <row r="870" spans="1:9">
      <c r="A870" s="283"/>
      <c r="B870" s="167"/>
      <c r="C870" s="167"/>
      <c r="D870" s="167"/>
      <c r="E870" s="167"/>
      <c r="F870" s="167"/>
      <c r="G870" s="167"/>
      <c r="H870" s="167"/>
      <c r="I870" s="167"/>
    </row>
    <row r="871" spans="1:9">
      <c r="A871" s="283"/>
      <c r="B871" s="167"/>
      <c r="C871" s="167"/>
      <c r="D871" s="167"/>
      <c r="E871" s="167"/>
      <c r="F871" s="167"/>
      <c r="G871" s="167"/>
      <c r="H871" s="167"/>
      <c r="I871" s="167"/>
    </row>
    <row r="872" spans="1:9">
      <c r="A872" s="283"/>
      <c r="B872" s="167"/>
      <c r="C872" s="167"/>
      <c r="D872" s="167"/>
      <c r="E872" s="167"/>
      <c r="F872" s="167"/>
      <c r="G872" s="167"/>
      <c r="H872" s="167"/>
      <c r="I872" s="167"/>
    </row>
    <row r="873" spans="1:9">
      <c r="A873" s="283"/>
      <c r="B873" s="167"/>
      <c r="C873" s="167"/>
      <c r="D873" s="167"/>
      <c r="E873" s="167"/>
      <c r="F873" s="167"/>
      <c r="G873" s="167"/>
      <c r="H873" s="167"/>
      <c r="I873" s="167"/>
    </row>
    <row r="874" spans="1:9">
      <c r="A874" s="283"/>
      <c r="B874" s="167"/>
      <c r="C874" s="167"/>
      <c r="D874" s="167"/>
      <c r="E874" s="167"/>
      <c r="F874" s="167"/>
      <c r="G874" s="167"/>
      <c r="H874" s="167"/>
      <c r="I874" s="167"/>
    </row>
    <row r="875" spans="1:9">
      <c r="A875" s="283"/>
      <c r="B875" s="167"/>
      <c r="C875" s="167"/>
      <c r="D875" s="167"/>
      <c r="E875" s="167"/>
      <c r="F875" s="167"/>
      <c r="G875" s="167"/>
      <c r="H875" s="167"/>
      <c r="I875" s="167"/>
    </row>
    <row r="876" spans="1:9">
      <c r="A876" s="283"/>
      <c r="B876" s="167"/>
      <c r="C876" s="167"/>
      <c r="D876" s="167"/>
      <c r="E876" s="167"/>
      <c r="F876" s="167"/>
      <c r="G876" s="167"/>
      <c r="H876" s="167"/>
      <c r="I876" s="167"/>
    </row>
    <row r="877" spans="1:9">
      <c r="A877" s="283"/>
      <c r="B877" s="167"/>
      <c r="C877" s="167"/>
      <c r="D877" s="167"/>
      <c r="E877" s="167"/>
      <c r="F877" s="167"/>
      <c r="G877" s="167"/>
      <c r="H877" s="167"/>
      <c r="I877" s="167"/>
    </row>
    <row r="878" spans="1:9">
      <c r="A878" s="283"/>
      <c r="B878" s="167"/>
      <c r="C878" s="167"/>
      <c r="D878" s="167"/>
      <c r="E878" s="167"/>
      <c r="F878" s="167"/>
      <c r="G878" s="167"/>
      <c r="H878" s="167"/>
      <c r="I878" s="167"/>
    </row>
    <row r="879" spans="1:9">
      <c r="A879" s="283"/>
      <c r="B879" s="167"/>
      <c r="C879" s="167"/>
      <c r="D879" s="167"/>
      <c r="E879" s="167"/>
      <c r="F879" s="167"/>
      <c r="G879" s="167"/>
      <c r="H879" s="167"/>
      <c r="I879" s="167"/>
    </row>
    <row r="880" spans="1:9">
      <c r="A880" s="283"/>
      <c r="B880" s="167"/>
      <c r="C880" s="167"/>
      <c r="D880" s="167"/>
      <c r="E880" s="167"/>
      <c r="F880" s="167"/>
      <c r="G880" s="167"/>
      <c r="H880" s="167"/>
      <c r="I880" s="167"/>
    </row>
    <row r="881" spans="1:9">
      <c r="A881" s="283"/>
      <c r="B881" s="167"/>
      <c r="C881" s="167"/>
      <c r="D881" s="167"/>
      <c r="E881" s="167"/>
      <c r="F881" s="167"/>
      <c r="G881" s="167"/>
      <c r="H881" s="167"/>
      <c r="I881" s="167"/>
    </row>
    <row r="882" spans="1:9">
      <c r="A882" s="283"/>
      <c r="B882" s="167"/>
      <c r="C882" s="167"/>
      <c r="D882" s="167"/>
      <c r="E882" s="167"/>
      <c r="F882" s="167"/>
      <c r="G882" s="167"/>
      <c r="H882" s="167"/>
      <c r="I882" s="167"/>
    </row>
    <row r="883" spans="1:9">
      <c r="A883" s="283"/>
      <c r="B883" s="167"/>
      <c r="C883" s="167"/>
      <c r="D883" s="167"/>
      <c r="E883" s="167"/>
      <c r="F883" s="167"/>
      <c r="G883" s="167"/>
      <c r="H883" s="167"/>
      <c r="I883" s="167"/>
    </row>
    <row r="884" spans="1:9">
      <c r="A884" s="283"/>
      <c r="B884" s="167"/>
      <c r="C884" s="167"/>
      <c r="D884" s="167"/>
      <c r="E884" s="167"/>
      <c r="F884" s="167"/>
      <c r="G884" s="167"/>
      <c r="H884" s="167"/>
      <c r="I884" s="167"/>
    </row>
    <row r="885" spans="1:9">
      <c r="A885" s="283"/>
      <c r="B885" s="167"/>
      <c r="C885" s="167"/>
      <c r="D885" s="167"/>
      <c r="E885" s="167"/>
      <c r="F885" s="167"/>
      <c r="G885" s="167"/>
      <c r="H885" s="167"/>
      <c r="I885" s="167"/>
    </row>
    <row r="886" spans="1:9">
      <c r="A886" s="283"/>
      <c r="B886" s="167"/>
      <c r="C886" s="167"/>
      <c r="D886" s="167"/>
      <c r="E886" s="167"/>
      <c r="F886" s="167"/>
      <c r="G886" s="167"/>
      <c r="H886" s="167"/>
      <c r="I886" s="167"/>
    </row>
    <row r="887" spans="1:9">
      <c r="A887" s="283"/>
      <c r="B887" s="167"/>
      <c r="C887" s="167"/>
      <c r="D887" s="167"/>
      <c r="E887" s="167"/>
      <c r="F887" s="167"/>
      <c r="G887" s="167"/>
      <c r="H887" s="167"/>
      <c r="I887" s="167"/>
    </row>
    <row r="888" spans="1:9">
      <c r="A888" s="283"/>
      <c r="B888" s="167"/>
      <c r="C888" s="167"/>
      <c r="D888" s="167"/>
      <c r="E888" s="167"/>
      <c r="F888" s="167"/>
      <c r="G888" s="167"/>
      <c r="H888" s="167"/>
      <c r="I888" s="167"/>
    </row>
    <row r="889" spans="1:9">
      <c r="A889" s="283"/>
      <c r="B889" s="167"/>
      <c r="C889" s="167"/>
      <c r="D889" s="167"/>
      <c r="E889" s="167"/>
      <c r="F889" s="167"/>
      <c r="G889" s="167"/>
      <c r="H889" s="167"/>
      <c r="I889" s="167"/>
    </row>
    <row r="890" spans="1:9">
      <c r="A890" s="283"/>
      <c r="B890" s="167"/>
      <c r="C890" s="167"/>
      <c r="D890" s="167"/>
      <c r="E890" s="167"/>
      <c r="F890" s="167"/>
      <c r="G890" s="167"/>
      <c r="H890" s="167"/>
      <c r="I890" s="167"/>
    </row>
  </sheetData>
  <sheetProtection formatCells="0" formatColumns="0" formatRows="0" insertColumns="0" insertRows="0" insertHyperlinks="0" deleteColumns="0" deleteRows="0" sort="0" autoFilter="0" pivotTables="0"/>
  <mergeCells count="729">
    <mergeCell ref="A482:B482"/>
    <mergeCell ref="A483:B483"/>
    <mergeCell ref="A484:B484"/>
    <mergeCell ref="A485:B485"/>
    <mergeCell ref="A486:B486"/>
    <mergeCell ref="A487:B487"/>
    <mergeCell ref="A488:B488"/>
    <mergeCell ref="A489:B489"/>
    <mergeCell ref="A490:B490"/>
    <mergeCell ref="A473:B473"/>
    <mergeCell ref="A474:B474"/>
    <mergeCell ref="A475:B475"/>
    <mergeCell ref="A476:B476"/>
    <mergeCell ref="A477:B477"/>
    <mergeCell ref="A478:B478"/>
    <mergeCell ref="A479:B479"/>
    <mergeCell ref="A480:B480"/>
    <mergeCell ref="A481:B481"/>
    <mergeCell ref="A464:B464"/>
    <mergeCell ref="A465:B465"/>
    <mergeCell ref="A466:B466"/>
    <mergeCell ref="A467:B467"/>
    <mergeCell ref="A468:B468"/>
    <mergeCell ref="A469:B469"/>
    <mergeCell ref="A470:B470"/>
    <mergeCell ref="A471:B471"/>
    <mergeCell ref="A472:B472"/>
    <mergeCell ref="A455:B455"/>
    <mergeCell ref="A456:B456"/>
    <mergeCell ref="A457:B457"/>
    <mergeCell ref="A458:B458"/>
    <mergeCell ref="A459:B459"/>
    <mergeCell ref="A460:B460"/>
    <mergeCell ref="A461:B461"/>
    <mergeCell ref="A462:B462"/>
    <mergeCell ref="A463:B463"/>
    <mergeCell ref="A446:B446"/>
    <mergeCell ref="A447:B447"/>
    <mergeCell ref="A448:B448"/>
    <mergeCell ref="A449:B449"/>
    <mergeCell ref="A450:B450"/>
    <mergeCell ref="A451:B451"/>
    <mergeCell ref="A452:B452"/>
    <mergeCell ref="A453:B453"/>
    <mergeCell ref="A454:B454"/>
    <mergeCell ref="A437:B437"/>
    <mergeCell ref="A438:B438"/>
    <mergeCell ref="A439:B439"/>
    <mergeCell ref="A440:B440"/>
    <mergeCell ref="A441:B441"/>
    <mergeCell ref="A442:B442"/>
    <mergeCell ref="A443:B443"/>
    <mergeCell ref="A444:B444"/>
    <mergeCell ref="A445:B445"/>
    <mergeCell ref="A428:B428"/>
    <mergeCell ref="A429:B429"/>
    <mergeCell ref="A430:B430"/>
    <mergeCell ref="A431:B431"/>
    <mergeCell ref="A432:B432"/>
    <mergeCell ref="A433:B433"/>
    <mergeCell ref="A434:B434"/>
    <mergeCell ref="A435:B435"/>
    <mergeCell ref="A436:B436"/>
    <mergeCell ref="A419:B419"/>
    <mergeCell ref="A420:B420"/>
    <mergeCell ref="A421:B421"/>
    <mergeCell ref="A422:B422"/>
    <mergeCell ref="A423:B423"/>
    <mergeCell ref="A424:B424"/>
    <mergeCell ref="A425:B425"/>
    <mergeCell ref="A426:B426"/>
    <mergeCell ref="A427:B427"/>
    <mergeCell ref="A410:B410"/>
    <mergeCell ref="A411:B411"/>
    <mergeCell ref="A412:B412"/>
    <mergeCell ref="A413:B413"/>
    <mergeCell ref="A414:B414"/>
    <mergeCell ref="A415:B415"/>
    <mergeCell ref="A416:B416"/>
    <mergeCell ref="A417:B417"/>
    <mergeCell ref="A418:B418"/>
    <mergeCell ref="A401:B401"/>
    <mergeCell ref="A402:B402"/>
    <mergeCell ref="A403:B403"/>
    <mergeCell ref="A404:B404"/>
    <mergeCell ref="A405:B405"/>
    <mergeCell ref="A406:B406"/>
    <mergeCell ref="A407:B407"/>
    <mergeCell ref="A408:B408"/>
    <mergeCell ref="A409:B409"/>
    <mergeCell ref="A392:B392"/>
    <mergeCell ref="A393:B393"/>
    <mergeCell ref="A394:B394"/>
    <mergeCell ref="A395:B395"/>
    <mergeCell ref="A396:B396"/>
    <mergeCell ref="A397:B397"/>
    <mergeCell ref="A398:B398"/>
    <mergeCell ref="A399:B399"/>
    <mergeCell ref="A400:B400"/>
    <mergeCell ref="A383:B383"/>
    <mergeCell ref="A384:B384"/>
    <mergeCell ref="A385:B385"/>
    <mergeCell ref="A386:B386"/>
    <mergeCell ref="A387:B387"/>
    <mergeCell ref="A388:B388"/>
    <mergeCell ref="A389:B389"/>
    <mergeCell ref="A390:B390"/>
    <mergeCell ref="A391:B391"/>
    <mergeCell ref="A374:B374"/>
    <mergeCell ref="A375:B375"/>
    <mergeCell ref="A376:B376"/>
    <mergeCell ref="A377:B377"/>
    <mergeCell ref="A378:B378"/>
    <mergeCell ref="A379:B379"/>
    <mergeCell ref="A380:B380"/>
    <mergeCell ref="A381:B381"/>
    <mergeCell ref="A382:B382"/>
    <mergeCell ref="A365:B365"/>
    <mergeCell ref="A366:B366"/>
    <mergeCell ref="A367:B367"/>
    <mergeCell ref="A368:B368"/>
    <mergeCell ref="A369:B369"/>
    <mergeCell ref="A370:B370"/>
    <mergeCell ref="A371:B371"/>
    <mergeCell ref="A372:B372"/>
    <mergeCell ref="A373:B373"/>
    <mergeCell ref="A356:B356"/>
    <mergeCell ref="A357:B357"/>
    <mergeCell ref="A358:B358"/>
    <mergeCell ref="A359:B359"/>
    <mergeCell ref="A360:B360"/>
    <mergeCell ref="A361:B361"/>
    <mergeCell ref="A362:B362"/>
    <mergeCell ref="A363:B363"/>
    <mergeCell ref="A364:B364"/>
    <mergeCell ref="A347:B347"/>
    <mergeCell ref="A348:B348"/>
    <mergeCell ref="A349:B349"/>
    <mergeCell ref="A350:B350"/>
    <mergeCell ref="A351:B351"/>
    <mergeCell ref="A352:B352"/>
    <mergeCell ref="A353:B353"/>
    <mergeCell ref="A354:B354"/>
    <mergeCell ref="A355:B355"/>
    <mergeCell ref="A338:B338"/>
    <mergeCell ref="A339:B339"/>
    <mergeCell ref="A340:B340"/>
    <mergeCell ref="A341:B341"/>
    <mergeCell ref="A342:B342"/>
    <mergeCell ref="A343:B343"/>
    <mergeCell ref="A344:B344"/>
    <mergeCell ref="A345:B345"/>
    <mergeCell ref="A346:B346"/>
    <mergeCell ref="A329:B329"/>
    <mergeCell ref="A330:B330"/>
    <mergeCell ref="A331:B331"/>
    <mergeCell ref="A332:B332"/>
    <mergeCell ref="A333:B333"/>
    <mergeCell ref="A334:B334"/>
    <mergeCell ref="A335:B335"/>
    <mergeCell ref="A336:B336"/>
    <mergeCell ref="A337:B337"/>
    <mergeCell ref="A277:B277"/>
    <mergeCell ref="A278:B278"/>
    <mergeCell ref="A301:B301"/>
    <mergeCell ref="A306:B306"/>
    <mergeCell ref="A328:B328"/>
    <mergeCell ref="A294:B294"/>
    <mergeCell ref="A293:B293"/>
    <mergeCell ref="A292:B292"/>
    <mergeCell ref="A291:B291"/>
    <mergeCell ref="A290:B290"/>
    <mergeCell ref="A284:B284"/>
    <mergeCell ref="A283:B283"/>
    <mergeCell ref="A282:B282"/>
    <mergeCell ref="A281:B281"/>
    <mergeCell ref="A280:B280"/>
    <mergeCell ref="A289:B289"/>
    <mergeCell ref="A288:B288"/>
    <mergeCell ref="A287:B287"/>
    <mergeCell ref="A286:B286"/>
    <mergeCell ref="A285:B285"/>
    <mergeCell ref="A295:B295"/>
    <mergeCell ref="A300:B300"/>
    <mergeCell ref="A299:B299"/>
    <mergeCell ref="A298:B298"/>
    <mergeCell ref="A801:B801"/>
    <mergeCell ref="A802:B802"/>
    <mergeCell ref="A803:B803"/>
    <mergeCell ref="A804:B804"/>
    <mergeCell ref="A805:B805"/>
    <mergeCell ref="A806:B806"/>
    <mergeCell ref="A807:B807"/>
    <mergeCell ref="A808:B808"/>
    <mergeCell ref="A56:B56"/>
    <mergeCell ref="A57:B57"/>
    <mergeCell ref="A58:B58"/>
    <mergeCell ref="A59:B59"/>
    <mergeCell ref="A60:B60"/>
    <mergeCell ref="A64:B64"/>
    <mergeCell ref="A65:B65"/>
    <mergeCell ref="A94:B94"/>
    <mergeCell ref="A95:B95"/>
    <mergeCell ref="A136:B136"/>
    <mergeCell ref="A146:B146"/>
    <mergeCell ref="A176:B176"/>
    <mergeCell ref="A218:B218"/>
    <mergeCell ref="A231:B231"/>
    <mergeCell ref="A234:B234"/>
    <mergeCell ref="A248:B248"/>
    <mergeCell ref="A792:B792"/>
    <mergeCell ref="A793:B793"/>
    <mergeCell ref="A794:B794"/>
    <mergeCell ref="A795:B795"/>
    <mergeCell ref="A796:B796"/>
    <mergeCell ref="A797:B797"/>
    <mergeCell ref="A798:B798"/>
    <mergeCell ref="A799:B799"/>
    <mergeCell ref="A800:B800"/>
    <mergeCell ref="A783:B783"/>
    <mergeCell ref="A784:B784"/>
    <mergeCell ref="A785:B785"/>
    <mergeCell ref="A786:B786"/>
    <mergeCell ref="A787:B787"/>
    <mergeCell ref="A788:B788"/>
    <mergeCell ref="A789:B789"/>
    <mergeCell ref="A790:B790"/>
    <mergeCell ref="A791:B791"/>
    <mergeCell ref="A774:B774"/>
    <mergeCell ref="A775:B775"/>
    <mergeCell ref="A776:B776"/>
    <mergeCell ref="A777:B777"/>
    <mergeCell ref="A778:B778"/>
    <mergeCell ref="A779:B779"/>
    <mergeCell ref="A780:B780"/>
    <mergeCell ref="A781:B781"/>
    <mergeCell ref="A782:B782"/>
    <mergeCell ref="A765:B765"/>
    <mergeCell ref="A766:B766"/>
    <mergeCell ref="A767:B767"/>
    <mergeCell ref="A768:B768"/>
    <mergeCell ref="A769:B769"/>
    <mergeCell ref="A770:B770"/>
    <mergeCell ref="A771:B771"/>
    <mergeCell ref="A772:B772"/>
    <mergeCell ref="A773:B773"/>
    <mergeCell ref="A756:B756"/>
    <mergeCell ref="A757:B757"/>
    <mergeCell ref="A758:B758"/>
    <mergeCell ref="A759:B759"/>
    <mergeCell ref="A760:B760"/>
    <mergeCell ref="A761:B761"/>
    <mergeCell ref="A762:B762"/>
    <mergeCell ref="A763:B763"/>
    <mergeCell ref="A764:B764"/>
    <mergeCell ref="A747:B747"/>
    <mergeCell ref="A748:B748"/>
    <mergeCell ref="A749:B749"/>
    <mergeCell ref="A750:B750"/>
    <mergeCell ref="A751:B751"/>
    <mergeCell ref="A752:B752"/>
    <mergeCell ref="A753:B753"/>
    <mergeCell ref="A754:B754"/>
    <mergeCell ref="A755:B755"/>
    <mergeCell ref="A738:B738"/>
    <mergeCell ref="A739:B739"/>
    <mergeCell ref="A740:B740"/>
    <mergeCell ref="A741:B741"/>
    <mergeCell ref="A742:B742"/>
    <mergeCell ref="A743:B743"/>
    <mergeCell ref="A744:B744"/>
    <mergeCell ref="A745:B745"/>
    <mergeCell ref="A746:B746"/>
    <mergeCell ref="A729:B729"/>
    <mergeCell ref="A730:B730"/>
    <mergeCell ref="A731:B731"/>
    <mergeCell ref="A732:B732"/>
    <mergeCell ref="A733:B733"/>
    <mergeCell ref="A734:B734"/>
    <mergeCell ref="A735:B735"/>
    <mergeCell ref="A736:B736"/>
    <mergeCell ref="A737:B737"/>
    <mergeCell ref="A720:B720"/>
    <mergeCell ref="A721:B721"/>
    <mergeCell ref="A722:B722"/>
    <mergeCell ref="A723:B723"/>
    <mergeCell ref="A724:B724"/>
    <mergeCell ref="A725:B725"/>
    <mergeCell ref="A726:B726"/>
    <mergeCell ref="A727:B727"/>
    <mergeCell ref="A728:B728"/>
    <mergeCell ref="A711:B711"/>
    <mergeCell ref="A712:B712"/>
    <mergeCell ref="A713:B713"/>
    <mergeCell ref="A714:B714"/>
    <mergeCell ref="A715:B715"/>
    <mergeCell ref="A716:B716"/>
    <mergeCell ref="A717:B717"/>
    <mergeCell ref="A718:B718"/>
    <mergeCell ref="A719:B719"/>
    <mergeCell ref="A702:B702"/>
    <mergeCell ref="A703:B703"/>
    <mergeCell ref="A704:B704"/>
    <mergeCell ref="A705:B705"/>
    <mergeCell ref="A706:B706"/>
    <mergeCell ref="A707:B707"/>
    <mergeCell ref="A708:B708"/>
    <mergeCell ref="A709:B709"/>
    <mergeCell ref="A710:B710"/>
    <mergeCell ref="A693:B693"/>
    <mergeCell ref="A694:B694"/>
    <mergeCell ref="A695:B695"/>
    <mergeCell ref="A696:B696"/>
    <mergeCell ref="A697:B697"/>
    <mergeCell ref="A698:B698"/>
    <mergeCell ref="A699:B699"/>
    <mergeCell ref="A700:B700"/>
    <mergeCell ref="A701:B701"/>
    <mergeCell ref="A684:B684"/>
    <mergeCell ref="A685:B685"/>
    <mergeCell ref="A686:B686"/>
    <mergeCell ref="A687:B687"/>
    <mergeCell ref="A688:B688"/>
    <mergeCell ref="A689:B689"/>
    <mergeCell ref="A690:B690"/>
    <mergeCell ref="A691:B691"/>
    <mergeCell ref="A692:B692"/>
    <mergeCell ref="A675:B675"/>
    <mergeCell ref="A676:B676"/>
    <mergeCell ref="A677:B677"/>
    <mergeCell ref="A678:B678"/>
    <mergeCell ref="A679:B679"/>
    <mergeCell ref="A680:B680"/>
    <mergeCell ref="A681:B681"/>
    <mergeCell ref="A682:B682"/>
    <mergeCell ref="A683:B683"/>
    <mergeCell ref="A666:B666"/>
    <mergeCell ref="A667:B667"/>
    <mergeCell ref="A668:B668"/>
    <mergeCell ref="A669:B669"/>
    <mergeCell ref="A670:B670"/>
    <mergeCell ref="A671:B671"/>
    <mergeCell ref="A672:B672"/>
    <mergeCell ref="A673:B673"/>
    <mergeCell ref="A674:B674"/>
    <mergeCell ref="A657:B657"/>
    <mergeCell ref="A658:B658"/>
    <mergeCell ref="A659:B659"/>
    <mergeCell ref="A660:B660"/>
    <mergeCell ref="A661:B661"/>
    <mergeCell ref="A662:B662"/>
    <mergeCell ref="A663:B663"/>
    <mergeCell ref="A664:B664"/>
    <mergeCell ref="A665:B665"/>
    <mergeCell ref="A648:B648"/>
    <mergeCell ref="A649:B649"/>
    <mergeCell ref="A650:B650"/>
    <mergeCell ref="A651:B651"/>
    <mergeCell ref="A652:B652"/>
    <mergeCell ref="A653:B653"/>
    <mergeCell ref="A654:B654"/>
    <mergeCell ref="A655:B655"/>
    <mergeCell ref="A656:B656"/>
    <mergeCell ref="A639:B639"/>
    <mergeCell ref="A640:B640"/>
    <mergeCell ref="A641:B641"/>
    <mergeCell ref="A642:B642"/>
    <mergeCell ref="A643:B643"/>
    <mergeCell ref="A644:B644"/>
    <mergeCell ref="A645:B645"/>
    <mergeCell ref="A646:B646"/>
    <mergeCell ref="A647:B647"/>
    <mergeCell ref="A630:B630"/>
    <mergeCell ref="A631:B631"/>
    <mergeCell ref="A632:B632"/>
    <mergeCell ref="A633:B633"/>
    <mergeCell ref="A634:B634"/>
    <mergeCell ref="A635:B635"/>
    <mergeCell ref="A636:B636"/>
    <mergeCell ref="A637:B637"/>
    <mergeCell ref="A638:B638"/>
    <mergeCell ref="A621:B621"/>
    <mergeCell ref="A622:B622"/>
    <mergeCell ref="A623:B623"/>
    <mergeCell ref="A624:B624"/>
    <mergeCell ref="A625:B625"/>
    <mergeCell ref="A626:B626"/>
    <mergeCell ref="A627:B627"/>
    <mergeCell ref="A628:B628"/>
    <mergeCell ref="A629:B629"/>
    <mergeCell ref="A612:B612"/>
    <mergeCell ref="A613:B613"/>
    <mergeCell ref="A614:B614"/>
    <mergeCell ref="A615:B615"/>
    <mergeCell ref="A616:B616"/>
    <mergeCell ref="A617:B617"/>
    <mergeCell ref="A618:B618"/>
    <mergeCell ref="A619:B619"/>
    <mergeCell ref="A620:B620"/>
    <mergeCell ref="A603:B603"/>
    <mergeCell ref="A604:B604"/>
    <mergeCell ref="A605:B605"/>
    <mergeCell ref="A606:B606"/>
    <mergeCell ref="A607:B607"/>
    <mergeCell ref="A608:B608"/>
    <mergeCell ref="A609:B609"/>
    <mergeCell ref="A610:B610"/>
    <mergeCell ref="A611:B611"/>
    <mergeCell ref="A594:B594"/>
    <mergeCell ref="A595:B595"/>
    <mergeCell ref="A596:B596"/>
    <mergeCell ref="A597:B597"/>
    <mergeCell ref="A598:B598"/>
    <mergeCell ref="A599:B599"/>
    <mergeCell ref="A600:B600"/>
    <mergeCell ref="A601:B601"/>
    <mergeCell ref="A602:B602"/>
    <mergeCell ref="A585:B585"/>
    <mergeCell ref="A586:B586"/>
    <mergeCell ref="A587:B587"/>
    <mergeCell ref="A588:B588"/>
    <mergeCell ref="A589:B589"/>
    <mergeCell ref="A590:B590"/>
    <mergeCell ref="A591:B591"/>
    <mergeCell ref="A592:B592"/>
    <mergeCell ref="A593:B593"/>
    <mergeCell ref="A576:B576"/>
    <mergeCell ref="A577:B577"/>
    <mergeCell ref="A578:B578"/>
    <mergeCell ref="A579:B579"/>
    <mergeCell ref="A580:B580"/>
    <mergeCell ref="A581:B581"/>
    <mergeCell ref="A582:B582"/>
    <mergeCell ref="A583:B583"/>
    <mergeCell ref="A584:B584"/>
    <mergeCell ref="A567:B567"/>
    <mergeCell ref="A568:B568"/>
    <mergeCell ref="A569:B569"/>
    <mergeCell ref="A570:B570"/>
    <mergeCell ref="A571:B571"/>
    <mergeCell ref="A572:B572"/>
    <mergeCell ref="A573:B573"/>
    <mergeCell ref="A574:B574"/>
    <mergeCell ref="A575:B575"/>
    <mergeCell ref="A558:B558"/>
    <mergeCell ref="A559:B559"/>
    <mergeCell ref="A560:B560"/>
    <mergeCell ref="A561:B561"/>
    <mergeCell ref="A562:B562"/>
    <mergeCell ref="A563:B563"/>
    <mergeCell ref="A564:B564"/>
    <mergeCell ref="A565:B565"/>
    <mergeCell ref="A566:B566"/>
    <mergeCell ref="A549:B549"/>
    <mergeCell ref="A550:B550"/>
    <mergeCell ref="A551:B551"/>
    <mergeCell ref="A552:B552"/>
    <mergeCell ref="A553:B553"/>
    <mergeCell ref="A554:B554"/>
    <mergeCell ref="A555:B555"/>
    <mergeCell ref="A556:B556"/>
    <mergeCell ref="A557:B557"/>
    <mergeCell ref="A540:B540"/>
    <mergeCell ref="A541:B541"/>
    <mergeCell ref="A542:B542"/>
    <mergeCell ref="A543:B543"/>
    <mergeCell ref="A544:B544"/>
    <mergeCell ref="A545:B545"/>
    <mergeCell ref="A546:B546"/>
    <mergeCell ref="A547:B547"/>
    <mergeCell ref="A548:B548"/>
    <mergeCell ref="A531:B531"/>
    <mergeCell ref="A532:B532"/>
    <mergeCell ref="A533:B533"/>
    <mergeCell ref="A534:B534"/>
    <mergeCell ref="A535:B535"/>
    <mergeCell ref="A536:B536"/>
    <mergeCell ref="A537:B537"/>
    <mergeCell ref="A538:B538"/>
    <mergeCell ref="A539:B539"/>
    <mergeCell ref="A522:B522"/>
    <mergeCell ref="A523:B523"/>
    <mergeCell ref="A524:B524"/>
    <mergeCell ref="A525:B525"/>
    <mergeCell ref="A526:B526"/>
    <mergeCell ref="A527:B527"/>
    <mergeCell ref="A528:B528"/>
    <mergeCell ref="A529:B529"/>
    <mergeCell ref="A530:B530"/>
    <mergeCell ref="A48:B48"/>
    <mergeCell ref="A47:B47"/>
    <mergeCell ref="A46:B46"/>
    <mergeCell ref="A45:B45"/>
    <mergeCell ref="A44:B44"/>
    <mergeCell ref="B501:H501"/>
    <mergeCell ref="B815:H815"/>
    <mergeCell ref="B819:H819"/>
    <mergeCell ref="A1:I1"/>
    <mergeCell ref="B315:H315"/>
    <mergeCell ref="B319:H319"/>
    <mergeCell ref="B497:H497"/>
    <mergeCell ref="A2:I2"/>
    <mergeCell ref="A38:B38"/>
    <mergeCell ref="A39:B39"/>
    <mergeCell ref="A40:B40"/>
    <mergeCell ref="A41:B41"/>
    <mergeCell ref="A43:B43"/>
    <mergeCell ref="A42:B42"/>
    <mergeCell ref="A50:B50"/>
    <mergeCell ref="A49:B49"/>
    <mergeCell ref="A54:B54"/>
    <mergeCell ref="A53:B53"/>
    <mergeCell ref="A52:B52"/>
    <mergeCell ref="A107:B107"/>
    <mergeCell ref="A51:B51"/>
    <mergeCell ref="A67:B67"/>
    <mergeCell ref="A66:B66"/>
    <mergeCell ref="A63:B63"/>
    <mergeCell ref="A62:B62"/>
    <mergeCell ref="A61:B61"/>
    <mergeCell ref="A68:B68"/>
    <mergeCell ref="A75:B75"/>
    <mergeCell ref="A74:B74"/>
    <mergeCell ref="A73:B73"/>
    <mergeCell ref="A72:B72"/>
    <mergeCell ref="A71:B71"/>
    <mergeCell ref="A70:B70"/>
    <mergeCell ref="A69:B69"/>
    <mergeCell ref="A55:B55"/>
    <mergeCell ref="A77:B77"/>
    <mergeCell ref="A76:B76"/>
    <mergeCell ref="A99:B99"/>
    <mergeCell ref="A98:B98"/>
    <mergeCell ref="A97:B97"/>
    <mergeCell ref="A96:B96"/>
    <mergeCell ref="A93:B93"/>
    <mergeCell ref="A92:B92"/>
    <mergeCell ref="A81:B81"/>
    <mergeCell ref="A80:B80"/>
    <mergeCell ref="A79:B79"/>
    <mergeCell ref="A78:B78"/>
    <mergeCell ref="A83:B83"/>
    <mergeCell ref="A106:B106"/>
    <mergeCell ref="A105:B105"/>
    <mergeCell ref="A104:B104"/>
    <mergeCell ref="A103:B103"/>
    <mergeCell ref="A102:B102"/>
    <mergeCell ref="A101:B101"/>
    <mergeCell ref="A100:B100"/>
    <mergeCell ref="A91:B91"/>
    <mergeCell ref="A90:B90"/>
    <mergeCell ref="A89:B89"/>
    <mergeCell ref="A88:B88"/>
    <mergeCell ref="A87:B87"/>
    <mergeCell ref="A86:B86"/>
    <mergeCell ref="A85:B85"/>
    <mergeCell ref="A84:B84"/>
    <mergeCell ref="A82:B82"/>
    <mergeCell ref="A115:B115"/>
    <mergeCell ref="A114:B114"/>
    <mergeCell ref="A113:B113"/>
    <mergeCell ref="A112:B112"/>
    <mergeCell ref="A111:B111"/>
    <mergeCell ref="A110:B110"/>
    <mergeCell ref="A109:B109"/>
    <mergeCell ref="A108:B108"/>
    <mergeCell ref="A127:B127"/>
    <mergeCell ref="A126:B126"/>
    <mergeCell ref="A125:B125"/>
    <mergeCell ref="A124:B124"/>
    <mergeCell ref="A123:B123"/>
    <mergeCell ref="A122:B122"/>
    <mergeCell ref="A121:B121"/>
    <mergeCell ref="A120:B120"/>
    <mergeCell ref="A119:B119"/>
    <mergeCell ref="A118:B118"/>
    <mergeCell ref="A117:B117"/>
    <mergeCell ref="A116:B116"/>
    <mergeCell ref="A134:B134"/>
    <mergeCell ref="A133:B133"/>
    <mergeCell ref="A132:B132"/>
    <mergeCell ref="A131:B131"/>
    <mergeCell ref="A130:B130"/>
    <mergeCell ref="A129:B129"/>
    <mergeCell ref="A128:B128"/>
    <mergeCell ref="A147:B147"/>
    <mergeCell ref="A145:B145"/>
    <mergeCell ref="A144:B144"/>
    <mergeCell ref="A143:B143"/>
    <mergeCell ref="A142:B142"/>
    <mergeCell ref="A141:B141"/>
    <mergeCell ref="A140:B140"/>
    <mergeCell ref="A139:B139"/>
    <mergeCell ref="A138:B138"/>
    <mergeCell ref="A137:B137"/>
    <mergeCell ref="A135:B135"/>
    <mergeCell ref="A155:B155"/>
    <mergeCell ref="A154:B154"/>
    <mergeCell ref="A153:B153"/>
    <mergeCell ref="A152:B152"/>
    <mergeCell ref="A151:B151"/>
    <mergeCell ref="A150:B150"/>
    <mergeCell ref="A172:B172"/>
    <mergeCell ref="A171:B171"/>
    <mergeCell ref="A181:B181"/>
    <mergeCell ref="A180:B180"/>
    <mergeCell ref="A179:B179"/>
    <mergeCell ref="A178:B178"/>
    <mergeCell ref="A177:B177"/>
    <mergeCell ref="A174:B174"/>
    <mergeCell ref="A173:B173"/>
    <mergeCell ref="A164:B164"/>
    <mergeCell ref="A163:B163"/>
    <mergeCell ref="A162:B162"/>
    <mergeCell ref="A161:B161"/>
    <mergeCell ref="A160:B160"/>
    <mergeCell ref="A159:B159"/>
    <mergeCell ref="A158:B158"/>
    <mergeCell ref="A157:B157"/>
    <mergeCell ref="A156:B156"/>
    <mergeCell ref="A149:B149"/>
    <mergeCell ref="A148:B148"/>
    <mergeCell ref="A206:B206"/>
    <mergeCell ref="A205:B205"/>
    <mergeCell ref="A204:B204"/>
    <mergeCell ref="A203:B203"/>
    <mergeCell ref="A202:B202"/>
    <mergeCell ref="A165:B165"/>
    <mergeCell ref="A191:B191"/>
    <mergeCell ref="A190:B190"/>
    <mergeCell ref="A189:B189"/>
    <mergeCell ref="A188:B188"/>
    <mergeCell ref="A187:B187"/>
    <mergeCell ref="A186:B186"/>
    <mergeCell ref="A185:B185"/>
    <mergeCell ref="A184:B184"/>
    <mergeCell ref="A183:B183"/>
    <mergeCell ref="A182:B182"/>
    <mergeCell ref="A170:B170"/>
    <mergeCell ref="A169:B169"/>
    <mergeCell ref="A168:B168"/>
    <mergeCell ref="A167:B167"/>
    <mergeCell ref="A166:B166"/>
    <mergeCell ref="A175:B175"/>
    <mergeCell ref="A196:B196"/>
    <mergeCell ref="A195:B195"/>
    <mergeCell ref="A194:B194"/>
    <mergeCell ref="A193:B193"/>
    <mergeCell ref="A192:B192"/>
    <mergeCell ref="A201:B201"/>
    <mergeCell ref="A200:B200"/>
    <mergeCell ref="A199:B199"/>
    <mergeCell ref="A198:B198"/>
    <mergeCell ref="A197:B197"/>
    <mergeCell ref="A207:B207"/>
    <mergeCell ref="A228:B228"/>
    <mergeCell ref="A227:B227"/>
    <mergeCell ref="A226:B226"/>
    <mergeCell ref="A225:B225"/>
    <mergeCell ref="A224:B224"/>
    <mergeCell ref="A223:B223"/>
    <mergeCell ref="A222:B222"/>
    <mergeCell ref="A221:B221"/>
    <mergeCell ref="A220:B220"/>
    <mergeCell ref="A219:B219"/>
    <mergeCell ref="A212:B212"/>
    <mergeCell ref="A211:B211"/>
    <mergeCell ref="A210:B210"/>
    <mergeCell ref="A209:B209"/>
    <mergeCell ref="A208:B208"/>
    <mergeCell ref="A217:B217"/>
    <mergeCell ref="A216:B216"/>
    <mergeCell ref="A215:B215"/>
    <mergeCell ref="A214:B214"/>
    <mergeCell ref="A213:B213"/>
    <mergeCell ref="A229:B229"/>
    <mergeCell ref="A253:B253"/>
    <mergeCell ref="A252:B252"/>
    <mergeCell ref="A251:B251"/>
    <mergeCell ref="A250:B250"/>
    <mergeCell ref="A249:B249"/>
    <mergeCell ref="A247:B247"/>
    <mergeCell ref="A246:B246"/>
    <mergeCell ref="A245:B245"/>
    <mergeCell ref="A244:B244"/>
    <mergeCell ref="A243:B243"/>
    <mergeCell ref="A237:B237"/>
    <mergeCell ref="A236:B236"/>
    <mergeCell ref="A235:B235"/>
    <mergeCell ref="A233:B233"/>
    <mergeCell ref="A232:B232"/>
    <mergeCell ref="A242:B242"/>
    <mergeCell ref="A241:B241"/>
    <mergeCell ref="A240:B240"/>
    <mergeCell ref="A239:B239"/>
    <mergeCell ref="A238:B238"/>
    <mergeCell ref="A263:B263"/>
    <mergeCell ref="A262:B262"/>
    <mergeCell ref="A261:B261"/>
    <mergeCell ref="A260:B260"/>
    <mergeCell ref="A273:B273"/>
    <mergeCell ref="A274:B274"/>
    <mergeCell ref="A275:B275"/>
    <mergeCell ref="A276:B276"/>
    <mergeCell ref="A230:B230"/>
    <mergeCell ref="A297:B297"/>
    <mergeCell ref="A296:B296"/>
    <mergeCell ref="A308:B308"/>
    <mergeCell ref="A305:B305"/>
    <mergeCell ref="A304:B304"/>
    <mergeCell ref="A303:B303"/>
    <mergeCell ref="A302:B302"/>
    <mergeCell ref="A307:B307"/>
    <mergeCell ref="A254:B254"/>
    <mergeCell ref="A279:B279"/>
    <mergeCell ref="A272:B272"/>
    <mergeCell ref="A271:B271"/>
    <mergeCell ref="A270:B270"/>
    <mergeCell ref="A269:B269"/>
    <mergeCell ref="A268:B268"/>
    <mergeCell ref="A267:B267"/>
    <mergeCell ref="A266:B266"/>
    <mergeCell ref="A265:B265"/>
    <mergeCell ref="A259:B259"/>
    <mergeCell ref="A258:B258"/>
    <mergeCell ref="A257:B257"/>
    <mergeCell ref="A256:B256"/>
    <mergeCell ref="A255:B255"/>
    <mergeCell ref="A264:B264"/>
  </mergeCells>
  <phoneticPr fontId="45" type="noConversion"/>
  <printOptions horizontalCentered="1"/>
  <pageMargins left="0.28000000000000003" right="0.24" top="0.53" bottom="0.5" header="0.5" footer="0.5"/>
  <pageSetup scale="36" fitToHeight="10" orientation="portrait" r:id="rId1"/>
  <headerFooter alignWithMargins="0">
    <oddHeader>&amp;RPage &amp;P of &amp;N</oddHeader>
  </headerFooter>
  <rowBreaks count="7" manualBreakCount="7">
    <brk id="114" max="8" man="1"/>
    <brk id="220" max="8" man="1"/>
    <brk id="323" max="8" man="1"/>
    <brk id="423" max="8" man="1"/>
    <brk id="517" max="8" man="1"/>
    <brk id="619" max="8" man="1"/>
    <brk id="729" max="8" man="1"/>
  </rowBreaks>
</worksheet>
</file>

<file path=xl/worksheets/sheet3.xml><?xml version="1.0" encoding="utf-8"?>
<worksheet xmlns="http://schemas.openxmlformats.org/spreadsheetml/2006/main" xmlns:r="http://schemas.openxmlformats.org/officeDocument/2006/relationships">
  <sheetPr codeName="Sheet2"/>
  <dimension ref="A1:J869"/>
  <sheetViews>
    <sheetView view="pageBreakPreview" zoomScale="70" zoomScaleNormal="70" zoomScaleSheetLayoutView="70" workbookViewId="0">
      <selection sqref="A1:I1"/>
    </sheetView>
  </sheetViews>
  <sheetFormatPr defaultColWidth="16.125" defaultRowHeight="12.9"/>
  <cols>
    <col min="1" max="1" width="39.25" style="162" customWidth="1"/>
    <col min="2" max="2" width="36.25" customWidth="1"/>
    <col min="3" max="3" width="1.75" customWidth="1"/>
    <col min="4" max="5" width="17.125" bestFit="1" customWidth="1"/>
    <col min="6" max="8" width="16.125" customWidth="1"/>
    <col min="9" max="9" width="89.25" customWidth="1"/>
  </cols>
  <sheetData>
    <row r="1" spans="1:9" ht="18.350000000000001">
      <c r="A1" s="1160" t="s">
        <v>101</v>
      </c>
      <c r="B1" s="1160"/>
      <c r="C1" s="1160"/>
      <c r="D1" s="1160"/>
      <c r="E1" s="1160"/>
      <c r="F1" s="1160"/>
      <c r="G1" s="1160"/>
      <c r="H1" s="1160"/>
      <c r="I1" s="1160"/>
    </row>
    <row r="2" spans="1:9" ht="18.350000000000001">
      <c r="A2" s="1160" t="s">
        <v>880</v>
      </c>
      <c r="B2" s="1160"/>
      <c r="C2" s="1160"/>
      <c r="D2" s="1160"/>
      <c r="E2" s="1160"/>
      <c r="F2" s="1160"/>
      <c r="G2" s="1160"/>
      <c r="H2" s="1160"/>
      <c r="I2" s="1160"/>
    </row>
    <row r="3" spans="1:9" ht="15.65">
      <c r="A3" s="1092" t="s">
        <v>1684</v>
      </c>
      <c r="B3" s="314"/>
      <c r="C3" s="314"/>
      <c r="D3" s="314"/>
      <c r="E3" s="314"/>
      <c r="F3" s="314"/>
      <c r="G3" s="314"/>
      <c r="H3" s="314"/>
      <c r="I3" s="314"/>
    </row>
    <row r="4" spans="1:9" ht="13.6">
      <c r="B4" s="314"/>
      <c r="C4" s="314"/>
      <c r="D4" s="314"/>
      <c r="E4" s="314"/>
      <c r="F4" s="178" t="s">
        <v>722</v>
      </c>
      <c r="G4" s="314"/>
      <c r="H4" s="314"/>
      <c r="I4" s="744"/>
    </row>
    <row r="5" spans="1:9">
      <c r="A5" s="282"/>
      <c r="B5" s="125"/>
      <c r="C5" s="125"/>
      <c r="D5" s="125"/>
      <c r="E5" s="125"/>
      <c r="F5" s="125"/>
      <c r="G5" s="125"/>
      <c r="H5" s="172"/>
      <c r="I5" s="125"/>
    </row>
    <row r="6" spans="1:9" ht="13.6">
      <c r="A6" s="282"/>
      <c r="B6" s="125"/>
      <c r="C6" s="125"/>
      <c r="D6" s="125"/>
      <c r="E6" s="178" t="s">
        <v>321</v>
      </c>
      <c r="F6" s="178"/>
      <c r="G6" s="125"/>
      <c r="H6" s="178"/>
      <c r="I6" s="167"/>
    </row>
    <row r="7" spans="1:9" ht="13.6">
      <c r="A7" s="282"/>
      <c r="B7" s="125"/>
      <c r="C7" s="125"/>
      <c r="D7" s="125"/>
      <c r="E7" s="178" t="s">
        <v>312</v>
      </c>
      <c r="F7" s="178" t="s">
        <v>317</v>
      </c>
      <c r="G7" s="178" t="s">
        <v>319</v>
      </c>
      <c r="H7" s="178" t="s">
        <v>813</v>
      </c>
      <c r="I7" s="139"/>
    </row>
    <row r="8" spans="1:9" ht="13.6">
      <c r="A8" s="282"/>
      <c r="B8" s="125"/>
      <c r="C8" s="125"/>
      <c r="D8" s="125"/>
      <c r="E8" s="178" t="s">
        <v>318</v>
      </c>
      <c r="F8" s="178" t="s">
        <v>318</v>
      </c>
      <c r="G8" s="178" t="s">
        <v>318</v>
      </c>
      <c r="H8" s="178" t="s">
        <v>326</v>
      </c>
      <c r="I8" s="139"/>
    </row>
    <row r="9" spans="1:9" ht="13.6">
      <c r="A9" s="282"/>
      <c r="B9" s="125"/>
      <c r="C9" s="125"/>
      <c r="D9" s="125"/>
      <c r="E9" s="125"/>
      <c r="F9" s="125"/>
      <c r="G9" s="125"/>
      <c r="H9" s="125"/>
      <c r="I9" s="139"/>
    </row>
    <row r="10" spans="1:9">
      <c r="A10" s="282"/>
      <c r="B10" s="125"/>
      <c r="C10" s="125"/>
      <c r="D10" s="125"/>
      <c r="E10" s="125"/>
      <c r="F10" s="125"/>
      <c r="G10" s="125"/>
      <c r="H10" s="125"/>
      <c r="I10" s="167"/>
    </row>
    <row r="11" spans="1:9" ht="14.3">
      <c r="A11" s="282"/>
      <c r="B11" s="745" t="s">
        <v>314</v>
      </c>
      <c r="C11" s="745"/>
      <c r="D11" s="125"/>
      <c r="E11" s="673">
        <f>+F491</f>
        <v>-890469.77261521225</v>
      </c>
      <c r="F11" s="673">
        <f>+G491</f>
        <v>-104748.04300000001</v>
      </c>
      <c r="G11" s="673">
        <f>+H491</f>
        <v>-76794.87000000001</v>
      </c>
      <c r="H11" s="674"/>
      <c r="I11" s="125"/>
    </row>
    <row r="12" spans="1:9" ht="14.3">
      <c r="A12" s="282"/>
      <c r="B12" s="745" t="s">
        <v>315</v>
      </c>
      <c r="C12" s="745"/>
      <c r="D12" s="125"/>
      <c r="E12" s="673">
        <f>+F809</f>
        <v>0</v>
      </c>
      <c r="F12" s="673">
        <f>+G809</f>
        <v>-4593.0010000000002</v>
      </c>
      <c r="G12" s="673">
        <f>+H809</f>
        <v>-1567.3760000000002</v>
      </c>
      <c r="H12" s="674"/>
      <c r="I12" s="125"/>
    </row>
    <row r="13" spans="1:9" ht="14.3">
      <c r="A13" s="282"/>
      <c r="B13" s="745" t="s">
        <v>313</v>
      </c>
      <c r="C13" s="745"/>
      <c r="D13" s="125"/>
      <c r="E13" s="673">
        <f>+F307</f>
        <v>8614.7829999999994</v>
      </c>
      <c r="F13" s="673">
        <f>+G307</f>
        <v>221674.07199999996</v>
      </c>
      <c r="G13" s="673">
        <f>+H307</f>
        <v>87844.849000000002</v>
      </c>
      <c r="H13" s="674"/>
      <c r="I13" s="183"/>
    </row>
    <row r="14" spans="1:9" ht="14.3">
      <c r="A14" s="282"/>
      <c r="B14" s="745" t="s">
        <v>856</v>
      </c>
      <c r="C14" s="745"/>
      <c r="D14" s="125"/>
      <c r="E14" s="673">
        <f>SUM(E11:E13)</f>
        <v>-881854.98961521219</v>
      </c>
      <c r="F14" s="673">
        <f>SUM(F11:F13)</f>
        <v>112333.02799999995</v>
      </c>
      <c r="G14" s="673">
        <f>SUM(G11:G13)</f>
        <v>9482.6029999999882</v>
      </c>
      <c r="H14" s="674"/>
      <c r="I14" s="183"/>
    </row>
    <row r="15" spans="1:9" ht="14.3">
      <c r="A15" s="282"/>
      <c r="B15" s="745" t="s">
        <v>723</v>
      </c>
      <c r="C15" s="745"/>
      <c r="D15" s="125"/>
      <c r="E15" s="674"/>
      <c r="F15" s="674"/>
      <c r="G15" s="786">
        <f>'ATT1 - ADIT'!G15</f>
        <v>7.4610569211962935E-2</v>
      </c>
      <c r="H15" s="790"/>
      <c r="I15" s="125"/>
    </row>
    <row r="16" spans="1:9" ht="14.3">
      <c r="A16" s="282"/>
      <c r="B16" s="745" t="s">
        <v>612</v>
      </c>
      <c r="C16" s="745"/>
      <c r="D16" s="125"/>
      <c r="E16" s="674"/>
      <c r="F16" s="786">
        <f>'ATT1 - ADIT'!F16</f>
        <v>0.17746429425606966</v>
      </c>
      <c r="G16" s="674"/>
      <c r="H16" s="674"/>
      <c r="I16" s="125"/>
    </row>
    <row r="17" spans="1:10" ht="14.3">
      <c r="A17" s="282"/>
      <c r="B17" s="745" t="s">
        <v>1825</v>
      </c>
      <c r="C17" s="745"/>
      <c r="D17" s="125"/>
      <c r="E17" s="673">
        <f>+E14</f>
        <v>-881854.98961521219</v>
      </c>
      <c r="F17" s="673">
        <f>+F16*F14</f>
        <v>19935.101535667302</v>
      </c>
      <c r="G17" s="673">
        <f>+G15*G14</f>
        <v>707.50240744106645</v>
      </c>
      <c r="H17" s="673">
        <f>SUM(E17:G17)</f>
        <v>-861212.38567210385</v>
      </c>
      <c r="I17" s="125"/>
    </row>
    <row r="18" spans="1:10" ht="14.3">
      <c r="A18" s="282"/>
      <c r="B18" s="745"/>
      <c r="C18" s="745"/>
      <c r="D18" s="125"/>
      <c r="E18" s="673"/>
      <c r="F18" s="673"/>
      <c r="G18" s="673"/>
      <c r="H18" s="673"/>
      <c r="I18" s="125"/>
    </row>
    <row r="19" spans="1:10" ht="14.3">
      <c r="C19" s="125"/>
      <c r="D19" s="125"/>
      <c r="E19" s="674"/>
      <c r="F19" s="674"/>
      <c r="G19" s="674"/>
      <c r="H19" s="1131" t="s">
        <v>1828</v>
      </c>
      <c r="I19" s="125"/>
    </row>
    <row r="20" spans="1:10" ht="13.6">
      <c r="A20" s="282"/>
      <c r="B20" s="1129" t="s">
        <v>1887</v>
      </c>
      <c r="C20" s="125"/>
      <c r="D20" s="125"/>
      <c r="E20" s="674"/>
      <c r="F20" s="674"/>
      <c r="G20" s="674"/>
      <c r="H20" s="674"/>
      <c r="I20" s="125"/>
    </row>
    <row r="21" spans="1:10" ht="14.3">
      <c r="A21" s="125"/>
      <c r="B21" s="746"/>
      <c r="C21" s="746"/>
      <c r="D21" s="167"/>
      <c r="E21" s="673"/>
      <c r="F21" s="675"/>
      <c r="G21" s="674"/>
      <c r="H21" s="674"/>
      <c r="I21" s="139"/>
    </row>
    <row r="22" spans="1:10" ht="13.6">
      <c r="A22" s="282"/>
      <c r="B22" s="125"/>
      <c r="C22" s="125"/>
      <c r="D22" s="125"/>
      <c r="E22" s="674"/>
      <c r="F22" s="674"/>
      <c r="G22" s="674"/>
      <c r="H22" s="674"/>
      <c r="I22" s="125"/>
    </row>
    <row r="23" spans="1:10">
      <c r="A23" s="282" t="s">
        <v>488</v>
      </c>
      <c r="B23" s="125"/>
      <c r="C23" s="125"/>
      <c r="D23" s="125"/>
      <c r="E23" s="125"/>
      <c r="F23" s="125"/>
      <c r="G23" s="125"/>
      <c r="H23" s="125"/>
      <c r="I23" s="125"/>
    </row>
    <row r="24" spans="1:10">
      <c r="A24" s="282" t="s">
        <v>826</v>
      </c>
      <c r="B24" s="125"/>
      <c r="C24" s="125"/>
      <c r="D24" s="125"/>
      <c r="E24" s="125"/>
      <c r="F24" s="125"/>
      <c r="G24" s="125"/>
      <c r="H24" s="125"/>
      <c r="I24" s="125"/>
    </row>
    <row r="25" spans="1:10" ht="15.65">
      <c r="A25" s="282"/>
      <c r="B25" s="186"/>
      <c r="C25" s="186"/>
      <c r="D25" s="186"/>
      <c r="E25" s="186"/>
      <c r="F25" s="186"/>
      <c r="G25" s="186"/>
      <c r="H25" s="186"/>
      <c r="I25" s="125"/>
    </row>
    <row r="26" spans="1:10" ht="13.6">
      <c r="A26" s="203" t="s">
        <v>116</v>
      </c>
      <c r="B26" s="125"/>
      <c r="C26" s="125"/>
      <c r="D26" s="125"/>
      <c r="E26" s="125"/>
      <c r="F26" s="125"/>
      <c r="G26" s="125"/>
      <c r="H26" s="172"/>
      <c r="I26" s="125"/>
    </row>
    <row r="27" spans="1:10" ht="13.6">
      <c r="A27" s="178" t="s">
        <v>632</v>
      </c>
      <c r="B27" s="178"/>
      <c r="C27" s="178"/>
      <c r="D27" s="1050" t="s">
        <v>814</v>
      </c>
      <c r="E27" s="1050" t="s">
        <v>610</v>
      </c>
      <c r="F27" s="1050" t="s">
        <v>633</v>
      </c>
      <c r="G27" s="1050" t="s">
        <v>631</v>
      </c>
      <c r="H27" s="1050" t="s">
        <v>419</v>
      </c>
      <c r="I27" s="1050" t="s">
        <v>634</v>
      </c>
    </row>
    <row r="28" spans="1:10" ht="13.6">
      <c r="A28" s="314"/>
      <c r="B28" s="1051"/>
      <c r="C28" s="1051"/>
      <c r="D28" s="178" t="s">
        <v>813</v>
      </c>
      <c r="E28" s="178" t="s">
        <v>160</v>
      </c>
      <c r="F28" s="178" t="s">
        <v>321</v>
      </c>
      <c r="G28" s="178"/>
      <c r="H28" s="178"/>
      <c r="I28" s="167"/>
    </row>
    <row r="29" spans="1:10" ht="14.3">
      <c r="A29" s="715" t="s">
        <v>313</v>
      </c>
      <c r="B29" s="1051"/>
      <c r="C29" s="1051"/>
      <c r="D29" s="178"/>
      <c r="E29" s="178" t="s">
        <v>320</v>
      </c>
      <c r="F29" s="178" t="s">
        <v>312</v>
      </c>
      <c r="G29" s="178" t="s">
        <v>317</v>
      </c>
      <c r="H29" s="178" t="s">
        <v>319</v>
      </c>
      <c r="I29" s="167"/>
    </row>
    <row r="30" spans="1:10" ht="13.6">
      <c r="A30" s="282"/>
      <c r="B30" s="125"/>
      <c r="C30" s="125"/>
      <c r="D30" s="178"/>
      <c r="E30" s="178" t="s">
        <v>318</v>
      </c>
      <c r="F30" s="178" t="s">
        <v>318</v>
      </c>
      <c r="G30" s="178" t="s">
        <v>318</v>
      </c>
      <c r="H30" s="178" t="s">
        <v>318</v>
      </c>
      <c r="I30" s="178" t="s">
        <v>529</v>
      </c>
    </row>
    <row r="31" spans="1:10">
      <c r="A31" s="283"/>
      <c r="B31" s="167"/>
      <c r="C31" s="167"/>
      <c r="D31" s="167"/>
      <c r="E31" s="167"/>
      <c r="F31" s="284"/>
      <c r="G31" s="284"/>
      <c r="H31" s="284"/>
      <c r="I31" s="167"/>
    </row>
    <row r="32" spans="1:10" s="896" customFormat="1" ht="17.149999999999999" customHeight="1">
      <c r="A32" s="1152" t="s">
        <v>737</v>
      </c>
      <c r="B32" s="1153"/>
      <c r="C32" s="676"/>
      <c r="D32" s="897">
        <f t="shared" ref="D32:D95" si="0">SUM(E32:H32)</f>
        <v>-29516.032092500001</v>
      </c>
      <c r="E32" s="899">
        <v>-29516.032092500001</v>
      </c>
      <c r="F32" s="899"/>
      <c r="G32" s="899"/>
      <c r="H32" s="899"/>
      <c r="I32" s="1149" t="s">
        <v>658</v>
      </c>
      <c r="J32" s="898"/>
    </row>
    <row r="33" spans="1:10" s="896" customFormat="1" ht="34" customHeight="1">
      <c r="A33" s="1152" t="s">
        <v>547</v>
      </c>
      <c r="B33" s="1153"/>
      <c r="C33" s="676"/>
      <c r="D33" s="897">
        <f t="shared" si="0"/>
        <v>10095.392</v>
      </c>
      <c r="E33" s="899">
        <v>10095.392</v>
      </c>
      <c r="F33" s="899"/>
      <c r="G33" s="899"/>
      <c r="H33" s="899"/>
      <c r="I33" s="1149" t="s">
        <v>885</v>
      </c>
      <c r="J33" s="898"/>
    </row>
    <row r="34" spans="1:10" s="896" customFormat="1" ht="17.149999999999999" customHeight="1">
      <c r="A34" s="1152" t="s">
        <v>762</v>
      </c>
      <c r="B34" s="1153"/>
      <c r="C34" s="681"/>
      <c r="D34" s="897">
        <f t="shared" si="0"/>
        <v>0</v>
      </c>
      <c r="E34" s="899"/>
      <c r="F34" s="899"/>
      <c r="G34" s="899"/>
      <c r="H34" s="899"/>
      <c r="I34" s="1149" t="s">
        <v>658</v>
      </c>
      <c r="J34" s="898"/>
    </row>
    <row r="35" spans="1:10" s="896" customFormat="1" ht="17.149999999999999" customHeight="1">
      <c r="A35" s="1152" t="s">
        <v>747</v>
      </c>
      <c r="B35" s="1153"/>
      <c r="C35" s="681"/>
      <c r="D35" s="897">
        <f t="shared" si="0"/>
        <v>0</v>
      </c>
      <c r="E35" s="899"/>
      <c r="F35" s="899"/>
      <c r="G35" s="899"/>
      <c r="H35" s="899"/>
      <c r="I35" s="1149" t="s">
        <v>658</v>
      </c>
      <c r="J35" s="898"/>
    </row>
    <row r="36" spans="1:10" s="896" customFormat="1" ht="17.149999999999999" customHeight="1">
      <c r="A36" s="1152" t="s">
        <v>746</v>
      </c>
      <c r="B36" s="1153"/>
      <c r="C36" s="681"/>
      <c r="D36" s="897">
        <f t="shared" si="0"/>
        <v>0</v>
      </c>
      <c r="E36" s="899"/>
      <c r="F36" s="899"/>
      <c r="G36" s="899"/>
      <c r="H36" s="899"/>
      <c r="I36" s="1149" t="s">
        <v>658</v>
      </c>
      <c r="J36" s="898"/>
    </row>
    <row r="37" spans="1:10" s="896" customFormat="1" ht="17.149999999999999" customHeight="1">
      <c r="A37" s="1152" t="s">
        <v>745</v>
      </c>
      <c r="B37" s="1153"/>
      <c r="C37" s="681"/>
      <c r="D37" s="897">
        <f t="shared" si="0"/>
        <v>0</v>
      </c>
      <c r="E37" s="899"/>
      <c r="F37" s="899"/>
      <c r="G37" s="899"/>
      <c r="H37" s="899"/>
      <c r="I37" s="1149" t="s">
        <v>658</v>
      </c>
      <c r="J37" s="898"/>
    </row>
    <row r="38" spans="1:10" s="896" customFormat="1" ht="17.149999999999999" customHeight="1">
      <c r="A38" s="1152" t="s">
        <v>558</v>
      </c>
      <c r="B38" s="1153"/>
      <c r="C38" s="676"/>
      <c r="D38" s="897">
        <f t="shared" si="0"/>
        <v>91372.667000000001</v>
      </c>
      <c r="E38" s="899">
        <v>91372.667000000001</v>
      </c>
      <c r="F38" s="899"/>
      <c r="G38" s="899"/>
      <c r="H38" s="899"/>
      <c r="I38" s="1149" t="s">
        <v>0</v>
      </c>
      <c r="J38" s="898"/>
    </row>
    <row r="39" spans="1:10" s="896" customFormat="1" ht="17.149999999999999" customHeight="1">
      <c r="A39" s="1152" t="s">
        <v>559</v>
      </c>
      <c r="B39" s="1153"/>
      <c r="C39" s="676"/>
      <c r="D39" s="897">
        <f t="shared" si="0"/>
        <v>196279.378</v>
      </c>
      <c r="E39" s="899"/>
      <c r="F39" s="899"/>
      <c r="G39" s="899">
        <v>196279.378</v>
      </c>
      <c r="H39" s="899"/>
      <c r="I39" s="1149" t="s">
        <v>1</v>
      </c>
      <c r="J39" s="898"/>
    </row>
    <row r="40" spans="1:10" s="896" customFormat="1" ht="17.149999999999999" customHeight="1">
      <c r="A40" s="1152" t="s">
        <v>1330</v>
      </c>
      <c r="B40" s="1153"/>
      <c r="C40" s="681"/>
      <c r="D40" s="897">
        <f t="shared" si="0"/>
        <v>7000.0020000000004</v>
      </c>
      <c r="E40" s="899">
        <v>7000.0020000000004</v>
      </c>
      <c r="F40" s="899"/>
      <c r="G40" s="899"/>
      <c r="H40" s="899"/>
      <c r="I40" s="1149" t="s">
        <v>658</v>
      </c>
      <c r="J40" s="898"/>
    </row>
    <row r="41" spans="1:10" s="896" customFormat="1" ht="17.149999999999999" customHeight="1">
      <c r="A41" s="1152" t="s">
        <v>1476</v>
      </c>
      <c r="B41" s="1153"/>
      <c r="C41" s="681"/>
      <c r="D41" s="897">
        <f t="shared" si="0"/>
        <v>3022.5540000000001</v>
      </c>
      <c r="E41" s="899">
        <v>3022.5540000000001</v>
      </c>
      <c r="F41" s="899"/>
      <c r="G41" s="899"/>
      <c r="H41" s="899"/>
      <c r="I41" s="1149" t="s">
        <v>658</v>
      </c>
      <c r="J41" s="898"/>
    </row>
    <row r="42" spans="1:10" s="896" customFormat="1" ht="17.149999999999999" customHeight="1">
      <c r="A42" s="1152" t="s">
        <v>1331</v>
      </c>
      <c r="B42" s="1153"/>
      <c r="C42" s="681"/>
      <c r="D42" s="897">
        <f t="shared" si="0"/>
        <v>444.279</v>
      </c>
      <c r="E42" s="899">
        <v>444.279</v>
      </c>
      <c r="F42" s="899"/>
      <c r="G42" s="899"/>
      <c r="H42" s="899"/>
      <c r="I42" s="1149" t="s">
        <v>658</v>
      </c>
      <c r="J42" s="898"/>
    </row>
    <row r="43" spans="1:10" s="896" customFormat="1" ht="17.149999999999999" customHeight="1">
      <c r="A43" s="1152" t="s">
        <v>1053</v>
      </c>
      <c r="B43" s="1153"/>
      <c r="C43" s="681"/>
      <c r="D43" s="897">
        <f t="shared" si="0"/>
        <v>1380.8977866666701</v>
      </c>
      <c r="E43" s="899">
        <v>1380.8977866666701</v>
      </c>
      <c r="F43" s="899"/>
      <c r="G43" s="899"/>
      <c r="H43" s="899"/>
      <c r="I43" s="1149" t="s">
        <v>658</v>
      </c>
      <c r="J43" s="898"/>
    </row>
    <row r="44" spans="1:10" s="896" customFormat="1" ht="17.149999999999999" customHeight="1">
      <c r="A44" s="1152" t="s">
        <v>735</v>
      </c>
      <c r="B44" s="1153"/>
      <c r="C44" s="681"/>
      <c r="D44" s="897">
        <f t="shared" si="0"/>
        <v>207.45099999999999</v>
      </c>
      <c r="E44" s="899">
        <v>207.45099999999999</v>
      </c>
      <c r="F44" s="899"/>
      <c r="G44" s="899"/>
      <c r="H44" s="899"/>
      <c r="I44" s="1149" t="s">
        <v>658</v>
      </c>
      <c r="J44" s="898"/>
    </row>
    <row r="45" spans="1:10" s="896" customFormat="1" ht="17.149999999999999" customHeight="1">
      <c r="A45" s="1152" t="s">
        <v>752</v>
      </c>
      <c r="B45" s="1153"/>
      <c r="C45" s="681"/>
      <c r="D45" s="897">
        <f t="shared" si="0"/>
        <v>1638.00755</v>
      </c>
      <c r="E45" s="899">
        <v>1638.00755</v>
      </c>
      <c r="F45" s="899"/>
      <c r="G45" s="899"/>
      <c r="H45" s="899"/>
      <c r="I45" s="1149" t="s">
        <v>658</v>
      </c>
      <c r="J45" s="898"/>
    </row>
    <row r="46" spans="1:10" s="896" customFormat="1" ht="17.149999999999999" customHeight="1">
      <c r="A46" s="1152" t="s">
        <v>732</v>
      </c>
      <c r="B46" s="1153"/>
      <c r="C46" s="681"/>
      <c r="D46" s="897">
        <f t="shared" si="0"/>
        <v>19133.837</v>
      </c>
      <c r="E46" s="899">
        <v>19133.837</v>
      </c>
      <c r="F46" s="899"/>
      <c r="G46" s="899"/>
      <c r="H46" s="899"/>
      <c r="I46" s="1149" t="s">
        <v>658</v>
      </c>
      <c r="J46" s="898"/>
    </row>
    <row r="47" spans="1:10" s="896" customFormat="1" ht="17.149999999999999" customHeight="1">
      <c r="A47" s="1152" t="s">
        <v>756</v>
      </c>
      <c r="B47" s="1153"/>
      <c r="C47" s="681"/>
      <c r="D47" s="897">
        <f t="shared" si="0"/>
        <v>71188.504261666705</v>
      </c>
      <c r="E47" s="899">
        <v>71188.504261666705</v>
      </c>
      <c r="F47" s="899"/>
      <c r="G47" s="899"/>
      <c r="H47" s="899"/>
      <c r="I47" s="1149" t="s">
        <v>658</v>
      </c>
      <c r="J47" s="898"/>
    </row>
    <row r="48" spans="1:10" s="896" customFormat="1" ht="17.149999999999999" customHeight="1">
      <c r="A48" s="1152" t="s">
        <v>772</v>
      </c>
      <c r="B48" s="1153"/>
      <c r="C48" s="681"/>
      <c r="D48" s="897">
        <f t="shared" si="0"/>
        <v>0</v>
      </c>
      <c r="E48" s="899">
        <v>0</v>
      </c>
      <c r="F48" s="899"/>
      <c r="G48" s="899"/>
      <c r="H48" s="899"/>
      <c r="I48" s="1149" t="s">
        <v>658</v>
      </c>
      <c r="J48" s="898"/>
    </row>
    <row r="49" spans="1:10" s="896" customFormat="1" ht="17.149999999999999" customHeight="1">
      <c r="A49" s="1152" t="s">
        <v>771</v>
      </c>
      <c r="B49" s="1153"/>
      <c r="C49" s="681"/>
      <c r="D49" s="897">
        <f t="shared" si="0"/>
        <v>0</v>
      </c>
      <c r="E49" s="899">
        <v>0</v>
      </c>
      <c r="F49" s="899"/>
      <c r="G49" s="899"/>
      <c r="H49" s="899"/>
      <c r="I49" s="1149" t="s">
        <v>658</v>
      </c>
      <c r="J49" s="898"/>
    </row>
    <row r="50" spans="1:10" s="896" customFormat="1" ht="17.149999999999999" customHeight="1">
      <c r="A50" s="1152" t="s">
        <v>1614</v>
      </c>
      <c r="B50" s="1153"/>
      <c r="C50" s="681"/>
      <c r="D50" s="897">
        <f t="shared" si="0"/>
        <v>6049.2290000000003</v>
      </c>
      <c r="E50" s="899">
        <v>6049.2290000000003</v>
      </c>
      <c r="F50" s="899"/>
      <c r="G50" s="899"/>
      <c r="H50" s="899"/>
      <c r="I50" s="1149" t="s">
        <v>14</v>
      </c>
      <c r="J50" s="898"/>
    </row>
    <row r="51" spans="1:10" s="896" customFormat="1" ht="17.149999999999999" customHeight="1">
      <c r="A51" s="1152" t="s">
        <v>1615</v>
      </c>
      <c r="B51" s="1153"/>
      <c r="C51" s="681"/>
      <c r="D51" s="897">
        <f t="shared" si="0"/>
        <v>-1918.105</v>
      </c>
      <c r="E51" s="899">
        <v>0</v>
      </c>
      <c r="F51" s="899"/>
      <c r="G51" s="899"/>
      <c r="H51" s="899">
        <v>-1918.105</v>
      </c>
      <c r="I51" s="1149" t="s">
        <v>14</v>
      </c>
      <c r="J51" s="898"/>
    </row>
    <row r="52" spans="1:10" s="896" customFormat="1" ht="17.149999999999999" customHeight="1">
      <c r="A52" s="1152" t="s">
        <v>1616</v>
      </c>
      <c r="B52" s="1153"/>
      <c r="C52" s="681"/>
      <c r="D52" s="897">
        <f t="shared" si="0"/>
        <v>37108.525000000001</v>
      </c>
      <c r="E52" s="899">
        <v>37108.525000000001</v>
      </c>
      <c r="F52" s="899"/>
      <c r="G52" s="899"/>
      <c r="H52" s="899"/>
      <c r="I52" s="1149" t="s">
        <v>14</v>
      </c>
      <c r="J52" s="898"/>
    </row>
    <row r="53" spans="1:10" s="896" customFormat="1" ht="17.149999999999999" customHeight="1">
      <c r="A53" s="1152" t="s">
        <v>1617</v>
      </c>
      <c r="B53" s="1153"/>
      <c r="C53" s="676"/>
      <c r="D53" s="897">
        <f t="shared" si="0"/>
        <v>-9908.4660000000003</v>
      </c>
      <c r="E53" s="899">
        <v>-9908.4660000000003</v>
      </c>
      <c r="F53" s="899"/>
      <c r="G53" s="899"/>
      <c r="H53" s="899"/>
      <c r="I53" s="1149" t="s">
        <v>14</v>
      </c>
      <c r="J53" s="898"/>
    </row>
    <row r="54" spans="1:10" s="896" customFormat="1" ht="17.149999999999999" customHeight="1">
      <c r="A54" s="1152" t="s">
        <v>1618</v>
      </c>
      <c r="B54" s="1153"/>
      <c r="C54" s="681"/>
      <c r="D54" s="897">
        <f t="shared" si="0"/>
        <v>8525.5959999999995</v>
      </c>
      <c r="E54" s="899">
        <v>0</v>
      </c>
      <c r="F54" s="899">
        <v>8525.5959999999995</v>
      </c>
      <c r="G54" s="899"/>
      <c r="H54" s="899"/>
      <c r="I54" s="1149" t="s">
        <v>14</v>
      </c>
      <c r="J54" s="898"/>
    </row>
    <row r="55" spans="1:10" s="896" customFormat="1" ht="17.149999999999999" customHeight="1">
      <c r="A55" s="1152" t="s">
        <v>1054</v>
      </c>
      <c r="B55" s="1153"/>
      <c r="C55" s="681"/>
      <c r="D55" s="897">
        <f t="shared" si="0"/>
        <v>4.0000000000000001E-3</v>
      </c>
      <c r="E55" s="899">
        <v>4.0000000000000001E-3</v>
      </c>
      <c r="F55" s="899"/>
      <c r="G55" s="899"/>
      <c r="H55" s="899"/>
      <c r="I55" s="1149" t="s">
        <v>658</v>
      </c>
      <c r="J55" s="898"/>
    </row>
    <row r="56" spans="1:10" s="896" customFormat="1" ht="17.149999999999999" customHeight="1">
      <c r="A56" s="1152" t="s">
        <v>1055</v>
      </c>
      <c r="B56" s="1153"/>
      <c r="C56" s="681"/>
      <c r="D56" s="897">
        <f t="shared" si="0"/>
        <v>-1E-3</v>
      </c>
      <c r="E56" s="899">
        <v>-1E-3</v>
      </c>
      <c r="F56" s="899"/>
      <c r="G56" s="899"/>
      <c r="H56" s="899"/>
      <c r="I56" s="1149" t="s">
        <v>658</v>
      </c>
      <c r="J56" s="898"/>
    </row>
    <row r="57" spans="1:10" s="896" customFormat="1" ht="17.149999999999999" customHeight="1">
      <c r="A57" s="1152" t="s">
        <v>1452</v>
      </c>
      <c r="B57" s="1153"/>
      <c r="C57" s="681"/>
      <c r="D57" s="897">
        <f t="shared" si="0"/>
        <v>979.63699999999994</v>
      </c>
      <c r="E57" s="899">
        <v>979.63699999999994</v>
      </c>
      <c r="F57" s="899"/>
      <c r="G57" s="899"/>
      <c r="H57" s="899"/>
      <c r="I57" s="1149" t="s">
        <v>658</v>
      </c>
      <c r="J57" s="898"/>
    </row>
    <row r="58" spans="1:10" s="896" customFormat="1" ht="17.149999999999999" customHeight="1">
      <c r="A58" s="1152" t="s">
        <v>1619</v>
      </c>
      <c r="B58" s="1153"/>
      <c r="C58" s="681"/>
      <c r="D58" s="897">
        <f t="shared" si="0"/>
        <v>65041.7</v>
      </c>
      <c r="E58" s="899">
        <v>65041.7</v>
      </c>
      <c r="F58" s="899"/>
      <c r="G58" s="899"/>
      <c r="H58" s="899"/>
      <c r="I58" s="1149" t="s">
        <v>658</v>
      </c>
      <c r="J58" s="898"/>
    </row>
    <row r="59" spans="1:10" s="896" customFormat="1" ht="17.149999999999999" customHeight="1">
      <c r="A59" s="1152" t="s">
        <v>1620</v>
      </c>
      <c r="B59" s="1153"/>
      <c r="C59" s="681"/>
      <c r="D59" s="897">
        <f t="shared" si="0"/>
        <v>880.23400000000004</v>
      </c>
      <c r="E59" s="899">
        <v>880.23400000000004</v>
      </c>
      <c r="F59" s="899"/>
      <c r="G59" s="899"/>
      <c r="H59" s="899"/>
      <c r="I59" s="1149" t="s">
        <v>658</v>
      </c>
      <c r="J59" s="898"/>
    </row>
    <row r="60" spans="1:10" s="896" customFormat="1" ht="34" customHeight="1">
      <c r="A60" s="1152" t="s">
        <v>560</v>
      </c>
      <c r="B60" s="1153"/>
      <c r="C60" s="681"/>
      <c r="D60" s="897">
        <f t="shared" si="0"/>
        <v>0</v>
      </c>
      <c r="E60" s="899">
        <v>0</v>
      </c>
      <c r="F60" s="899"/>
      <c r="G60" s="899"/>
      <c r="H60" s="899"/>
      <c r="I60" s="1149" t="s">
        <v>2</v>
      </c>
      <c r="J60" s="898"/>
    </row>
    <row r="61" spans="1:10" s="896" customFormat="1" ht="17.149999999999999" customHeight="1">
      <c r="A61" s="1152" t="s">
        <v>1397</v>
      </c>
      <c r="B61" s="1153"/>
      <c r="C61" s="681"/>
      <c r="D61" s="897">
        <f t="shared" si="0"/>
        <v>0</v>
      </c>
      <c r="E61" s="899">
        <v>0</v>
      </c>
      <c r="F61" s="899"/>
      <c r="G61" s="899"/>
      <c r="H61" s="899"/>
      <c r="I61" s="1149" t="s">
        <v>658</v>
      </c>
      <c r="J61" s="898"/>
    </row>
    <row r="62" spans="1:10" s="896" customFormat="1" ht="17.149999999999999" customHeight="1">
      <c r="A62" s="1152" t="s">
        <v>733</v>
      </c>
      <c r="B62" s="1153"/>
      <c r="C62" s="681"/>
      <c r="D62" s="897">
        <f t="shared" si="0"/>
        <v>-52.912999999999997</v>
      </c>
      <c r="E62" s="899">
        <v>-52.912999999999997</v>
      </c>
      <c r="F62" s="899"/>
      <c r="G62" s="899"/>
      <c r="H62" s="899"/>
      <c r="I62" s="1149" t="s">
        <v>658</v>
      </c>
      <c r="J62" s="898"/>
    </row>
    <row r="63" spans="1:10" s="896" customFormat="1" ht="17.149999999999999" customHeight="1">
      <c r="A63" s="1152" t="s">
        <v>1477</v>
      </c>
      <c r="B63" s="1153"/>
      <c r="C63" s="681"/>
      <c r="D63" s="897">
        <f t="shared" si="0"/>
        <v>-125.1</v>
      </c>
      <c r="E63" s="899">
        <v>-125.1</v>
      </c>
      <c r="F63" s="899"/>
      <c r="G63" s="899"/>
      <c r="H63" s="899"/>
      <c r="I63" s="1149" t="s">
        <v>658</v>
      </c>
      <c r="J63" s="898"/>
    </row>
    <row r="64" spans="1:10" s="896" customFormat="1" ht="17.149999999999999" customHeight="1">
      <c r="A64" s="1152" t="s">
        <v>1478</v>
      </c>
      <c r="B64" s="1153"/>
      <c r="C64" s="681"/>
      <c r="D64" s="897">
        <f t="shared" si="0"/>
        <v>33.478999999999999</v>
      </c>
      <c r="E64" s="899">
        <v>33.478999999999999</v>
      </c>
      <c r="F64" s="899"/>
      <c r="G64" s="899"/>
      <c r="H64" s="899"/>
      <c r="I64" s="1149" t="s">
        <v>658</v>
      </c>
      <c r="J64" s="898"/>
    </row>
    <row r="65" spans="1:10" s="896" customFormat="1" ht="17.149999999999999" customHeight="1">
      <c r="A65" s="1152" t="s">
        <v>1479</v>
      </c>
      <c r="B65" s="1153"/>
      <c r="C65" s="681"/>
      <c r="D65" s="897">
        <f t="shared" si="0"/>
        <v>106.33499999999999</v>
      </c>
      <c r="E65" s="899">
        <v>106.33499999999999</v>
      </c>
      <c r="F65" s="899"/>
      <c r="G65" s="899"/>
      <c r="H65" s="899"/>
      <c r="I65" s="1149" t="s">
        <v>658</v>
      </c>
      <c r="J65" s="898"/>
    </row>
    <row r="66" spans="1:10" s="896" customFormat="1" ht="17.149999999999999" customHeight="1">
      <c r="A66" s="1152" t="s">
        <v>1480</v>
      </c>
      <c r="B66" s="1153"/>
      <c r="C66" s="676"/>
      <c r="D66" s="897">
        <f t="shared" si="0"/>
        <v>-10.211</v>
      </c>
      <c r="E66" s="899">
        <v>-10.211</v>
      </c>
      <c r="F66" s="899"/>
      <c r="G66" s="899"/>
      <c r="H66" s="899"/>
      <c r="I66" s="1149" t="s">
        <v>658</v>
      </c>
      <c r="J66" s="898"/>
    </row>
    <row r="67" spans="1:10" s="896" customFormat="1" ht="17.149999999999999" customHeight="1">
      <c r="A67" s="1152" t="s">
        <v>1481</v>
      </c>
      <c r="B67" s="1153"/>
      <c r="C67" s="681"/>
      <c r="D67" s="897">
        <f t="shared" si="0"/>
        <v>0</v>
      </c>
      <c r="E67" s="899">
        <v>0</v>
      </c>
      <c r="F67" s="899">
        <v>0</v>
      </c>
      <c r="G67" s="899"/>
      <c r="H67" s="899"/>
      <c r="I67" s="1149" t="s">
        <v>3</v>
      </c>
      <c r="J67" s="898"/>
    </row>
    <row r="68" spans="1:10" s="896" customFormat="1" ht="17.149999999999999" customHeight="1">
      <c r="A68" s="1152" t="s">
        <v>561</v>
      </c>
      <c r="B68" s="1153"/>
      <c r="C68" s="681"/>
      <c r="D68" s="897">
        <f t="shared" si="0"/>
        <v>0</v>
      </c>
      <c r="E68" s="899"/>
      <c r="F68" s="899"/>
      <c r="G68" s="899"/>
      <c r="H68" s="899"/>
      <c r="I68" s="1149" t="s">
        <v>3</v>
      </c>
      <c r="J68" s="898"/>
    </row>
    <row r="69" spans="1:10" s="896" customFormat="1" ht="17.149999999999999" customHeight="1">
      <c r="A69" s="1152" t="s">
        <v>731</v>
      </c>
      <c r="B69" s="1153"/>
      <c r="C69" s="681"/>
      <c r="D69" s="897">
        <f t="shared" si="0"/>
        <v>-736.34</v>
      </c>
      <c r="E69" s="899">
        <v>-736.34</v>
      </c>
      <c r="F69" s="899"/>
      <c r="G69" s="899"/>
      <c r="H69" s="899"/>
      <c r="I69" s="1149" t="s">
        <v>658</v>
      </c>
      <c r="J69" s="898"/>
    </row>
    <row r="70" spans="1:10" s="896" customFormat="1" ht="17.149999999999999" customHeight="1">
      <c r="A70" s="1152" t="s">
        <v>751</v>
      </c>
      <c r="B70" s="1153"/>
      <c r="C70" s="681"/>
      <c r="D70" s="897">
        <f t="shared" si="0"/>
        <v>1916.761</v>
      </c>
      <c r="E70" s="899">
        <v>1916.761</v>
      </c>
      <c r="F70" s="899"/>
      <c r="G70" s="899"/>
      <c r="H70" s="899"/>
      <c r="I70" s="1149" t="s">
        <v>658</v>
      </c>
      <c r="J70" s="898"/>
    </row>
    <row r="71" spans="1:10" s="896" customFormat="1" ht="17.149999999999999" customHeight="1">
      <c r="A71" s="1152" t="s">
        <v>736</v>
      </c>
      <c r="B71" s="1153"/>
      <c r="C71" s="681"/>
      <c r="D71" s="897">
        <f t="shared" si="0"/>
        <v>482.26612</v>
      </c>
      <c r="E71" s="899">
        <v>482.26612</v>
      </c>
      <c r="F71" s="899"/>
      <c r="G71" s="899"/>
      <c r="H71" s="899"/>
      <c r="I71" s="1149" t="s">
        <v>658</v>
      </c>
      <c r="J71" s="898"/>
    </row>
    <row r="72" spans="1:10" s="896" customFormat="1" ht="17.149999999999999" customHeight="1">
      <c r="A72" s="1152" t="s">
        <v>1332</v>
      </c>
      <c r="B72" s="1153"/>
      <c r="C72" s="681"/>
      <c r="D72" s="897">
        <f t="shared" si="0"/>
        <v>2932.6080000000002</v>
      </c>
      <c r="E72" s="899">
        <v>2932.6080000000002</v>
      </c>
      <c r="F72" s="899"/>
      <c r="G72" s="899"/>
      <c r="H72" s="899"/>
      <c r="I72" s="1149" t="s">
        <v>658</v>
      </c>
      <c r="J72" s="898"/>
    </row>
    <row r="73" spans="1:10" s="896" customFormat="1" ht="17.149999999999999" customHeight="1">
      <c r="A73" s="1152" t="s">
        <v>734</v>
      </c>
      <c r="B73" s="1153"/>
      <c r="C73" s="681"/>
      <c r="D73" s="897">
        <f t="shared" si="0"/>
        <v>-5567.1755300000004</v>
      </c>
      <c r="E73" s="899">
        <v>-5567.1755300000004</v>
      </c>
      <c r="F73" s="899"/>
      <c r="G73" s="899"/>
      <c r="H73" s="899"/>
      <c r="I73" s="1149" t="s">
        <v>658</v>
      </c>
      <c r="J73" s="898"/>
    </row>
    <row r="74" spans="1:10" s="896" customFormat="1" ht="17.149999999999999" customHeight="1">
      <c r="A74" s="1152" t="s">
        <v>888</v>
      </c>
      <c r="B74" s="1153"/>
      <c r="C74" s="681"/>
      <c r="D74" s="897">
        <f t="shared" si="0"/>
        <v>0</v>
      </c>
      <c r="E74" s="899"/>
      <c r="F74" s="899"/>
      <c r="G74" s="899"/>
      <c r="H74" s="899"/>
      <c r="I74" s="1149" t="s">
        <v>658</v>
      </c>
      <c r="J74" s="898"/>
    </row>
    <row r="75" spans="1:10" s="896" customFormat="1" ht="17.149999999999999" customHeight="1">
      <c r="A75" s="1152" t="s">
        <v>889</v>
      </c>
      <c r="B75" s="1153"/>
      <c r="C75" s="681"/>
      <c r="D75" s="897">
        <f t="shared" si="0"/>
        <v>0</v>
      </c>
      <c r="E75" s="899"/>
      <c r="F75" s="899"/>
      <c r="G75" s="899"/>
      <c r="H75" s="899"/>
      <c r="I75" s="1149" t="s">
        <v>658</v>
      </c>
      <c r="J75" s="898"/>
    </row>
    <row r="76" spans="1:10" s="896" customFormat="1" ht="17.149999999999999" customHeight="1">
      <c r="A76" s="1152" t="s">
        <v>768</v>
      </c>
      <c r="B76" s="1153"/>
      <c r="C76" s="681"/>
      <c r="D76" s="897">
        <f t="shared" si="0"/>
        <v>0</v>
      </c>
      <c r="E76" s="899"/>
      <c r="F76" s="899"/>
      <c r="G76" s="899"/>
      <c r="H76" s="899"/>
      <c r="I76" s="1149" t="s">
        <v>658</v>
      </c>
      <c r="J76" s="898"/>
    </row>
    <row r="77" spans="1:10" s="896" customFormat="1" ht="17.149999999999999" customHeight="1">
      <c r="A77" s="1152" t="s">
        <v>743</v>
      </c>
      <c r="B77" s="1153"/>
      <c r="C77" s="681"/>
      <c r="D77" s="897">
        <f t="shared" si="0"/>
        <v>0</v>
      </c>
      <c r="E77" s="899"/>
      <c r="F77" s="899"/>
      <c r="G77" s="899"/>
      <c r="H77" s="899"/>
      <c r="I77" s="1149" t="s">
        <v>658</v>
      </c>
      <c r="J77" s="898"/>
    </row>
    <row r="78" spans="1:10" s="896" customFormat="1" ht="17.149999999999999" customHeight="1">
      <c r="A78" s="1152" t="s">
        <v>753</v>
      </c>
      <c r="B78" s="1153"/>
      <c r="C78" s="681"/>
      <c r="D78" s="897">
        <f t="shared" si="0"/>
        <v>0</v>
      </c>
      <c r="E78" s="899"/>
      <c r="F78" s="899"/>
      <c r="G78" s="899"/>
      <c r="H78" s="899"/>
      <c r="I78" s="1149" t="s">
        <v>658</v>
      </c>
      <c r="J78" s="898"/>
    </row>
    <row r="79" spans="1:10" s="896" customFormat="1" ht="17.149999999999999" customHeight="1">
      <c r="A79" s="1152" t="s">
        <v>759</v>
      </c>
      <c r="B79" s="1153"/>
      <c r="C79" s="681"/>
      <c r="D79" s="897">
        <f t="shared" si="0"/>
        <v>0</v>
      </c>
      <c r="E79" s="899"/>
      <c r="F79" s="899"/>
      <c r="G79" s="899"/>
      <c r="H79" s="899"/>
      <c r="I79" s="1149" t="s">
        <v>658</v>
      </c>
      <c r="J79" s="898"/>
    </row>
    <row r="80" spans="1:10" s="896" customFormat="1" ht="17.149999999999999" customHeight="1">
      <c r="A80" s="1152" t="s">
        <v>1056</v>
      </c>
      <c r="B80" s="1153"/>
      <c r="C80" s="681"/>
      <c r="D80" s="897">
        <f t="shared" si="0"/>
        <v>0</v>
      </c>
      <c r="E80" s="899"/>
      <c r="F80" s="899"/>
      <c r="G80" s="899"/>
      <c r="H80" s="899"/>
      <c r="I80" s="1149" t="s">
        <v>658</v>
      </c>
      <c r="J80" s="898"/>
    </row>
    <row r="81" spans="1:10" s="896" customFormat="1" ht="17.149999999999999" customHeight="1">
      <c r="A81" s="1152" t="s">
        <v>767</v>
      </c>
      <c r="B81" s="1153"/>
      <c r="C81" s="681"/>
      <c r="D81" s="897">
        <f t="shared" si="0"/>
        <v>0</v>
      </c>
      <c r="E81" s="899"/>
      <c r="F81" s="899"/>
      <c r="G81" s="899"/>
      <c r="H81" s="899"/>
      <c r="I81" s="1149" t="s">
        <v>658</v>
      </c>
      <c r="J81" s="898"/>
    </row>
    <row r="82" spans="1:10" s="896" customFormat="1" ht="17.149999999999999" customHeight="1">
      <c r="A82" s="1152" t="s">
        <v>1057</v>
      </c>
      <c r="B82" s="1153"/>
      <c r="C82" s="681"/>
      <c r="D82" s="897">
        <f t="shared" si="0"/>
        <v>0</v>
      </c>
      <c r="E82" s="899"/>
      <c r="F82" s="899"/>
      <c r="G82" s="899"/>
      <c r="H82" s="899"/>
      <c r="I82" s="1149" t="s">
        <v>658</v>
      </c>
      <c r="J82" s="898"/>
    </row>
    <row r="83" spans="1:10" s="896" customFormat="1" ht="17.149999999999999" customHeight="1">
      <c r="A83" s="1152" t="s">
        <v>748</v>
      </c>
      <c r="B83" s="1153"/>
      <c r="C83" s="681"/>
      <c r="D83" s="897">
        <f t="shared" si="0"/>
        <v>1780.9439024999999</v>
      </c>
      <c r="E83" s="899">
        <v>1780.9439024999999</v>
      </c>
      <c r="F83" s="899"/>
      <c r="G83" s="899"/>
      <c r="H83" s="899"/>
      <c r="I83" s="1149" t="s">
        <v>658</v>
      </c>
      <c r="J83" s="898"/>
    </row>
    <row r="84" spans="1:10" s="896" customFormat="1" ht="17.149999999999999" customHeight="1">
      <c r="A84" s="1152" t="s">
        <v>744</v>
      </c>
      <c r="B84" s="1153"/>
      <c r="C84" s="681"/>
      <c r="D84" s="897">
        <f t="shared" si="0"/>
        <v>157.5</v>
      </c>
      <c r="E84" s="899">
        <v>157.5</v>
      </c>
      <c r="F84" s="899"/>
      <c r="G84" s="899"/>
      <c r="H84" s="899"/>
      <c r="I84" s="1149" t="s">
        <v>658</v>
      </c>
      <c r="J84" s="898"/>
    </row>
    <row r="85" spans="1:10" s="896" customFormat="1" ht="17.149999999999999" customHeight="1">
      <c r="A85" s="1152" t="s">
        <v>1482</v>
      </c>
      <c r="B85" s="1153"/>
      <c r="C85" s="681"/>
      <c r="D85" s="897">
        <f t="shared" si="0"/>
        <v>0</v>
      </c>
      <c r="E85" s="899">
        <v>0</v>
      </c>
      <c r="F85" s="899"/>
      <c r="G85" s="899"/>
      <c r="H85" s="899"/>
      <c r="I85" s="1149" t="s">
        <v>658</v>
      </c>
      <c r="J85" s="898"/>
    </row>
    <row r="86" spans="1:10" s="896" customFormat="1" ht="17.149999999999999" customHeight="1">
      <c r="A86" s="1152" t="s">
        <v>1095</v>
      </c>
      <c r="B86" s="1153"/>
      <c r="C86" s="681"/>
      <c r="D86" s="897">
        <f t="shared" si="0"/>
        <v>0</v>
      </c>
      <c r="E86" s="899">
        <v>0</v>
      </c>
      <c r="F86" s="899"/>
      <c r="G86" s="899"/>
      <c r="H86" s="899"/>
      <c r="I86" s="1149" t="s">
        <v>658</v>
      </c>
      <c r="J86" s="898"/>
    </row>
    <row r="87" spans="1:10" s="896" customFormat="1" ht="17.149999999999999" customHeight="1">
      <c r="A87" s="1152" t="s">
        <v>1096</v>
      </c>
      <c r="B87" s="1153"/>
      <c r="C87" s="681"/>
      <c r="D87" s="897">
        <f t="shared" si="0"/>
        <v>4231.4930000000004</v>
      </c>
      <c r="E87" s="899">
        <v>4231.4930000000004</v>
      </c>
      <c r="F87" s="899"/>
      <c r="G87" s="899"/>
      <c r="H87" s="899"/>
      <c r="I87" s="1149" t="s">
        <v>658</v>
      </c>
      <c r="J87" s="898"/>
    </row>
    <row r="88" spans="1:10" s="896" customFormat="1" ht="17.149999999999999" customHeight="1">
      <c r="A88" s="1152" t="s">
        <v>1621</v>
      </c>
      <c r="B88" s="1153"/>
      <c r="C88" s="681"/>
      <c r="D88" s="897">
        <f t="shared" si="0"/>
        <v>216.20852000000099</v>
      </c>
      <c r="E88" s="899">
        <v>216.20852000000099</v>
      </c>
      <c r="F88" s="899"/>
      <c r="G88" s="899"/>
      <c r="H88" s="899"/>
      <c r="I88" s="1149" t="s">
        <v>658</v>
      </c>
      <c r="J88" s="898"/>
    </row>
    <row r="89" spans="1:10" s="896" customFormat="1" ht="17.149999999999999" customHeight="1">
      <c r="A89" s="1152" t="s">
        <v>1622</v>
      </c>
      <c r="B89" s="1153"/>
      <c r="C89" s="681"/>
      <c r="D89" s="897">
        <f t="shared" si="0"/>
        <v>106.48399999999999</v>
      </c>
      <c r="E89" s="899">
        <v>106.48399999999999</v>
      </c>
      <c r="F89" s="899"/>
      <c r="G89" s="899"/>
      <c r="H89" s="899"/>
      <c r="I89" s="1149" t="s">
        <v>658</v>
      </c>
      <c r="J89" s="898"/>
    </row>
    <row r="90" spans="1:10" s="896" customFormat="1" ht="17.149999999999999" customHeight="1">
      <c r="A90" s="1152" t="s">
        <v>1058</v>
      </c>
      <c r="B90" s="1153"/>
      <c r="C90" s="681"/>
      <c r="D90" s="897">
        <f t="shared" si="0"/>
        <v>0</v>
      </c>
      <c r="E90" s="899"/>
      <c r="F90" s="899"/>
      <c r="G90" s="899"/>
      <c r="H90" s="899"/>
      <c r="I90" s="1149" t="s">
        <v>658</v>
      </c>
      <c r="J90" s="898"/>
    </row>
    <row r="91" spans="1:10" s="896" customFormat="1" ht="17.149999999999999" customHeight="1">
      <c r="A91" s="1152" t="s">
        <v>890</v>
      </c>
      <c r="B91" s="1153"/>
      <c r="C91" s="681"/>
      <c r="D91" s="897">
        <f t="shared" si="0"/>
        <v>0</v>
      </c>
      <c r="E91" s="899"/>
      <c r="F91" s="899"/>
      <c r="G91" s="899"/>
      <c r="H91" s="899"/>
      <c r="I91" s="1149" t="s">
        <v>658</v>
      </c>
      <c r="J91" s="898"/>
    </row>
    <row r="92" spans="1:10" s="896" customFormat="1" ht="17.149999999999999" customHeight="1">
      <c r="A92" s="1152" t="s">
        <v>891</v>
      </c>
      <c r="B92" s="1153"/>
      <c r="C92" s="681"/>
      <c r="D92" s="897">
        <f t="shared" si="0"/>
        <v>0</v>
      </c>
      <c r="E92" s="899"/>
      <c r="F92" s="899"/>
      <c r="G92" s="899"/>
      <c r="H92" s="899"/>
      <c r="I92" s="1149" t="s">
        <v>658</v>
      </c>
      <c r="J92" s="898"/>
    </row>
    <row r="93" spans="1:10" s="896" customFormat="1" ht="17.149999999999999" customHeight="1">
      <c r="A93" s="1152" t="s">
        <v>892</v>
      </c>
      <c r="B93" s="1153"/>
      <c r="C93" s="681"/>
      <c r="D93" s="897">
        <f t="shared" si="0"/>
        <v>0</v>
      </c>
      <c r="E93" s="899"/>
      <c r="F93" s="899"/>
      <c r="G93" s="899"/>
      <c r="H93" s="899"/>
      <c r="I93" s="1149" t="s">
        <v>658</v>
      </c>
      <c r="J93" s="898"/>
    </row>
    <row r="94" spans="1:10" s="896" customFormat="1" ht="17.149999999999999" customHeight="1">
      <c r="A94" s="1152" t="s">
        <v>1059</v>
      </c>
      <c r="B94" s="1153"/>
      <c r="C94" s="681"/>
      <c r="D94" s="897">
        <f t="shared" si="0"/>
        <v>0</v>
      </c>
      <c r="E94" s="899"/>
      <c r="F94" s="899"/>
      <c r="G94" s="899"/>
      <c r="H94" s="899"/>
      <c r="I94" s="1149" t="s">
        <v>658</v>
      </c>
      <c r="J94" s="898"/>
    </row>
    <row r="95" spans="1:10" s="896" customFormat="1" ht="17.149999999999999" customHeight="1">
      <c r="A95" s="1152" t="s">
        <v>754</v>
      </c>
      <c r="B95" s="1153"/>
      <c r="C95" s="681"/>
      <c r="D95" s="897">
        <f t="shared" si="0"/>
        <v>0</v>
      </c>
      <c r="E95" s="899"/>
      <c r="F95" s="899"/>
      <c r="G95" s="899"/>
      <c r="H95" s="899"/>
      <c r="I95" s="1149" t="s">
        <v>658</v>
      </c>
      <c r="J95" s="898"/>
    </row>
    <row r="96" spans="1:10" s="896" customFormat="1" ht="17.149999999999999" customHeight="1">
      <c r="A96" s="1152" t="s">
        <v>755</v>
      </c>
      <c r="B96" s="1153"/>
      <c r="C96" s="676"/>
      <c r="D96" s="897">
        <f t="shared" ref="D96:D159" si="1">SUM(E96:H96)</f>
        <v>0</v>
      </c>
      <c r="E96" s="899"/>
      <c r="F96" s="899"/>
      <c r="G96" s="899"/>
      <c r="H96" s="899"/>
      <c r="I96" s="1149" t="s">
        <v>658</v>
      </c>
      <c r="J96" s="898"/>
    </row>
    <row r="97" spans="1:10" s="896" customFormat="1" ht="17.149999999999999" customHeight="1">
      <c r="A97" s="1152" t="s">
        <v>796</v>
      </c>
      <c r="B97" s="1153"/>
      <c r="C97" s="676"/>
      <c r="D97" s="897">
        <f t="shared" si="1"/>
        <v>0</v>
      </c>
      <c r="E97" s="899"/>
      <c r="F97" s="899"/>
      <c r="G97" s="899"/>
      <c r="H97" s="899"/>
      <c r="I97" s="1149" t="s">
        <v>658</v>
      </c>
      <c r="J97" s="898"/>
    </row>
    <row r="98" spans="1:10" s="896" customFormat="1" ht="17.149999999999999" customHeight="1">
      <c r="A98" s="1152" t="s">
        <v>1060</v>
      </c>
      <c r="B98" s="1153"/>
      <c r="C98" s="676"/>
      <c r="D98" s="897">
        <f t="shared" si="1"/>
        <v>0</v>
      </c>
      <c r="E98" s="899"/>
      <c r="F98" s="899"/>
      <c r="G98" s="899"/>
      <c r="H98" s="899"/>
      <c r="I98" s="1149" t="s">
        <v>658</v>
      </c>
      <c r="J98" s="898"/>
    </row>
    <row r="99" spans="1:10" s="896" customFormat="1" ht="17.149999999999999" customHeight="1">
      <c r="A99" s="1152" t="s">
        <v>893</v>
      </c>
      <c r="B99" s="1153"/>
      <c r="C99" s="676"/>
      <c r="D99" s="897">
        <f t="shared" si="1"/>
        <v>0</v>
      </c>
      <c r="E99" s="899"/>
      <c r="F99" s="899"/>
      <c r="G99" s="899"/>
      <c r="H99" s="899"/>
      <c r="I99" s="1149" t="s">
        <v>658</v>
      </c>
      <c r="J99" s="898"/>
    </row>
    <row r="100" spans="1:10" s="896" customFormat="1" ht="17.149999999999999" customHeight="1">
      <c r="A100" s="1152" t="s">
        <v>894</v>
      </c>
      <c r="B100" s="1153"/>
      <c r="C100" s="676"/>
      <c r="D100" s="897">
        <f t="shared" si="1"/>
        <v>0</v>
      </c>
      <c r="E100" s="899"/>
      <c r="F100" s="899"/>
      <c r="G100" s="899"/>
      <c r="H100" s="899"/>
      <c r="I100" s="1149" t="s">
        <v>658</v>
      </c>
      <c r="J100" s="898"/>
    </row>
    <row r="101" spans="1:10" s="896" customFormat="1" ht="17.149999999999999" customHeight="1">
      <c r="A101" s="1152" t="s">
        <v>895</v>
      </c>
      <c r="B101" s="1153"/>
      <c r="C101" s="676"/>
      <c r="D101" s="897">
        <f t="shared" si="1"/>
        <v>0</v>
      </c>
      <c r="E101" s="899"/>
      <c r="F101" s="899"/>
      <c r="G101" s="899"/>
      <c r="H101" s="899"/>
      <c r="I101" s="1149" t="s">
        <v>658</v>
      </c>
      <c r="J101" s="898"/>
    </row>
    <row r="102" spans="1:10" s="896" customFormat="1" ht="17.149999999999999" customHeight="1">
      <c r="A102" s="1152" t="s">
        <v>1061</v>
      </c>
      <c r="B102" s="1153"/>
      <c r="C102" s="676"/>
      <c r="D102" s="897">
        <f t="shared" si="1"/>
        <v>0</v>
      </c>
      <c r="E102" s="899"/>
      <c r="F102" s="899"/>
      <c r="G102" s="899"/>
      <c r="H102" s="899"/>
      <c r="I102" s="1149" t="s">
        <v>658</v>
      </c>
      <c r="J102" s="898"/>
    </row>
    <row r="103" spans="1:10" s="896" customFormat="1" ht="17.149999999999999" customHeight="1">
      <c r="A103" s="1152" t="s">
        <v>896</v>
      </c>
      <c r="B103" s="1153"/>
      <c r="C103" s="676"/>
      <c r="D103" s="897">
        <f t="shared" si="1"/>
        <v>0</v>
      </c>
      <c r="E103" s="899"/>
      <c r="F103" s="899"/>
      <c r="G103" s="899"/>
      <c r="H103" s="899"/>
      <c r="I103" s="1149" t="s">
        <v>658</v>
      </c>
      <c r="J103" s="898"/>
    </row>
    <row r="104" spans="1:10" s="896" customFormat="1" ht="17.149999999999999" customHeight="1">
      <c r="A104" s="1152" t="s">
        <v>897</v>
      </c>
      <c r="B104" s="1153"/>
      <c r="C104" s="676"/>
      <c r="D104" s="897">
        <f t="shared" si="1"/>
        <v>0</v>
      </c>
      <c r="E104" s="899"/>
      <c r="F104" s="899"/>
      <c r="G104" s="899"/>
      <c r="H104" s="899"/>
      <c r="I104" s="1149" t="s">
        <v>658</v>
      </c>
      <c r="J104" s="898"/>
    </row>
    <row r="105" spans="1:10" s="896" customFormat="1" ht="17.149999999999999" customHeight="1">
      <c r="A105" s="1152" t="s">
        <v>898</v>
      </c>
      <c r="B105" s="1153"/>
      <c r="C105" s="676"/>
      <c r="D105" s="897">
        <f t="shared" si="1"/>
        <v>0</v>
      </c>
      <c r="E105" s="899"/>
      <c r="F105" s="899"/>
      <c r="G105" s="899"/>
      <c r="H105" s="899"/>
      <c r="I105" s="1149" t="s">
        <v>658</v>
      </c>
      <c r="J105" s="898"/>
    </row>
    <row r="106" spans="1:10" s="896" customFormat="1" ht="17.149999999999999" customHeight="1">
      <c r="A106" s="1152" t="s">
        <v>1062</v>
      </c>
      <c r="B106" s="1153"/>
      <c r="C106" s="676"/>
      <c r="D106" s="897">
        <f t="shared" si="1"/>
        <v>0</v>
      </c>
      <c r="E106" s="899"/>
      <c r="F106" s="899"/>
      <c r="G106" s="899"/>
      <c r="H106" s="899"/>
      <c r="I106" s="1149" t="s">
        <v>658</v>
      </c>
      <c r="J106" s="898"/>
    </row>
    <row r="107" spans="1:10" s="896" customFormat="1" ht="17.149999999999999" customHeight="1">
      <c r="A107" s="1152" t="s">
        <v>909</v>
      </c>
      <c r="B107" s="1153"/>
      <c r="C107" s="676"/>
      <c r="D107" s="897">
        <f t="shared" si="1"/>
        <v>0</v>
      </c>
      <c r="E107" s="899"/>
      <c r="F107" s="899"/>
      <c r="G107" s="899"/>
      <c r="H107" s="899"/>
      <c r="I107" s="1149" t="s">
        <v>658</v>
      </c>
      <c r="J107" s="898"/>
    </row>
    <row r="108" spans="1:10" s="896" customFormat="1" ht="17.149999999999999" customHeight="1">
      <c r="A108" s="1152" t="s">
        <v>910</v>
      </c>
      <c r="B108" s="1153"/>
      <c r="C108" s="676"/>
      <c r="D108" s="897">
        <f t="shared" si="1"/>
        <v>0</v>
      </c>
      <c r="E108" s="899"/>
      <c r="F108" s="899"/>
      <c r="G108" s="899"/>
      <c r="H108" s="899"/>
      <c r="I108" s="1149" t="s">
        <v>658</v>
      </c>
      <c r="J108" s="898"/>
    </row>
    <row r="109" spans="1:10" s="896" customFormat="1" ht="17.149999999999999" customHeight="1">
      <c r="A109" s="1152" t="s">
        <v>911</v>
      </c>
      <c r="B109" s="1153"/>
      <c r="C109" s="676"/>
      <c r="D109" s="897">
        <f t="shared" si="1"/>
        <v>0</v>
      </c>
      <c r="E109" s="899"/>
      <c r="F109" s="899"/>
      <c r="G109" s="899"/>
      <c r="H109" s="899"/>
      <c r="I109" s="1149" t="s">
        <v>658</v>
      </c>
      <c r="J109" s="898"/>
    </row>
    <row r="110" spans="1:10" s="896" customFormat="1" ht="17.149999999999999" customHeight="1">
      <c r="A110" s="1152" t="s">
        <v>1333</v>
      </c>
      <c r="B110" s="1153"/>
      <c r="C110" s="676"/>
      <c r="D110" s="897">
        <f t="shared" si="1"/>
        <v>0</v>
      </c>
      <c r="E110" s="899"/>
      <c r="F110" s="899"/>
      <c r="G110" s="899"/>
      <c r="H110" s="899"/>
      <c r="I110" s="1149" t="s">
        <v>658</v>
      </c>
      <c r="J110" s="898"/>
    </row>
    <row r="111" spans="1:10" s="896" customFormat="1" ht="17.149999999999999" customHeight="1">
      <c r="A111" s="1152" t="s">
        <v>1334</v>
      </c>
      <c r="B111" s="1153"/>
      <c r="C111" s="676"/>
      <c r="D111" s="897">
        <f t="shared" si="1"/>
        <v>42.856000000000002</v>
      </c>
      <c r="E111" s="899">
        <v>42.856000000000002</v>
      </c>
      <c r="F111" s="899"/>
      <c r="G111" s="899"/>
      <c r="H111" s="899"/>
      <c r="I111" s="1149" t="s">
        <v>658</v>
      </c>
      <c r="J111" s="898"/>
    </row>
    <row r="112" spans="1:10" s="896" customFormat="1" ht="17.149999999999999" customHeight="1">
      <c r="A112" s="1152" t="s">
        <v>1335</v>
      </c>
      <c r="B112" s="1153"/>
      <c r="C112" s="676"/>
      <c r="D112" s="897">
        <f t="shared" si="1"/>
        <v>5129.3365987250099</v>
      </c>
      <c r="E112" s="899">
        <v>5129.3365987250099</v>
      </c>
      <c r="F112" s="899"/>
      <c r="G112" s="899"/>
      <c r="H112" s="899"/>
      <c r="I112" s="1149" t="s">
        <v>658</v>
      </c>
      <c r="J112" s="898"/>
    </row>
    <row r="113" spans="1:10" s="896" customFormat="1" ht="17.149999999999999" customHeight="1">
      <c r="A113" s="1152" t="s">
        <v>1336</v>
      </c>
      <c r="B113" s="1153"/>
      <c r="C113" s="676"/>
      <c r="D113" s="897">
        <f t="shared" si="1"/>
        <v>108953.126</v>
      </c>
      <c r="E113" s="899">
        <v>108953.126</v>
      </c>
      <c r="F113" s="899"/>
      <c r="G113" s="899"/>
      <c r="H113" s="899"/>
      <c r="I113" s="1149" t="s">
        <v>658</v>
      </c>
      <c r="J113" s="898"/>
    </row>
    <row r="114" spans="1:10" s="896" customFormat="1" ht="17.149999999999999" customHeight="1">
      <c r="A114" s="1152" t="s">
        <v>1337</v>
      </c>
      <c r="B114" s="1153"/>
      <c r="C114" s="676"/>
      <c r="D114" s="897">
        <f t="shared" si="1"/>
        <v>3059.636</v>
      </c>
      <c r="E114" s="899">
        <v>3059.636</v>
      </c>
      <c r="F114" s="899"/>
      <c r="G114" s="899"/>
      <c r="H114" s="899"/>
      <c r="I114" s="1149" t="s">
        <v>658</v>
      </c>
      <c r="J114" s="898"/>
    </row>
    <row r="115" spans="1:10" s="896" customFormat="1" ht="17.149999999999999" customHeight="1">
      <c r="A115" s="1152" t="s">
        <v>1338</v>
      </c>
      <c r="B115" s="1153"/>
      <c r="C115" s="676"/>
      <c r="D115" s="897">
        <f t="shared" si="1"/>
        <v>37.417999999999999</v>
      </c>
      <c r="E115" s="899">
        <v>37.417999999999999</v>
      </c>
      <c r="F115" s="899"/>
      <c r="G115" s="899"/>
      <c r="H115" s="899"/>
      <c r="I115" s="1149" t="s">
        <v>658</v>
      </c>
      <c r="J115" s="898"/>
    </row>
    <row r="116" spans="1:10" s="896" customFormat="1" ht="17.149999999999999" customHeight="1">
      <c r="A116" s="1152" t="s">
        <v>1339</v>
      </c>
      <c r="B116" s="1153"/>
      <c r="C116" s="676"/>
      <c r="D116" s="897">
        <f t="shared" si="1"/>
        <v>4701.3379999999997</v>
      </c>
      <c r="E116" s="899">
        <v>4701.3379999999997</v>
      </c>
      <c r="F116" s="899"/>
      <c r="G116" s="899"/>
      <c r="H116" s="899"/>
      <c r="I116" s="1149" t="s">
        <v>658</v>
      </c>
      <c r="J116" s="898"/>
    </row>
    <row r="117" spans="1:10" s="896" customFormat="1" ht="17.149999999999999" customHeight="1">
      <c r="A117" s="1152" t="s">
        <v>1340</v>
      </c>
      <c r="B117" s="1153"/>
      <c r="C117" s="676"/>
      <c r="D117" s="897">
        <f t="shared" si="1"/>
        <v>95127.547000000006</v>
      </c>
      <c r="E117" s="899">
        <v>95127.547000000006</v>
      </c>
      <c r="F117" s="899"/>
      <c r="G117" s="899"/>
      <c r="H117" s="899"/>
      <c r="I117" s="1149" t="s">
        <v>658</v>
      </c>
      <c r="J117" s="898"/>
    </row>
    <row r="118" spans="1:10" s="896" customFormat="1" ht="17.149999999999999" customHeight="1">
      <c r="A118" s="1152" t="s">
        <v>1341</v>
      </c>
      <c r="B118" s="1153"/>
      <c r="C118" s="681"/>
      <c r="D118" s="897">
        <f t="shared" si="1"/>
        <v>2755.9690000000001</v>
      </c>
      <c r="E118" s="899">
        <v>2755.9690000000001</v>
      </c>
      <c r="F118" s="899"/>
      <c r="G118" s="899"/>
      <c r="H118" s="899"/>
      <c r="I118" s="1149" t="s">
        <v>658</v>
      </c>
      <c r="J118" s="898"/>
    </row>
    <row r="119" spans="1:10" s="896" customFormat="1" ht="17.149999999999999" customHeight="1">
      <c r="A119" s="1152" t="s">
        <v>1063</v>
      </c>
      <c r="B119" s="1153"/>
      <c r="C119" s="681"/>
      <c r="D119" s="897">
        <f t="shared" si="1"/>
        <v>0</v>
      </c>
      <c r="E119" s="899"/>
      <c r="F119" s="899"/>
      <c r="G119" s="899"/>
      <c r="H119" s="899"/>
      <c r="I119" s="1149" t="s">
        <v>658</v>
      </c>
      <c r="J119" s="898"/>
    </row>
    <row r="120" spans="1:10" s="896" customFormat="1" ht="17.149999999999999" customHeight="1">
      <c r="A120" s="1152" t="s">
        <v>899</v>
      </c>
      <c r="B120" s="1153"/>
      <c r="C120" s="681"/>
      <c r="D120" s="897">
        <f t="shared" si="1"/>
        <v>0</v>
      </c>
      <c r="E120" s="899"/>
      <c r="F120" s="899"/>
      <c r="G120" s="899"/>
      <c r="H120" s="899"/>
      <c r="I120" s="1149" t="s">
        <v>658</v>
      </c>
      <c r="J120" s="898"/>
    </row>
    <row r="121" spans="1:10" s="896" customFormat="1" ht="17.149999999999999" customHeight="1">
      <c r="A121" s="1152" t="s">
        <v>900</v>
      </c>
      <c r="B121" s="1153"/>
      <c r="C121" s="681"/>
      <c r="D121" s="897">
        <f t="shared" si="1"/>
        <v>0</v>
      </c>
      <c r="E121" s="899"/>
      <c r="F121" s="899"/>
      <c r="G121" s="899"/>
      <c r="H121" s="899"/>
      <c r="I121" s="1149" t="s">
        <v>658</v>
      </c>
      <c r="J121" s="898"/>
    </row>
    <row r="122" spans="1:10" s="896" customFormat="1" ht="17.149999999999999" customHeight="1">
      <c r="A122" s="1152" t="s">
        <v>901</v>
      </c>
      <c r="B122" s="1153"/>
      <c r="C122" s="681"/>
      <c r="D122" s="897">
        <f t="shared" si="1"/>
        <v>0</v>
      </c>
      <c r="E122" s="899"/>
      <c r="F122" s="899"/>
      <c r="G122" s="899"/>
      <c r="H122" s="899"/>
      <c r="I122" s="1149" t="s">
        <v>658</v>
      </c>
      <c r="J122" s="898"/>
    </row>
    <row r="123" spans="1:10" s="896" customFormat="1" ht="17.149999999999999" customHeight="1">
      <c r="A123" s="1152" t="s">
        <v>794</v>
      </c>
      <c r="B123" s="1153"/>
      <c r="C123" s="681"/>
      <c r="D123" s="897">
        <f t="shared" si="1"/>
        <v>0</v>
      </c>
      <c r="E123" s="899"/>
      <c r="F123" s="899"/>
      <c r="G123" s="899"/>
      <c r="H123" s="899"/>
      <c r="I123" s="1149" t="s">
        <v>658</v>
      </c>
      <c r="J123" s="898"/>
    </row>
    <row r="124" spans="1:10" s="896" customFormat="1" ht="17.149999999999999" customHeight="1">
      <c r="A124" s="1152" t="s">
        <v>793</v>
      </c>
      <c r="B124" s="1153"/>
      <c r="C124" s="681"/>
      <c r="D124" s="897">
        <f t="shared" si="1"/>
        <v>0</v>
      </c>
      <c r="E124" s="899"/>
      <c r="F124" s="899"/>
      <c r="G124" s="899"/>
      <c r="H124" s="899"/>
      <c r="I124" s="1149" t="s">
        <v>658</v>
      </c>
      <c r="J124" s="898"/>
    </row>
    <row r="125" spans="1:10" s="896" customFormat="1" ht="17.149999999999999" customHeight="1">
      <c r="A125" s="1152" t="s">
        <v>795</v>
      </c>
      <c r="B125" s="1153"/>
      <c r="C125" s="681"/>
      <c r="D125" s="897">
        <f t="shared" si="1"/>
        <v>0</v>
      </c>
      <c r="E125" s="899"/>
      <c r="F125" s="899"/>
      <c r="G125" s="899"/>
      <c r="H125" s="899"/>
      <c r="I125" s="1149" t="s">
        <v>658</v>
      </c>
      <c r="J125" s="898"/>
    </row>
    <row r="126" spans="1:10" s="896" customFormat="1" ht="17.149999999999999" customHeight="1">
      <c r="A126" s="1152" t="s">
        <v>562</v>
      </c>
      <c r="B126" s="1153"/>
      <c r="C126" s="681"/>
      <c r="D126" s="897">
        <f t="shared" si="1"/>
        <v>0</v>
      </c>
      <c r="E126" s="899"/>
      <c r="F126" s="899"/>
      <c r="G126" s="899"/>
      <c r="H126" s="899"/>
      <c r="I126" s="1149" t="s">
        <v>658</v>
      </c>
      <c r="J126" s="898"/>
    </row>
    <row r="127" spans="1:10" s="896" customFormat="1" ht="17.149999999999999" customHeight="1">
      <c r="A127" s="1152" t="s">
        <v>563</v>
      </c>
      <c r="B127" s="1153"/>
      <c r="C127" s="681"/>
      <c r="D127" s="897">
        <f t="shared" si="1"/>
        <v>0</v>
      </c>
      <c r="E127" s="899"/>
      <c r="F127" s="899"/>
      <c r="G127" s="899"/>
      <c r="H127" s="899"/>
      <c r="I127" s="1149" t="s">
        <v>658</v>
      </c>
      <c r="J127" s="898"/>
    </row>
    <row r="128" spans="1:10" s="896" customFormat="1" ht="17.149999999999999" customHeight="1">
      <c r="A128" s="1152" t="s">
        <v>730</v>
      </c>
      <c r="B128" s="1153"/>
      <c r="C128" s="681"/>
      <c r="D128" s="897">
        <f t="shared" si="1"/>
        <v>0</v>
      </c>
      <c r="E128" s="899"/>
      <c r="F128" s="899"/>
      <c r="G128" s="899"/>
      <c r="H128" s="899"/>
      <c r="I128" s="1149" t="s">
        <v>658</v>
      </c>
      <c r="J128" s="898"/>
    </row>
    <row r="129" spans="1:10" s="896" customFormat="1" ht="17.149999999999999" customHeight="1">
      <c r="A129" s="1152" t="s">
        <v>766</v>
      </c>
      <c r="B129" s="1153"/>
      <c r="C129" s="681"/>
      <c r="D129" s="897">
        <f t="shared" si="1"/>
        <v>4478.5950000000003</v>
      </c>
      <c r="E129" s="899">
        <v>4478.5950000000003</v>
      </c>
      <c r="F129" s="899"/>
      <c r="G129" s="899"/>
      <c r="H129" s="899"/>
      <c r="I129" s="1149" t="s">
        <v>658</v>
      </c>
      <c r="J129" s="898"/>
    </row>
    <row r="130" spans="1:10" s="896" customFormat="1" ht="17.149999999999999" customHeight="1">
      <c r="A130" s="1152" t="s">
        <v>1623</v>
      </c>
      <c r="B130" s="1153"/>
      <c r="C130" s="681"/>
      <c r="D130" s="897">
        <f t="shared" si="1"/>
        <v>9.7859999999999996</v>
      </c>
      <c r="E130" s="899">
        <v>9.7859999999999996</v>
      </c>
      <c r="F130" s="899"/>
      <c r="G130" s="899"/>
      <c r="H130" s="899"/>
      <c r="I130" s="1149" t="s">
        <v>658</v>
      </c>
      <c r="J130" s="898"/>
    </row>
    <row r="131" spans="1:10" s="896" customFormat="1" ht="17.149999999999999" customHeight="1">
      <c r="A131" s="1152" t="s">
        <v>1064</v>
      </c>
      <c r="B131" s="1153"/>
      <c r="C131" s="681"/>
      <c r="D131" s="897">
        <f t="shared" si="1"/>
        <v>0.31</v>
      </c>
      <c r="E131" s="899">
        <v>0.31</v>
      </c>
      <c r="F131" s="899"/>
      <c r="G131" s="899"/>
      <c r="H131" s="899"/>
      <c r="I131" s="1149" t="s">
        <v>658</v>
      </c>
      <c r="J131" s="898"/>
    </row>
    <row r="132" spans="1:10" s="896" customFormat="1" ht="17.149999999999999" customHeight="1">
      <c r="A132" s="1152" t="s">
        <v>912</v>
      </c>
      <c r="B132" s="1153"/>
      <c r="C132" s="681"/>
      <c r="D132" s="897">
        <f t="shared" si="1"/>
        <v>36.997999999999998</v>
      </c>
      <c r="E132" s="899">
        <v>36.997999999999998</v>
      </c>
      <c r="F132" s="899"/>
      <c r="G132" s="899"/>
      <c r="H132" s="899"/>
      <c r="I132" s="1149" t="s">
        <v>658</v>
      </c>
      <c r="J132" s="898"/>
    </row>
    <row r="133" spans="1:10" s="896" customFormat="1" ht="17.149999999999999" customHeight="1">
      <c r="A133" s="1152" t="s">
        <v>764</v>
      </c>
      <c r="B133" s="1153"/>
      <c r="C133" s="681"/>
      <c r="D133" s="897">
        <f t="shared" si="1"/>
        <v>763.15899999999999</v>
      </c>
      <c r="E133" s="899">
        <v>763.15899999999999</v>
      </c>
      <c r="F133" s="899"/>
      <c r="G133" s="899"/>
      <c r="H133" s="899"/>
      <c r="I133" s="1149" t="s">
        <v>658</v>
      </c>
      <c r="J133" s="898"/>
    </row>
    <row r="134" spans="1:10" s="896" customFormat="1" ht="17.149999999999999" customHeight="1">
      <c r="A134" s="1152" t="s">
        <v>913</v>
      </c>
      <c r="B134" s="1153"/>
      <c r="C134" s="681"/>
      <c r="D134" s="897">
        <f t="shared" si="1"/>
        <v>22.91</v>
      </c>
      <c r="E134" s="899">
        <v>22.91</v>
      </c>
      <c r="F134" s="899"/>
      <c r="G134" s="899"/>
      <c r="H134" s="899"/>
      <c r="I134" s="1149" t="s">
        <v>658</v>
      </c>
      <c r="J134" s="898"/>
    </row>
    <row r="135" spans="1:10" s="896" customFormat="1" ht="17.149999999999999" customHeight="1">
      <c r="A135" s="1152" t="s">
        <v>1065</v>
      </c>
      <c r="B135" s="1153"/>
      <c r="C135" s="681"/>
      <c r="D135" s="897">
        <f t="shared" si="1"/>
        <v>0.2</v>
      </c>
      <c r="E135" s="899">
        <v>0.2</v>
      </c>
      <c r="F135" s="899"/>
      <c r="G135" s="899"/>
      <c r="H135" s="899"/>
      <c r="I135" s="1149" t="s">
        <v>658</v>
      </c>
      <c r="J135" s="898"/>
    </row>
    <row r="136" spans="1:10" s="896" customFormat="1" ht="17.149999999999999" customHeight="1">
      <c r="A136" s="1152" t="s">
        <v>914</v>
      </c>
      <c r="B136" s="1153"/>
      <c r="C136" s="681"/>
      <c r="D136" s="897">
        <f t="shared" si="1"/>
        <v>23.574000000000002</v>
      </c>
      <c r="E136" s="899">
        <v>23.574000000000002</v>
      </c>
      <c r="F136" s="899"/>
      <c r="G136" s="899"/>
      <c r="H136" s="899"/>
      <c r="I136" s="1149" t="s">
        <v>658</v>
      </c>
      <c r="J136" s="898"/>
    </row>
    <row r="137" spans="1:10" s="896" customFormat="1" ht="17.149999999999999" customHeight="1">
      <c r="A137" s="1152" t="s">
        <v>761</v>
      </c>
      <c r="B137" s="1153"/>
      <c r="C137" s="681"/>
      <c r="D137" s="897">
        <f t="shared" si="1"/>
        <v>486.31900000000002</v>
      </c>
      <c r="E137" s="899">
        <v>486.31900000000002</v>
      </c>
      <c r="F137" s="899"/>
      <c r="G137" s="899"/>
      <c r="H137" s="899"/>
      <c r="I137" s="1149" t="s">
        <v>658</v>
      </c>
      <c r="J137" s="898"/>
    </row>
    <row r="138" spans="1:10" s="896" customFormat="1" ht="17.149999999999999" customHeight="1">
      <c r="A138" s="1152" t="s">
        <v>915</v>
      </c>
      <c r="B138" s="1153"/>
      <c r="C138" s="681"/>
      <c r="D138" s="897">
        <f t="shared" si="1"/>
        <v>14.601000000000001</v>
      </c>
      <c r="E138" s="899">
        <v>14.601000000000001</v>
      </c>
      <c r="F138" s="899"/>
      <c r="G138" s="899"/>
      <c r="H138" s="899"/>
      <c r="I138" s="1149" t="s">
        <v>658</v>
      </c>
      <c r="J138" s="898"/>
    </row>
    <row r="139" spans="1:10" s="896" customFormat="1" ht="17.149999999999999" customHeight="1">
      <c r="A139" s="1152" t="s">
        <v>765</v>
      </c>
      <c r="B139" s="1153"/>
      <c r="C139" s="676"/>
      <c r="D139" s="897">
        <f t="shared" si="1"/>
        <v>2853.942</v>
      </c>
      <c r="E139" s="899">
        <v>2853.942</v>
      </c>
      <c r="F139" s="899"/>
      <c r="G139" s="899"/>
      <c r="H139" s="899"/>
      <c r="I139" s="1149" t="s">
        <v>658</v>
      </c>
      <c r="J139" s="898"/>
    </row>
    <row r="140" spans="1:10" s="896" customFormat="1" ht="17.149999999999999" customHeight="1">
      <c r="A140" s="1152" t="s">
        <v>1624</v>
      </c>
      <c r="B140" s="1153"/>
      <c r="C140" s="676"/>
      <c r="D140" s="897">
        <f t="shared" si="1"/>
        <v>6.234</v>
      </c>
      <c r="E140" s="899">
        <v>6.234</v>
      </c>
      <c r="F140" s="899"/>
      <c r="G140" s="899"/>
      <c r="H140" s="899"/>
      <c r="I140" s="1149" t="s">
        <v>658</v>
      </c>
      <c r="J140" s="898"/>
    </row>
    <row r="141" spans="1:10" s="896" customFormat="1" ht="17.149999999999999" customHeight="1">
      <c r="A141" s="1152" t="s">
        <v>917</v>
      </c>
      <c r="B141" s="1153"/>
      <c r="C141" s="676"/>
      <c r="D141" s="897">
        <f t="shared" si="1"/>
        <v>0</v>
      </c>
      <c r="E141" s="899"/>
      <c r="F141" s="899"/>
      <c r="G141" s="899"/>
      <c r="H141" s="899"/>
      <c r="I141" s="1149" t="s">
        <v>658</v>
      </c>
      <c r="J141" s="898"/>
    </row>
    <row r="142" spans="1:10" s="896" customFormat="1" ht="17.149999999999999" customHeight="1">
      <c r="A142" s="1152" t="s">
        <v>739</v>
      </c>
      <c r="B142" s="1153"/>
      <c r="C142" s="676"/>
      <c r="D142" s="897">
        <f t="shared" si="1"/>
        <v>0</v>
      </c>
      <c r="E142" s="899">
        <v>0</v>
      </c>
      <c r="F142" s="899"/>
      <c r="G142" s="899"/>
      <c r="H142" s="899"/>
      <c r="I142" s="1149" t="s">
        <v>658</v>
      </c>
      <c r="J142" s="898"/>
    </row>
    <row r="143" spans="1:10" s="896" customFormat="1" ht="17.149999999999999" customHeight="1">
      <c r="A143" s="1152" t="s">
        <v>1197</v>
      </c>
      <c r="B143" s="1153"/>
      <c r="C143" s="676"/>
      <c r="D143" s="897">
        <f t="shared" si="1"/>
        <v>-1E-3</v>
      </c>
      <c r="E143" s="899">
        <v>-1E-3</v>
      </c>
      <c r="F143" s="899"/>
      <c r="G143" s="899"/>
      <c r="H143" s="899"/>
      <c r="I143" s="1149" t="s">
        <v>658</v>
      </c>
      <c r="J143" s="898"/>
    </row>
    <row r="144" spans="1:10" s="896" customFormat="1" ht="17.149999999999999" customHeight="1">
      <c r="A144" s="1152" t="s">
        <v>1401</v>
      </c>
      <c r="B144" s="1153"/>
      <c r="C144" s="676"/>
      <c r="D144" s="897">
        <f t="shared" si="1"/>
        <v>1639.5740000000001</v>
      </c>
      <c r="E144" s="899">
        <v>1639.5740000000001</v>
      </c>
      <c r="F144" s="899"/>
      <c r="G144" s="899"/>
      <c r="H144" s="899"/>
      <c r="I144" s="1149" t="s">
        <v>658</v>
      </c>
      <c r="J144" s="898"/>
    </row>
    <row r="145" spans="1:10" s="896" customFormat="1" ht="17.149999999999999" customHeight="1">
      <c r="A145" s="1152" t="s">
        <v>1402</v>
      </c>
      <c r="B145" s="1153"/>
      <c r="C145" s="681"/>
      <c r="D145" s="897">
        <f t="shared" si="1"/>
        <v>17190.295999999998</v>
      </c>
      <c r="E145" s="899">
        <v>17190.295999999998</v>
      </c>
      <c r="F145" s="899"/>
      <c r="G145" s="899"/>
      <c r="H145" s="899"/>
      <c r="I145" s="1149" t="s">
        <v>658</v>
      </c>
      <c r="J145" s="898"/>
    </row>
    <row r="146" spans="1:10" s="896" customFormat="1" ht="17.149999999999999" customHeight="1">
      <c r="A146" s="1152" t="s">
        <v>1097</v>
      </c>
      <c r="B146" s="1153"/>
      <c r="C146" s="681"/>
      <c r="D146" s="897">
        <f t="shared" si="1"/>
        <v>0</v>
      </c>
      <c r="E146" s="899">
        <v>0</v>
      </c>
      <c r="F146" s="899"/>
      <c r="G146" s="899"/>
      <c r="H146" s="899"/>
      <c r="I146" s="1149" t="s">
        <v>658</v>
      </c>
      <c r="J146" s="898"/>
    </row>
    <row r="147" spans="1:10" s="896" customFormat="1" ht="17.149999999999999" customHeight="1">
      <c r="A147" s="1152" t="s">
        <v>1066</v>
      </c>
      <c r="B147" s="1153"/>
      <c r="C147" s="681"/>
      <c r="D147" s="897">
        <f t="shared" si="1"/>
        <v>0</v>
      </c>
      <c r="E147" s="899"/>
      <c r="F147" s="899"/>
      <c r="G147" s="899"/>
      <c r="H147" s="899"/>
      <c r="I147" s="1149" t="s">
        <v>658</v>
      </c>
      <c r="J147" s="898"/>
    </row>
    <row r="148" spans="1:10" s="896" customFormat="1" ht="17.149999999999999" customHeight="1">
      <c r="A148" s="1152" t="s">
        <v>1147</v>
      </c>
      <c r="B148" s="1153"/>
      <c r="C148" s="681"/>
      <c r="D148" s="897">
        <f t="shared" si="1"/>
        <v>-1E-3</v>
      </c>
      <c r="E148" s="899">
        <v>-1E-3</v>
      </c>
      <c r="F148" s="899"/>
      <c r="G148" s="899"/>
      <c r="H148" s="899"/>
      <c r="I148" s="1149" t="s">
        <v>658</v>
      </c>
      <c r="J148" s="898"/>
    </row>
    <row r="149" spans="1:10" s="896" customFormat="1" ht="17.149999999999999" customHeight="1">
      <c r="A149" s="1152" t="s">
        <v>1098</v>
      </c>
      <c r="B149" s="1153"/>
      <c r="C149" s="681"/>
      <c r="D149" s="897">
        <f t="shared" si="1"/>
        <v>-1E-3</v>
      </c>
      <c r="E149" s="899">
        <v>-1E-3</v>
      </c>
      <c r="F149" s="899"/>
      <c r="G149" s="899"/>
      <c r="H149" s="899"/>
      <c r="I149" s="1149" t="s">
        <v>658</v>
      </c>
      <c r="J149" s="898"/>
    </row>
    <row r="150" spans="1:10" s="896" customFormat="1" ht="17.149999999999999" customHeight="1">
      <c r="A150" s="1152" t="s">
        <v>1067</v>
      </c>
      <c r="B150" s="1153"/>
      <c r="C150" s="681"/>
      <c r="D150" s="897">
        <f t="shared" si="1"/>
        <v>0</v>
      </c>
      <c r="E150" s="899"/>
      <c r="F150" s="899"/>
      <c r="G150" s="899"/>
      <c r="H150" s="899"/>
      <c r="I150" s="1149" t="s">
        <v>658</v>
      </c>
      <c r="J150" s="898"/>
    </row>
    <row r="151" spans="1:10" s="896" customFormat="1" ht="17.149999999999999" customHeight="1">
      <c r="A151" s="1152" t="s">
        <v>1416</v>
      </c>
      <c r="B151" s="1153"/>
      <c r="C151" s="681"/>
      <c r="D151" s="897">
        <f t="shared" si="1"/>
        <v>0</v>
      </c>
      <c r="E151" s="899"/>
      <c r="F151" s="899"/>
      <c r="G151" s="899"/>
      <c r="H151" s="899"/>
      <c r="I151" s="1149" t="s">
        <v>4</v>
      </c>
      <c r="J151" s="898"/>
    </row>
    <row r="152" spans="1:10" s="896" customFormat="1" ht="17.149999999999999" customHeight="1">
      <c r="A152" s="1152" t="s">
        <v>1483</v>
      </c>
      <c r="B152" s="1153"/>
      <c r="C152" s="681"/>
      <c r="D152" s="897">
        <f t="shared" si="1"/>
        <v>1084.376</v>
      </c>
      <c r="E152" s="899">
        <v>1084.376</v>
      </c>
      <c r="F152" s="899"/>
      <c r="G152" s="899"/>
      <c r="H152" s="899"/>
      <c r="I152" s="1149" t="s">
        <v>4</v>
      </c>
      <c r="J152" s="898"/>
    </row>
    <row r="153" spans="1:10" s="896" customFormat="1" ht="17.149999999999999" customHeight="1">
      <c r="A153" s="1152" t="s">
        <v>1484</v>
      </c>
      <c r="B153" s="1153"/>
      <c r="C153" s="676"/>
      <c r="D153" s="897">
        <f t="shared" si="1"/>
        <v>78.617999999999995</v>
      </c>
      <c r="E153" s="899">
        <v>78.617999999999995</v>
      </c>
      <c r="F153" s="899"/>
      <c r="G153" s="899"/>
      <c r="H153" s="899"/>
      <c r="I153" s="1149" t="s">
        <v>4</v>
      </c>
      <c r="J153" s="898"/>
    </row>
    <row r="154" spans="1:10" s="896" customFormat="1" ht="17.149999999999999" customHeight="1">
      <c r="A154" s="1152" t="s">
        <v>1485</v>
      </c>
      <c r="B154" s="1153"/>
      <c r="C154" s="676"/>
      <c r="D154" s="897">
        <f t="shared" si="1"/>
        <v>442.428</v>
      </c>
      <c r="E154" s="899">
        <v>442.428</v>
      </c>
      <c r="F154" s="899"/>
      <c r="G154" s="899"/>
      <c r="H154" s="899"/>
      <c r="I154" s="1149" t="s">
        <v>4</v>
      </c>
      <c r="J154" s="898"/>
    </row>
    <row r="155" spans="1:10" s="896" customFormat="1" ht="17.149999999999999" customHeight="1">
      <c r="A155" s="1152" t="s">
        <v>1486</v>
      </c>
      <c r="B155" s="1153"/>
      <c r="C155" s="681"/>
      <c r="D155" s="897">
        <f t="shared" si="1"/>
        <v>25112.425999999999</v>
      </c>
      <c r="E155" s="899">
        <v>25112.425999999999</v>
      </c>
      <c r="F155" s="899"/>
      <c r="G155" s="899"/>
      <c r="H155" s="899"/>
      <c r="I155" s="1149" t="s">
        <v>4</v>
      </c>
      <c r="J155" s="898"/>
    </row>
    <row r="156" spans="1:10" s="896" customFormat="1" ht="17.149999999999999" customHeight="1">
      <c r="A156" s="1152" t="s">
        <v>1487</v>
      </c>
      <c r="B156" s="1153"/>
      <c r="C156" s="681"/>
      <c r="D156" s="897">
        <f t="shared" si="1"/>
        <v>89.186999999999998</v>
      </c>
      <c r="E156" s="899">
        <v>0</v>
      </c>
      <c r="F156" s="899">
        <v>89.186999999999998</v>
      </c>
      <c r="G156" s="899"/>
      <c r="H156" s="899"/>
      <c r="I156" s="1149" t="s">
        <v>4</v>
      </c>
      <c r="J156" s="898"/>
    </row>
    <row r="157" spans="1:10" s="896" customFormat="1" ht="17.149999999999999" customHeight="1">
      <c r="A157" s="1152" t="s">
        <v>1342</v>
      </c>
      <c r="B157" s="1153"/>
      <c r="C157" s="681"/>
      <c r="D157" s="897">
        <f t="shared" si="1"/>
        <v>135734.01199999999</v>
      </c>
      <c r="E157" s="899">
        <v>135734.01199999999</v>
      </c>
      <c r="F157" s="899"/>
      <c r="G157" s="899"/>
      <c r="H157" s="899"/>
      <c r="I157" s="1149" t="s">
        <v>4</v>
      </c>
      <c r="J157" s="898"/>
    </row>
    <row r="158" spans="1:10" s="896" customFormat="1" ht="17.149999999999999" customHeight="1">
      <c r="A158" s="1152" t="s">
        <v>1343</v>
      </c>
      <c r="B158" s="1153"/>
      <c r="C158" s="681"/>
      <c r="D158" s="897">
        <f t="shared" si="1"/>
        <v>192188.095</v>
      </c>
      <c r="E158" s="899">
        <v>192188.095</v>
      </c>
      <c r="F158" s="899"/>
      <c r="G158" s="899"/>
      <c r="H158" s="899"/>
      <c r="I158" s="1149" t="s">
        <v>4</v>
      </c>
      <c r="J158" s="898"/>
    </row>
    <row r="159" spans="1:10" s="896" customFormat="1" ht="17.149999999999999" customHeight="1">
      <c r="A159" s="1152" t="s">
        <v>1344</v>
      </c>
      <c r="B159" s="1153"/>
      <c r="C159" s="681"/>
      <c r="D159" s="897">
        <f t="shared" si="1"/>
        <v>18074.837950000001</v>
      </c>
      <c r="E159" s="899">
        <v>18074.837950000001</v>
      </c>
      <c r="F159" s="899"/>
      <c r="G159" s="899"/>
      <c r="H159" s="899"/>
      <c r="I159" s="1149" t="s">
        <v>658</v>
      </c>
      <c r="J159" s="898"/>
    </row>
    <row r="160" spans="1:10" s="896" customFormat="1" ht="17.149999999999999" customHeight="1">
      <c r="A160" s="1152" t="s">
        <v>1345</v>
      </c>
      <c r="B160" s="1153"/>
      <c r="C160" s="681"/>
      <c r="D160" s="897">
        <f t="shared" ref="D160:D223" si="2">SUM(E160:H160)</f>
        <v>163130.04889999999</v>
      </c>
      <c r="E160" s="899">
        <v>163130.04889999999</v>
      </c>
      <c r="F160" s="899"/>
      <c r="G160" s="899"/>
      <c r="H160" s="899"/>
      <c r="I160" s="1149" t="s">
        <v>658</v>
      </c>
      <c r="J160" s="898"/>
    </row>
    <row r="161" spans="1:10" s="896" customFormat="1" ht="17.149999999999999" customHeight="1">
      <c r="A161" s="1152" t="s">
        <v>763</v>
      </c>
      <c r="B161" s="1153"/>
      <c r="C161" s="676"/>
      <c r="D161" s="897">
        <f t="shared" si="2"/>
        <v>0</v>
      </c>
      <c r="E161" s="899"/>
      <c r="F161" s="899"/>
      <c r="G161" s="899"/>
      <c r="H161" s="899"/>
      <c r="I161" s="1149" t="s">
        <v>658</v>
      </c>
      <c r="J161" s="898"/>
    </row>
    <row r="162" spans="1:10" s="896" customFormat="1" ht="17.149999999999999" customHeight="1">
      <c r="A162" s="1152" t="s">
        <v>1346</v>
      </c>
      <c r="B162" s="1153"/>
      <c r="C162" s="681"/>
      <c r="D162" s="897">
        <f t="shared" si="2"/>
        <v>1424.83038476348</v>
      </c>
      <c r="E162" s="899">
        <v>1424.83038476348</v>
      </c>
      <c r="F162" s="899"/>
      <c r="G162" s="899"/>
      <c r="H162" s="899"/>
      <c r="I162" s="1149" t="s">
        <v>658</v>
      </c>
      <c r="J162" s="898"/>
    </row>
    <row r="163" spans="1:10" s="896" customFormat="1" ht="17.149999999999999" customHeight="1">
      <c r="A163" s="1152" t="s">
        <v>1488</v>
      </c>
      <c r="B163" s="1153"/>
      <c r="C163" s="676"/>
      <c r="D163" s="897">
        <f t="shared" si="2"/>
        <v>854.95541855347506</v>
      </c>
      <c r="E163" s="899">
        <v>854.95541855347506</v>
      </c>
      <c r="F163" s="899"/>
      <c r="G163" s="899"/>
      <c r="H163" s="899"/>
      <c r="I163" s="1149" t="s">
        <v>658</v>
      </c>
      <c r="J163" s="898"/>
    </row>
    <row r="164" spans="1:10" s="896" customFormat="1" ht="17.149999999999999" customHeight="1">
      <c r="A164" s="1152" t="s">
        <v>1347</v>
      </c>
      <c r="B164" s="1153"/>
      <c r="C164" s="676"/>
      <c r="D164" s="897">
        <f t="shared" si="2"/>
        <v>0</v>
      </c>
      <c r="E164" s="899">
        <v>0</v>
      </c>
      <c r="F164" s="899"/>
      <c r="G164" s="899"/>
      <c r="H164" s="899"/>
      <c r="I164" s="1149" t="s">
        <v>658</v>
      </c>
      <c r="J164" s="898"/>
    </row>
    <row r="165" spans="1:10" s="896" customFormat="1" ht="17.149999999999999" customHeight="1">
      <c r="A165" s="1152" t="s">
        <v>1099</v>
      </c>
      <c r="B165" s="1153"/>
      <c r="C165" s="676"/>
      <c r="D165" s="897">
        <f t="shared" si="2"/>
        <v>0</v>
      </c>
      <c r="E165" s="899"/>
      <c r="F165" s="899"/>
      <c r="G165" s="899"/>
      <c r="H165" s="899"/>
      <c r="I165" s="1149" t="s">
        <v>658</v>
      </c>
      <c r="J165" s="898"/>
    </row>
    <row r="166" spans="1:10" s="896" customFormat="1" ht="34" customHeight="1">
      <c r="A166" s="1152" t="s">
        <v>548</v>
      </c>
      <c r="B166" s="1153"/>
      <c r="C166" s="676"/>
      <c r="D166" s="897">
        <f t="shared" si="2"/>
        <v>0</v>
      </c>
      <c r="E166" s="899"/>
      <c r="F166" s="899"/>
      <c r="G166" s="899">
        <v>0</v>
      </c>
      <c r="H166" s="899"/>
      <c r="I166" s="1149" t="s">
        <v>34</v>
      </c>
      <c r="J166" s="898"/>
    </row>
    <row r="167" spans="1:10" s="896" customFormat="1" ht="34" customHeight="1">
      <c r="A167" s="1152" t="s">
        <v>564</v>
      </c>
      <c r="B167" s="1153"/>
      <c r="C167" s="676"/>
      <c r="D167" s="897">
        <f t="shared" si="2"/>
        <v>0</v>
      </c>
      <c r="E167" s="899"/>
      <c r="F167" s="899"/>
      <c r="G167" s="899">
        <v>0</v>
      </c>
      <c r="H167" s="899"/>
      <c r="I167" s="1149" t="s">
        <v>18</v>
      </c>
      <c r="J167" s="898"/>
    </row>
    <row r="168" spans="1:10" s="896" customFormat="1" ht="17.149999999999999" customHeight="1">
      <c r="A168" s="1152" t="s">
        <v>1100</v>
      </c>
      <c r="B168" s="1153"/>
      <c r="C168" s="676"/>
      <c r="D168" s="897">
        <f t="shared" si="2"/>
        <v>152.77199999999999</v>
      </c>
      <c r="E168" s="899">
        <v>152.77199999999999</v>
      </c>
      <c r="F168" s="899"/>
      <c r="G168" s="899"/>
      <c r="H168" s="899"/>
      <c r="I168" s="1149" t="s">
        <v>658</v>
      </c>
      <c r="J168" s="898"/>
    </row>
    <row r="169" spans="1:10" s="896" customFormat="1" ht="17.149999999999999" customHeight="1">
      <c r="A169" s="1152" t="s">
        <v>1101</v>
      </c>
      <c r="B169" s="1153"/>
      <c r="C169" s="681"/>
      <c r="D169" s="897">
        <f t="shared" si="2"/>
        <v>2469.0169999999998</v>
      </c>
      <c r="E169" s="899">
        <v>2469.0169999999998</v>
      </c>
      <c r="F169" s="899"/>
      <c r="G169" s="899"/>
      <c r="H169" s="899"/>
      <c r="I169" s="1149" t="s">
        <v>658</v>
      </c>
      <c r="J169" s="898"/>
    </row>
    <row r="170" spans="1:10" s="896" customFormat="1" ht="17.149999999999999" customHeight="1">
      <c r="A170" s="1152" t="s">
        <v>1625</v>
      </c>
      <c r="B170" s="1153"/>
      <c r="C170" s="676"/>
      <c r="D170" s="897">
        <f t="shared" si="2"/>
        <v>5155.6963619999997</v>
      </c>
      <c r="E170" s="899">
        <v>5155.6963619999997</v>
      </c>
      <c r="F170" s="899"/>
      <c r="G170" s="899"/>
      <c r="H170" s="899"/>
      <c r="I170" s="1149"/>
      <c r="J170" s="898"/>
    </row>
    <row r="171" spans="1:10" s="896" customFormat="1" ht="17.149999999999999" customHeight="1">
      <c r="A171" s="1152" t="s">
        <v>1102</v>
      </c>
      <c r="B171" s="1153"/>
      <c r="C171" s="676"/>
      <c r="D171" s="897">
        <f t="shared" si="2"/>
        <v>0</v>
      </c>
      <c r="E171" s="899">
        <v>0</v>
      </c>
      <c r="F171" s="899"/>
      <c r="G171" s="899"/>
      <c r="H171" s="899"/>
      <c r="I171" s="1149" t="s">
        <v>658</v>
      </c>
      <c r="J171" s="898"/>
    </row>
    <row r="172" spans="1:10" s="896" customFormat="1" ht="17.149999999999999" customHeight="1">
      <c r="A172" s="1152" t="s">
        <v>757</v>
      </c>
      <c r="B172" s="1153"/>
      <c r="C172" s="892"/>
      <c r="D172" s="897">
        <f t="shared" si="2"/>
        <v>0</v>
      </c>
      <c r="E172" s="899"/>
      <c r="F172" s="899"/>
      <c r="G172" s="899"/>
      <c r="H172" s="899"/>
      <c r="I172" s="1149" t="s">
        <v>658</v>
      </c>
      <c r="J172" s="898"/>
    </row>
    <row r="173" spans="1:10" s="896" customFormat="1" ht="17.149999999999999" customHeight="1">
      <c r="A173" s="1152" t="s">
        <v>1489</v>
      </c>
      <c r="B173" s="1153"/>
      <c r="C173" s="676"/>
      <c r="D173" s="897">
        <f t="shared" si="2"/>
        <v>1342.23</v>
      </c>
      <c r="E173" s="899">
        <v>1342.23</v>
      </c>
      <c r="F173" s="899"/>
      <c r="G173" s="899"/>
      <c r="H173" s="899"/>
      <c r="I173" s="1149" t="s">
        <v>658</v>
      </c>
      <c r="J173" s="898"/>
    </row>
    <row r="174" spans="1:10" s="896" customFormat="1" ht="17.149999999999999" customHeight="1">
      <c r="A174" s="1152" t="s">
        <v>553</v>
      </c>
      <c r="B174" s="1153"/>
      <c r="C174" s="681"/>
      <c r="D174" s="897">
        <f t="shared" si="2"/>
        <v>122.886</v>
      </c>
      <c r="E174" s="899">
        <v>122.886</v>
      </c>
      <c r="F174" s="899"/>
      <c r="G174" s="899"/>
      <c r="H174" s="899"/>
      <c r="I174" s="1149" t="s">
        <v>886</v>
      </c>
      <c r="J174" s="898"/>
    </row>
    <row r="175" spans="1:10" s="896" customFormat="1" ht="17.149999999999999" customHeight="1">
      <c r="A175" s="1152" t="s">
        <v>770</v>
      </c>
      <c r="B175" s="1153"/>
      <c r="C175" s="681"/>
      <c r="D175" s="897">
        <f t="shared" si="2"/>
        <v>1159.636</v>
      </c>
      <c r="E175" s="899">
        <v>1159.636</v>
      </c>
      <c r="F175" s="899"/>
      <c r="G175" s="899"/>
      <c r="H175" s="899"/>
      <c r="I175" s="1149" t="s">
        <v>658</v>
      </c>
      <c r="J175" s="898"/>
    </row>
    <row r="176" spans="1:10" s="896" customFormat="1" ht="34" customHeight="1">
      <c r="A176" s="1152" t="s">
        <v>565</v>
      </c>
      <c r="B176" s="1153"/>
      <c r="C176" s="681"/>
      <c r="D176" s="897">
        <f t="shared" si="2"/>
        <v>1720.7460000000001</v>
      </c>
      <c r="E176" s="899">
        <v>1720.7460000000001</v>
      </c>
      <c r="F176" s="899"/>
      <c r="G176" s="899"/>
      <c r="H176" s="899"/>
      <c r="I176" s="1149" t="s">
        <v>264</v>
      </c>
      <c r="J176" s="898"/>
    </row>
    <row r="177" spans="1:10" s="896" customFormat="1" ht="34" customHeight="1">
      <c r="A177" s="1152" t="s">
        <v>566</v>
      </c>
      <c r="B177" s="1153"/>
      <c r="C177" s="681"/>
      <c r="D177" s="897">
        <f t="shared" si="2"/>
        <v>424.39800000000002</v>
      </c>
      <c r="E177" s="899">
        <v>424.39800000000002</v>
      </c>
      <c r="F177" s="899"/>
      <c r="G177" s="899"/>
      <c r="H177" s="899"/>
      <c r="I177" s="1149" t="s">
        <v>264</v>
      </c>
      <c r="J177" s="898"/>
    </row>
    <row r="178" spans="1:10" s="896" customFormat="1" ht="17.149999999999999" customHeight="1">
      <c r="A178" s="1152" t="s">
        <v>567</v>
      </c>
      <c r="B178" s="1153"/>
      <c r="C178" s="681"/>
      <c r="D178" s="897">
        <f t="shared" si="2"/>
        <v>7628.4080000000004</v>
      </c>
      <c r="E178" s="899">
        <v>0</v>
      </c>
      <c r="F178" s="899"/>
      <c r="G178" s="899"/>
      <c r="H178" s="899">
        <v>7628.4080000000004</v>
      </c>
      <c r="I178" s="1149" t="s">
        <v>5</v>
      </c>
      <c r="J178" s="898"/>
    </row>
    <row r="179" spans="1:10" s="896" customFormat="1" ht="17.149999999999999" customHeight="1">
      <c r="A179" s="1152" t="s">
        <v>568</v>
      </c>
      <c r="B179" s="1153"/>
      <c r="C179" s="681"/>
      <c r="D179" s="897">
        <f t="shared" si="2"/>
        <v>325.44200000000001</v>
      </c>
      <c r="E179" s="899">
        <v>325.44200000000001</v>
      </c>
      <c r="F179" s="899"/>
      <c r="G179" s="899"/>
      <c r="H179" s="899"/>
      <c r="I179" s="1149" t="s">
        <v>6</v>
      </c>
      <c r="J179" s="898"/>
    </row>
    <row r="180" spans="1:10" s="896" customFormat="1" ht="17.149999999999999" customHeight="1">
      <c r="A180" s="1152" t="s">
        <v>1198</v>
      </c>
      <c r="B180" s="1153"/>
      <c r="C180" s="681"/>
      <c r="D180" s="897">
        <f t="shared" si="2"/>
        <v>65421.777750000001</v>
      </c>
      <c r="E180" s="899">
        <v>65421.777750000001</v>
      </c>
      <c r="F180" s="899"/>
      <c r="G180" s="899"/>
      <c r="H180" s="899"/>
      <c r="I180" s="1149" t="s">
        <v>658</v>
      </c>
      <c r="J180" s="898"/>
    </row>
    <row r="181" spans="1:10" s="896" customFormat="1" ht="17.149999999999999" customHeight="1">
      <c r="A181" s="1152" t="s">
        <v>554</v>
      </c>
      <c r="B181" s="1153"/>
      <c r="C181" s="681"/>
      <c r="D181" s="897">
        <f t="shared" si="2"/>
        <v>0</v>
      </c>
      <c r="E181" s="899"/>
      <c r="F181" s="899"/>
      <c r="G181" s="899"/>
      <c r="H181" s="899"/>
      <c r="I181" s="1149" t="s">
        <v>237</v>
      </c>
      <c r="J181" s="898"/>
    </row>
    <row r="182" spans="1:10" s="896" customFormat="1" ht="17.149999999999999" customHeight="1">
      <c r="A182" s="1152" t="s">
        <v>1490</v>
      </c>
      <c r="B182" s="1153"/>
      <c r="C182" s="681"/>
      <c r="D182" s="897">
        <f t="shared" si="2"/>
        <v>0.35399999999999998</v>
      </c>
      <c r="E182" s="899">
        <v>0.35399999999999998</v>
      </c>
      <c r="F182" s="899"/>
      <c r="G182" s="899"/>
      <c r="H182" s="899"/>
      <c r="I182" s="1149" t="s">
        <v>237</v>
      </c>
      <c r="J182" s="898"/>
    </row>
    <row r="183" spans="1:10" s="896" customFormat="1" ht="17.149999999999999" customHeight="1">
      <c r="A183" s="1152" t="s">
        <v>1491</v>
      </c>
      <c r="B183" s="1153"/>
      <c r="C183" s="681"/>
      <c r="D183" s="897">
        <f t="shared" si="2"/>
        <v>2.105</v>
      </c>
      <c r="E183" s="899">
        <v>2.105</v>
      </c>
      <c r="F183" s="899"/>
      <c r="G183" s="899"/>
      <c r="H183" s="899"/>
      <c r="I183" s="1149" t="s">
        <v>237</v>
      </c>
      <c r="J183" s="898"/>
    </row>
    <row r="184" spans="1:10" s="896" customFormat="1" ht="17.149999999999999" customHeight="1">
      <c r="A184" s="1152" t="s">
        <v>760</v>
      </c>
      <c r="B184" s="1153"/>
      <c r="C184" s="681"/>
      <c r="D184" s="897">
        <f t="shared" si="2"/>
        <v>3748.739</v>
      </c>
      <c r="E184" s="899">
        <v>3748.739</v>
      </c>
      <c r="F184" s="899"/>
      <c r="G184" s="899"/>
      <c r="H184" s="899"/>
      <c r="I184" s="1149" t="s">
        <v>658</v>
      </c>
      <c r="J184" s="898"/>
    </row>
    <row r="185" spans="1:10" s="896" customFormat="1" ht="17.149999999999999" customHeight="1">
      <c r="A185" s="1152" t="s">
        <v>1492</v>
      </c>
      <c r="B185" s="1153"/>
      <c r="C185" s="681"/>
      <c r="D185" s="897">
        <f t="shared" si="2"/>
        <v>0</v>
      </c>
      <c r="E185" s="899"/>
      <c r="F185" s="899"/>
      <c r="G185" s="899"/>
      <c r="H185" s="899"/>
      <c r="I185" s="1149" t="s">
        <v>658</v>
      </c>
      <c r="J185" s="898"/>
    </row>
    <row r="186" spans="1:10" s="896" customFormat="1" ht="17.149999999999999" customHeight="1">
      <c r="A186" s="1152" t="s">
        <v>569</v>
      </c>
      <c r="B186" s="1153"/>
      <c r="C186" s="681"/>
      <c r="D186" s="897">
        <f t="shared" si="2"/>
        <v>0</v>
      </c>
      <c r="E186" s="899"/>
      <c r="F186" s="899"/>
      <c r="G186" s="899"/>
      <c r="H186" s="899">
        <v>0</v>
      </c>
      <c r="I186" s="1149" t="s">
        <v>270</v>
      </c>
      <c r="J186" s="898"/>
    </row>
    <row r="187" spans="1:10" s="896" customFormat="1" ht="17.149999999999999" customHeight="1">
      <c r="A187" s="1152" t="s">
        <v>916</v>
      </c>
      <c r="B187" s="1153"/>
      <c r="C187" s="681"/>
      <c r="D187" s="897">
        <f t="shared" si="2"/>
        <v>0</v>
      </c>
      <c r="E187" s="899"/>
      <c r="F187" s="899"/>
      <c r="G187" s="899"/>
      <c r="H187" s="899"/>
      <c r="I187" s="1149" t="s">
        <v>658</v>
      </c>
      <c r="J187" s="898"/>
    </row>
    <row r="188" spans="1:10" s="896" customFormat="1" ht="17.149999999999999" customHeight="1">
      <c r="A188" s="1152" t="s">
        <v>570</v>
      </c>
      <c r="B188" s="1153"/>
      <c r="C188" s="681"/>
      <c r="D188" s="897">
        <f t="shared" si="2"/>
        <v>0</v>
      </c>
      <c r="E188" s="899">
        <v>0</v>
      </c>
      <c r="F188" s="899"/>
      <c r="G188" s="899"/>
      <c r="H188" s="899"/>
      <c r="I188" s="1149" t="s">
        <v>270</v>
      </c>
      <c r="J188" s="898"/>
    </row>
    <row r="189" spans="1:10" s="896" customFormat="1" ht="17.149999999999999" customHeight="1">
      <c r="A189" s="1152" t="s">
        <v>571</v>
      </c>
      <c r="B189" s="1153"/>
      <c r="C189" s="681"/>
      <c r="D189" s="897">
        <f t="shared" si="2"/>
        <v>2687.7449999999999</v>
      </c>
      <c r="E189" s="899"/>
      <c r="F189" s="899"/>
      <c r="G189" s="899">
        <v>2687.7449999999999</v>
      </c>
      <c r="H189" s="899"/>
      <c r="I189" s="1149" t="s">
        <v>35</v>
      </c>
      <c r="J189" s="898"/>
    </row>
    <row r="190" spans="1:10" s="896" customFormat="1" ht="17.149999999999999" customHeight="1">
      <c r="A190" s="1152" t="s">
        <v>1493</v>
      </c>
      <c r="B190" s="1153"/>
      <c r="C190" s="681"/>
      <c r="D190" s="897">
        <f t="shared" si="2"/>
        <v>7612.0219999999999</v>
      </c>
      <c r="E190" s="899">
        <v>7612.0219999999999</v>
      </c>
      <c r="F190" s="899"/>
      <c r="G190" s="899"/>
      <c r="H190" s="899"/>
      <c r="I190" s="1149" t="s">
        <v>658</v>
      </c>
      <c r="J190" s="898"/>
    </row>
    <row r="191" spans="1:10" s="896" customFormat="1" ht="17.149999999999999" customHeight="1">
      <c r="A191" s="1152" t="s">
        <v>738</v>
      </c>
      <c r="B191" s="1153"/>
      <c r="C191" s="681"/>
      <c r="D191" s="897">
        <f t="shared" si="2"/>
        <v>0</v>
      </c>
      <c r="E191" s="899">
        <v>0</v>
      </c>
      <c r="F191" s="899"/>
      <c r="G191" s="899"/>
      <c r="H191" s="899"/>
      <c r="I191" s="1149" t="s">
        <v>658</v>
      </c>
      <c r="J191" s="898"/>
    </row>
    <row r="192" spans="1:10" s="896" customFormat="1" ht="17.149999999999999" customHeight="1">
      <c r="A192" s="1152" t="s">
        <v>740</v>
      </c>
      <c r="B192" s="1153"/>
      <c r="C192" s="681"/>
      <c r="D192" s="897">
        <f t="shared" si="2"/>
        <v>169.02600000000001</v>
      </c>
      <c r="E192" s="899">
        <v>169.02600000000001</v>
      </c>
      <c r="F192" s="899"/>
      <c r="G192" s="899"/>
      <c r="H192" s="899"/>
      <c r="I192" s="1149" t="s">
        <v>658</v>
      </c>
      <c r="J192" s="898"/>
    </row>
    <row r="193" spans="1:10" s="896" customFormat="1" ht="17.149999999999999" customHeight="1">
      <c r="A193" s="1152" t="s">
        <v>742</v>
      </c>
      <c r="B193" s="1153"/>
      <c r="C193" s="681"/>
      <c r="D193" s="897">
        <f t="shared" si="2"/>
        <v>0</v>
      </c>
      <c r="E193" s="899"/>
      <c r="F193" s="899"/>
      <c r="G193" s="899"/>
      <c r="H193" s="899"/>
      <c r="I193" s="1149" t="s">
        <v>658</v>
      </c>
      <c r="J193" s="898"/>
    </row>
    <row r="194" spans="1:10" s="896" customFormat="1" ht="17.149999999999999" customHeight="1">
      <c r="A194" s="1152" t="s">
        <v>572</v>
      </c>
      <c r="B194" s="1153"/>
      <c r="C194" s="681"/>
      <c r="D194" s="897">
        <f t="shared" si="2"/>
        <v>0</v>
      </c>
      <c r="E194" s="899"/>
      <c r="F194" s="899"/>
      <c r="G194" s="899"/>
      <c r="H194" s="899"/>
      <c r="I194" s="1149" t="s">
        <v>7</v>
      </c>
      <c r="J194" s="898"/>
    </row>
    <row r="195" spans="1:10" s="896" customFormat="1" ht="17.149999999999999" customHeight="1">
      <c r="A195" s="1152" t="s">
        <v>1103</v>
      </c>
      <c r="B195" s="1153"/>
      <c r="C195" s="681"/>
      <c r="D195" s="897">
        <f t="shared" si="2"/>
        <v>-4660.7809999999999</v>
      </c>
      <c r="E195" s="899">
        <v>-4660.7809999999999</v>
      </c>
      <c r="F195" s="899"/>
      <c r="G195" s="899"/>
      <c r="H195" s="899"/>
      <c r="I195" s="1149" t="s">
        <v>658</v>
      </c>
      <c r="J195" s="898"/>
    </row>
    <row r="196" spans="1:10" s="896" customFormat="1" ht="17.149999999999999" customHeight="1">
      <c r="A196" s="1152" t="s">
        <v>1104</v>
      </c>
      <c r="B196" s="1153"/>
      <c r="C196" s="681"/>
      <c r="D196" s="897">
        <f t="shared" si="2"/>
        <v>4662.0479999999998</v>
      </c>
      <c r="E196" s="899">
        <v>4662.0479999999998</v>
      </c>
      <c r="F196" s="899"/>
      <c r="G196" s="899"/>
      <c r="H196" s="899"/>
      <c r="I196" s="1149" t="s">
        <v>658</v>
      </c>
      <c r="J196" s="898"/>
    </row>
    <row r="197" spans="1:10" s="896" customFormat="1" ht="17.149999999999999" customHeight="1">
      <c r="A197" s="1152" t="s">
        <v>1068</v>
      </c>
      <c r="B197" s="1153"/>
      <c r="C197" s="681"/>
      <c r="D197" s="897">
        <f t="shared" si="2"/>
        <v>0</v>
      </c>
      <c r="E197" s="899"/>
      <c r="F197" s="899"/>
      <c r="G197" s="899"/>
      <c r="H197" s="899"/>
      <c r="I197" s="1149" t="s">
        <v>658</v>
      </c>
      <c r="J197" s="898"/>
    </row>
    <row r="198" spans="1:10" s="896" customFormat="1" ht="17.149999999999999" customHeight="1">
      <c r="A198" s="1152" t="s">
        <v>1069</v>
      </c>
      <c r="B198" s="1153"/>
      <c r="C198" s="681"/>
      <c r="D198" s="897">
        <f t="shared" si="2"/>
        <v>0</v>
      </c>
      <c r="E198" s="899"/>
      <c r="F198" s="899"/>
      <c r="G198" s="899"/>
      <c r="H198" s="899"/>
      <c r="I198" s="1149" t="s">
        <v>658</v>
      </c>
      <c r="J198" s="898"/>
    </row>
    <row r="199" spans="1:10" s="896" customFormat="1" ht="17.149999999999999" customHeight="1">
      <c r="A199" s="1152" t="s">
        <v>1070</v>
      </c>
      <c r="B199" s="1153"/>
      <c r="C199" s="681"/>
      <c r="D199" s="897">
        <f t="shared" si="2"/>
        <v>0</v>
      </c>
      <c r="E199" s="899"/>
      <c r="F199" s="899"/>
      <c r="G199" s="899"/>
      <c r="H199" s="899"/>
      <c r="I199" s="1149" t="s">
        <v>658</v>
      </c>
      <c r="J199" s="898"/>
    </row>
    <row r="200" spans="1:10" s="896" customFormat="1" ht="17.149999999999999" customHeight="1">
      <c r="A200" s="1152" t="s">
        <v>1455</v>
      </c>
      <c r="B200" s="1153"/>
      <c r="C200" s="681"/>
      <c r="D200" s="897">
        <f t="shared" si="2"/>
        <v>-1E-3</v>
      </c>
      <c r="E200" s="899">
        <v>-1E-3</v>
      </c>
      <c r="F200" s="899"/>
      <c r="G200" s="899"/>
      <c r="H200" s="899"/>
      <c r="I200" s="1149" t="s">
        <v>658</v>
      </c>
      <c r="J200" s="898"/>
    </row>
    <row r="201" spans="1:10" s="896" customFormat="1" ht="17.149999999999999" customHeight="1">
      <c r="A201" s="1152" t="s">
        <v>1105</v>
      </c>
      <c r="B201" s="1153"/>
      <c r="C201" s="681"/>
      <c r="D201" s="897">
        <f t="shared" si="2"/>
        <v>0</v>
      </c>
      <c r="E201" s="899">
        <v>0</v>
      </c>
      <c r="F201" s="899"/>
      <c r="G201" s="899"/>
      <c r="H201" s="899"/>
      <c r="I201" s="1149" t="s">
        <v>658</v>
      </c>
      <c r="J201" s="898"/>
    </row>
    <row r="202" spans="1:10" s="896" customFormat="1" ht="17.149999999999999" customHeight="1">
      <c r="A202" s="1152" t="s">
        <v>1106</v>
      </c>
      <c r="B202" s="1153"/>
      <c r="C202" s="681"/>
      <c r="D202" s="897">
        <f t="shared" si="2"/>
        <v>0</v>
      </c>
      <c r="E202" s="899"/>
      <c r="F202" s="899"/>
      <c r="G202" s="899"/>
      <c r="H202" s="899"/>
      <c r="I202" s="1149" t="s">
        <v>658</v>
      </c>
      <c r="J202" s="898"/>
    </row>
    <row r="203" spans="1:10" s="896" customFormat="1" ht="17.149999999999999" customHeight="1">
      <c r="A203" s="1152" t="s">
        <v>1107</v>
      </c>
      <c r="B203" s="1153"/>
      <c r="C203" s="681"/>
      <c r="D203" s="897">
        <f t="shared" si="2"/>
        <v>4.702</v>
      </c>
      <c r="E203" s="899">
        <v>4.702</v>
      </c>
      <c r="F203" s="899"/>
      <c r="G203" s="899"/>
      <c r="H203" s="899"/>
      <c r="I203" s="1149" t="s">
        <v>658</v>
      </c>
      <c r="J203" s="898"/>
    </row>
    <row r="204" spans="1:10" s="896" customFormat="1" ht="17.149999999999999" customHeight="1">
      <c r="A204" s="1152" t="s">
        <v>1108</v>
      </c>
      <c r="B204" s="1153"/>
      <c r="C204" s="681"/>
      <c r="D204" s="897">
        <f t="shared" si="2"/>
        <v>51.463000000000001</v>
      </c>
      <c r="E204" s="899">
        <v>51.463000000000001</v>
      </c>
      <c r="F204" s="899"/>
      <c r="G204" s="899"/>
      <c r="H204" s="899"/>
      <c r="I204" s="1149" t="s">
        <v>658</v>
      </c>
      <c r="J204" s="898"/>
    </row>
    <row r="205" spans="1:10" s="896" customFormat="1" ht="17.149999999999999" customHeight="1">
      <c r="A205" s="1152" t="s">
        <v>1109</v>
      </c>
      <c r="B205" s="1153"/>
      <c r="C205" s="681"/>
      <c r="D205" s="897">
        <f t="shared" si="2"/>
        <v>339.47199999999998</v>
      </c>
      <c r="E205" s="899">
        <v>339.47199999999998</v>
      </c>
      <c r="F205" s="899"/>
      <c r="G205" s="899"/>
      <c r="H205" s="899"/>
      <c r="I205" s="1149" t="s">
        <v>658</v>
      </c>
      <c r="J205" s="898"/>
    </row>
    <row r="206" spans="1:10" s="896" customFormat="1" ht="17.149999999999999" customHeight="1">
      <c r="A206" s="1152" t="s">
        <v>1110</v>
      </c>
      <c r="B206" s="1153"/>
      <c r="C206" s="681"/>
      <c r="D206" s="897">
        <f t="shared" si="2"/>
        <v>0</v>
      </c>
      <c r="E206" s="899">
        <v>0</v>
      </c>
      <c r="F206" s="899"/>
      <c r="G206" s="899"/>
      <c r="H206" s="899"/>
      <c r="I206" s="1149" t="s">
        <v>658</v>
      </c>
      <c r="J206" s="898"/>
    </row>
    <row r="207" spans="1:10" s="896" customFormat="1" ht="17.149999999999999" customHeight="1">
      <c r="A207" s="1152" t="s">
        <v>1111</v>
      </c>
      <c r="B207" s="1153"/>
      <c r="C207" s="681"/>
      <c r="D207" s="897">
        <f t="shared" si="2"/>
        <v>2019.501</v>
      </c>
      <c r="E207" s="899">
        <v>2019.501</v>
      </c>
      <c r="F207" s="899"/>
      <c r="G207" s="899"/>
      <c r="H207" s="899"/>
      <c r="I207" s="1149" t="s">
        <v>658</v>
      </c>
      <c r="J207" s="898"/>
    </row>
    <row r="208" spans="1:10" s="896" customFormat="1" ht="17.149999999999999" customHeight="1">
      <c r="A208" s="1152" t="s">
        <v>1348</v>
      </c>
      <c r="B208" s="1153"/>
      <c r="C208" s="681"/>
      <c r="D208" s="897">
        <f t="shared" si="2"/>
        <v>131.55000000000001</v>
      </c>
      <c r="E208" s="899">
        <v>131.55000000000001</v>
      </c>
      <c r="F208" s="899"/>
      <c r="G208" s="899"/>
      <c r="H208" s="899"/>
      <c r="I208" s="1149" t="s">
        <v>658</v>
      </c>
      <c r="J208" s="898"/>
    </row>
    <row r="209" spans="1:10" s="896" customFormat="1" ht="17.149999999999999" customHeight="1">
      <c r="A209" s="1152" t="s">
        <v>1403</v>
      </c>
      <c r="B209" s="1153"/>
      <c r="C209" s="681"/>
      <c r="D209" s="897">
        <f t="shared" si="2"/>
        <v>0</v>
      </c>
      <c r="E209" s="899">
        <v>0</v>
      </c>
      <c r="F209" s="899"/>
      <c r="G209" s="899"/>
      <c r="H209" s="899"/>
      <c r="I209" s="1149" t="s">
        <v>658</v>
      </c>
      <c r="J209" s="898"/>
    </row>
    <row r="210" spans="1:10" s="896" customFormat="1" ht="17.149999999999999" customHeight="1">
      <c r="A210" s="1152" t="s">
        <v>1112</v>
      </c>
      <c r="B210" s="1153"/>
      <c r="C210" s="681"/>
      <c r="D210" s="897">
        <f t="shared" si="2"/>
        <v>3.129</v>
      </c>
      <c r="E210" s="899">
        <v>3.129</v>
      </c>
      <c r="F210" s="899"/>
      <c r="G210" s="899"/>
      <c r="H210" s="899"/>
      <c r="I210" s="1149" t="s">
        <v>658</v>
      </c>
      <c r="J210" s="898"/>
    </row>
    <row r="211" spans="1:10" s="896" customFormat="1" ht="17.149999999999999" customHeight="1">
      <c r="A211" s="1152" t="s">
        <v>1113</v>
      </c>
      <c r="B211" s="1153"/>
      <c r="C211" s="681"/>
      <c r="D211" s="897">
        <f t="shared" si="2"/>
        <v>0</v>
      </c>
      <c r="E211" s="899">
        <v>0</v>
      </c>
      <c r="F211" s="899"/>
      <c r="G211" s="899"/>
      <c r="H211" s="899"/>
      <c r="I211" s="1149" t="s">
        <v>658</v>
      </c>
      <c r="J211" s="898"/>
    </row>
    <row r="212" spans="1:10" s="896" customFormat="1" ht="17.149999999999999" customHeight="1">
      <c r="A212" s="1152" t="s">
        <v>1626</v>
      </c>
      <c r="B212" s="1153"/>
      <c r="C212" s="681"/>
      <c r="D212" s="897">
        <f t="shared" si="2"/>
        <v>1245.6579999999999</v>
      </c>
      <c r="E212" s="899">
        <v>1245.6579999999999</v>
      </c>
      <c r="F212" s="899"/>
      <c r="G212" s="899"/>
      <c r="H212" s="899"/>
      <c r="I212" s="1149" t="s">
        <v>658</v>
      </c>
      <c r="J212" s="898"/>
    </row>
    <row r="213" spans="1:10" s="896" customFormat="1" ht="17.149999999999999" customHeight="1">
      <c r="A213" s="1152" t="s">
        <v>1453</v>
      </c>
      <c r="B213" s="1153"/>
      <c r="C213" s="681"/>
      <c r="D213" s="897">
        <f t="shared" si="2"/>
        <v>296.8</v>
      </c>
      <c r="E213" s="899">
        <v>296.8</v>
      </c>
      <c r="F213" s="899"/>
      <c r="G213" s="899"/>
      <c r="H213" s="899"/>
      <c r="I213" s="1149" t="s">
        <v>658</v>
      </c>
      <c r="J213" s="898"/>
    </row>
    <row r="214" spans="1:10" s="896" customFormat="1" ht="17.149999999999999" customHeight="1">
      <c r="A214" s="1152" t="s">
        <v>1454</v>
      </c>
      <c r="B214" s="1153"/>
      <c r="C214" s="681"/>
      <c r="D214" s="897">
        <f t="shared" si="2"/>
        <v>593.4</v>
      </c>
      <c r="E214" s="899">
        <v>593.4</v>
      </c>
      <c r="F214" s="899"/>
      <c r="G214" s="899"/>
      <c r="H214" s="899"/>
      <c r="I214" s="1149" t="s">
        <v>658</v>
      </c>
      <c r="J214" s="898"/>
    </row>
    <row r="215" spans="1:10" s="896" customFormat="1" ht="17.149999999999999" customHeight="1">
      <c r="A215" s="1152" t="s">
        <v>1114</v>
      </c>
      <c r="B215" s="1153"/>
      <c r="C215" s="681"/>
      <c r="D215" s="897">
        <f t="shared" si="2"/>
        <v>0</v>
      </c>
      <c r="E215" s="899"/>
      <c r="F215" s="899"/>
      <c r="G215" s="899"/>
      <c r="H215" s="899"/>
      <c r="I215" s="1149" t="s">
        <v>658</v>
      </c>
      <c r="J215" s="898"/>
    </row>
    <row r="216" spans="1:10" s="896" customFormat="1" ht="17.149999999999999" customHeight="1">
      <c r="A216" s="1152" t="s">
        <v>1115</v>
      </c>
      <c r="B216" s="1153"/>
      <c r="C216" s="681"/>
      <c r="D216" s="897">
        <f t="shared" si="2"/>
        <v>19964.004000000001</v>
      </c>
      <c r="E216" s="899">
        <v>19964.004000000001</v>
      </c>
      <c r="F216" s="899"/>
      <c r="G216" s="899"/>
      <c r="H216" s="899"/>
      <c r="I216" s="1149" t="s">
        <v>658</v>
      </c>
      <c r="J216" s="898"/>
    </row>
    <row r="217" spans="1:10" s="896" customFormat="1" ht="17.149999999999999" customHeight="1">
      <c r="A217" s="1152" t="s">
        <v>1349</v>
      </c>
      <c r="B217" s="1153"/>
      <c r="C217" s="681"/>
      <c r="D217" s="897">
        <f t="shared" si="2"/>
        <v>5872.4480000000003</v>
      </c>
      <c r="E217" s="899">
        <v>5872.4480000000003</v>
      </c>
      <c r="F217" s="899"/>
      <c r="G217" s="899"/>
      <c r="H217" s="899"/>
      <c r="I217" s="1149" t="s">
        <v>658</v>
      </c>
      <c r="J217" s="898"/>
    </row>
    <row r="218" spans="1:10" s="896" customFormat="1" ht="17.149999999999999" customHeight="1">
      <c r="A218" s="1152" t="s">
        <v>1071</v>
      </c>
      <c r="B218" s="1153"/>
      <c r="C218" s="681"/>
      <c r="D218" s="897">
        <f t="shared" si="2"/>
        <v>268081.052547</v>
      </c>
      <c r="E218" s="899">
        <v>268081.052547</v>
      </c>
      <c r="F218" s="899"/>
      <c r="G218" s="899"/>
      <c r="H218" s="899"/>
      <c r="I218" s="1149" t="s">
        <v>658</v>
      </c>
      <c r="J218" s="898"/>
    </row>
    <row r="219" spans="1:10" s="896" customFormat="1" ht="17.149999999999999" customHeight="1">
      <c r="A219" s="1152" t="s">
        <v>750</v>
      </c>
      <c r="B219" s="1153"/>
      <c r="C219" s="681"/>
      <c r="D219" s="897">
        <f t="shared" si="2"/>
        <v>0</v>
      </c>
      <c r="E219" s="899"/>
      <c r="F219" s="899"/>
      <c r="G219" s="899"/>
      <c r="H219" s="899"/>
      <c r="I219" s="1149" t="s">
        <v>658</v>
      </c>
      <c r="J219" s="898"/>
    </row>
    <row r="220" spans="1:10" s="896" customFormat="1" ht="17.149999999999999" customHeight="1">
      <c r="A220" s="1152" t="s">
        <v>1116</v>
      </c>
      <c r="B220" s="1153"/>
      <c r="C220" s="681"/>
      <c r="D220" s="897">
        <f t="shared" si="2"/>
        <v>3.0000000000000001E-3</v>
      </c>
      <c r="E220" s="899">
        <v>3.0000000000000001E-3</v>
      </c>
      <c r="F220" s="899"/>
      <c r="G220" s="899"/>
      <c r="H220" s="899"/>
      <c r="I220" s="1149" t="s">
        <v>658</v>
      </c>
      <c r="J220" s="898"/>
    </row>
    <row r="221" spans="1:10" s="896" customFormat="1" ht="17.149999999999999" customHeight="1">
      <c r="A221" s="1152" t="s">
        <v>1117</v>
      </c>
      <c r="B221" s="1153"/>
      <c r="C221" s="681"/>
      <c r="D221" s="897">
        <f t="shared" si="2"/>
        <v>-1E-3</v>
      </c>
      <c r="E221" s="899">
        <v>-1E-3</v>
      </c>
      <c r="F221" s="899"/>
      <c r="G221" s="899"/>
      <c r="H221" s="899"/>
      <c r="I221" s="1149" t="s">
        <v>658</v>
      </c>
      <c r="J221" s="898"/>
    </row>
    <row r="222" spans="1:10" s="896" customFormat="1" ht="17.149999999999999" customHeight="1">
      <c r="A222" s="1152" t="s">
        <v>1118</v>
      </c>
      <c r="B222" s="1153"/>
      <c r="C222" s="681"/>
      <c r="D222" s="897">
        <f t="shared" si="2"/>
        <v>0</v>
      </c>
      <c r="E222" s="899">
        <v>0</v>
      </c>
      <c r="F222" s="899"/>
      <c r="G222" s="899"/>
      <c r="H222" s="899"/>
      <c r="I222" s="1149" t="s">
        <v>658</v>
      </c>
      <c r="J222" s="898"/>
    </row>
    <row r="223" spans="1:10" s="896" customFormat="1" ht="17.149999999999999" customHeight="1">
      <c r="A223" s="1152" t="s">
        <v>593</v>
      </c>
      <c r="B223" s="1153"/>
      <c r="C223" s="681"/>
      <c r="D223" s="897">
        <f t="shared" si="2"/>
        <v>0</v>
      </c>
      <c r="E223" s="899"/>
      <c r="F223" s="899"/>
      <c r="G223" s="899"/>
      <c r="H223" s="899"/>
      <c r="I223" s="1149" t="s">
        <v>658</v>
      </c>
      <c r="J223" s="898"/>
    </row>
    <row r="224" spans="1:10" s="896" customFormat="1" ht="17.149999999999999" customHeight="1">
      <c r="A224" s="1152" t="s">
        <v>597</v>
      </c>
      <c r="B224" s="1153"/>
      <c r="C224" s="681"/>
      <c r="D224" s="897">
        <f t="shared" ref="D224:D287" si="3">SUM(E224:H224)</f>
        <v>0</v>
      </c>
      <c r="E224" s="899"/>
      <c r="F224" s="899"/>
      <c r="G224" s="899"/>
      <c r="H224" s="899"/>
      <c r="I224" s="1149" t="s">
        <v>658</v>
      </c>
      <c r="J224" s="898"/>
    </row>
    <row r="225" spans="1:10" s="896" customFormat="1" ht="17.149999999999999" customHeight="1">
      <c r="A225" s="1152" t="s">
        <v>1628</v>
      </c>
      <c r="B225" s="1153"/>
      <c r="C225" s="681"/>
      <c r="D225" s="897">
        <f t="shared" si="3"/>
        <v>5.0979999999999999</v>
      </c>
      <c r="E225" s="899">
        <v>5.0979999999999999</v>
      </c>
      <c r="F225" s="899"/>
      <c r="G225" s="899"/>
      <c r="H225" s="899"/>
      <c r="I225" s="1149" t="s">
        <v>658</v>
      </c>
      <c r="J225" s="898"/>
    </row>
    <row r="226" spans="1:10" s="896" customFormat="1" ht="17.149999999999999" customHeight="1">
      <c r="A226" s="1152" t="s">
        <v>1404</v>
      </c>
      <c r="B226" s="1153"/>
      <c r="C226" s="681"/>
      <c r="D226" s="897">
        <f t="shared" si="3"/>
        <v>0</v>
      </c>
      <c r="E226" s="899"/>
      <c r="F226" s="899"/>
      <c r="G226" s="899"/>
      <c r="H226" s="899"/>
      <c r="I226" s="1149" t="s">
        <v>658</v>
      </c>
      <c r="J226" s="898"/>
    </row>
    <row r="227" spans="1:10" s="896" customFormat="1" ht="17.149999999999999" customHeight="1">
      <c r="A227" s="1152" t="s">
        <v>749</v>
      </c>
      <c r="B227" s="1153"/>
      <c r="C227" s="681"/>
      <c r="D227" s="897">
        <f t="shared" si="3"/>
        <v>0</v>
      </c>
      <c r="E227" s="899"/>
      <c r="F227" s="899"/>
      <c r="G227" s="899"/>
      <c r="H227" s="899"/>
      <c r="I227" s="1149" t="s">
        <v>658</v>
      </c>
      <c r="J227" s="898"/>
    </row>
    <row r="228" spans="1:10" s="896" customFormat="1" ht="17.149999999999999" customHeight="1">
      <c r="A228" s="1152" t="s">
        <v>1627</v>
      </c>
      <c r="B228" s="1153"/>
      <c r="C228" s="681"/>
      <c r="D228" s="897">
        <f t="shared" si="3"/>
        <v>0</v>
      </c>
      <c r="E228" s="899"/>
      <c r="F228" s="899"/>
      <c r="G228" s="899"/>
      <c r="H228" s="899"/>
      <c r="I228" s="1149" t="s">
        <v>658</v>
      </c>
      <c r="J228" s="898"/>
    </row>
    <row r="229" spans="1:10" s="896" customFormat="1" ht="17.149999999999999" customHeight="1">
      <c r="A229" s="1152" t="s">
        <v>573</v>
      </c>
      <c r="B229" s="1153"/>
      <c r="C229" s="681"/>
      <c r="D229" s="897">
        <f t="shared" si="3"/>
        <v>73834.286999999997</v>
      </c>
      <c r="E229" s="899"/>
      <c r="F229" s="899"/>
      <c r="G229" s="899"/>
      <c r="H229" s="899">
        <v>73834.286999999997</v>
      </c>
      <c r="I229" s="1149" t="s">
        <v>5</v>
      </c>
      <c r="J229" s="898"/>
    </row>
    <row r="230" spans="1:10" s="896" customFormat="1" ht="17.149999999999999" customHeight="1">
      <c r="A230" s="1152" t="s">
        <v>741</v>
      </c>
      <c r="B230" s="1153"/>
      <c r="C230" s="681"/>
      <c r="D230" s="897">
        <f t="shared" si="3"/>
        <v>0</v>
      </c>
      <c r="E230" s="899">
        <v>0</v>
      </c>
      <c r="F230" s="899"/>
      <c r="G230" s="899"/>
      <c r="H230" s="899"/>
      <c r="I230" s="1149" t="s">
        <v>658</v>
      </c>
      <c r="J230" s="898"/>
    </row>
    <row r="231" spans="1:10" s="896" customFormat="1" ht="17.149999999999999" customHeight="1">
      <c r="A231" s="1152" t="s">
        <v>769</v>
      </c>
      <c r="B231" s="1153"/>
      <c r="C231" s="681"/>
      <c r="D231" s="897">
        <f t="shared" si="3"/>
        <v>141.054</v>
      </c>
      <c r="E231" s="899">
        <v>141.054</v>
      </c>
      <c r="F231" s="899"/>
      <c r="G231" s="899"/>
      <c r="H231" s="899"/>
      <c r="I231" s="1149" t="s">
        <v>5</v>
      </c>
      <c r="J231" s="898"/>
    </row>
    <row r="232" spans="1:10" s="896" customFormat="1" ht="17.149999999999999" customHeight="1">
      <c r="A232" s="1152" t="s">
        <v>1494</v>
      </c>
      <c r="B232" s="1153"/>
      <c r="C232" s="681"/>
      <c r="D232" s="897">
        <f t="shared" si="3"/>
        <v>7092.223</v>
      </c>
      <c r="E232" s="899">
        <v>7092.223</v>
      </c>
      <c r="F232" s="899"/>
      <c r="G232" s="899"/>
      <c r="H232" s="899"/>
      <c r="I232" s="1149" t="s">
        <v>658</v>
      </c>
      <c r="J232" s="898"/>
    </row>
    <row r="233" spans="1:10" s="896" customFormat="1" ht="17.149999999999999" customHeight="1">
      <c r="A233" s="1152" t="s">
        <v>1495</v>
      </c>
      <c r="B233" s="1153"/>
      <c r="C233" s="681"/>
      <c r="D233" s="897">
        <f t="shared" si="3"/>
        <v>7915.57</v>
      </c>
      <c r="E233" s="899">
        <v>7915.57</v>
      </c>
      <c r="F233" s="899"/>
      <c r="G233" s="899"/>
      <c r="H233" s="899"/>
      <c r="I233" s="1149" t="s">
        <v>658</v>
      </c>
      <c r="J233" s="898"/>
    </row>
    <row r="234" spans="1:10" s="896" customFormat="1" ht="34" customHeight="1">
      <c r="A234" s="1152" t="s">
        <v>555</v>
      </c>
      <c r="B234" s="1153"/>
      <c r="C234" s="676"/>
      <c r="D234" s="897">
        <f t="shared" si="3"/>
        <v>1687.6</v>
      </c>
      <c r="E234" s="899"/>
      <c r="F234" s="899"/>
      <c r="G234" s="899"/>
      <c r="H234" s="899">
        <v>1687.6</v>
      </c>
      <c r="I234" s="1149" t="s">
        <v>1319</v>
      </c>
      <c r="J234" s="898"/>
    </row>
    <row r="235" spans="1:10" s="896" customFormat="1" ht="34" customHeight="1">
      <c r="A235" s="1152" t="s">
        <v>1119</v>
      </c>
      <c r="B235" s="1153"/>
      <c r="C235" s="676"/>
      <c r="D235" s="897">
        <f t="shared" si="3"/>
        <v>0</v>
      </c>
      <c r="E235" s="899"/>
      <c r="F235" s="899"/>
      <c r="G235" s="899"/>
      <c r="H235" s="899"/>
      <c r="I235" s="1149" t="s">
        <v>1320</v>
      </c>
      <c r="J235" s="898"/>
    </row>
    <row r="236" spans="1:10" s="896" customFormat="1" ht="17.149999999999999" customHeight="1">
      <c r="A236" s="1152" t="s">
        <v>556</v>
      </c>
      <c r="B236" s="1153"/>
      <c r="C236" s="681"/>
      <c r="D236" s="897">
        <f t="shared" si="3"/>
        <v>6612.6589999999997</v>
      </c>
      <c r="E236" s="899"/>
      <c r="F236" s="899"/>
      <c r="G236" s="899"/>
      <c r="H236" s="899">
        <v>6612.6589999999997</v>
      </c>
      <c r="I236" s="1149" t="s">
        <v>592</v>
      </c>
      <c r="J236" s="898"/>
    </row>
    <row r="237" spans="1:10" s="896" customFormat="1" ht="17.149999999999999" customHeight="1">
      <c r="A237" s="1152" t="s">
        <v>1398</v>
      </c>
      <c r="B237" s="1153"/>
      <c r="C237" s="681"/>
      <c r="D237" s="897">
        <f t="shared" si="3"/>
        <v>0</v>
      </c>
      <c r="E237" s="899">
        <v>0</v>
      </c>
      <c r="F237" s="899"/>
      <c r="G237" s="899"/>
      <c r="H237" s="899"/>
      <c r="I237" s="1149" t="s">
        <v>658</v>
      </c>
      <c r="J237" s="898"/>
    </row>
    <row r="238" spans="1:10" s="896" customFormat="1" ht="17.149999999999999" customHeight="1">
      <c r="A238" s="1152" t="s">
        <v>758</v>
      </c>
      <c r="B238" s="1153"/>
      <c r="C238" s="681"/>
      <c r="D238" s="897">
        <f t="shared" si="3"/>
        <v>0</v>
      </c>
      <c r="E238" s="899"/>
      <c r="F238" s="899"/>
      <c r="G238" s="899"/>
      <c r="H238" s="899"/>
      <c r="I238" s="1149" t="s">
        <v>658</v>
      </c>
      <c r="J238" s="898"/>
    </row>
    <row r="239" spans="1:10" s="896" customFormat="1" ht="17.149999999999999" customHeight="1">
      <c r="A239" s="1152" t="s">
        <v>773</v>
      </c>
      <c r="B239" s="1153"/>
      <c r="C239" s="681"/>
      <c r="D239" s="897">
        <f t="shared" si="3"/>
        <v>7925.7439999999997</v>
      </c>
      <c r="E239" s="899">
        <v>7925.7439999999997</v>
      </c>
      <c r="F239" s="899"/>
      <c r="G239" s="899"/>
      <c r="H239" s="899"/>
      <c r="I239" s="1149" t="s">
        <v>658</v>
      </c>
      <c r="J239" s="898"/>
    </row>
    <row r="240" spans="1:10" s="896" customFormat="1" ht="17.149999999999999" customHeight="1">
      <c r="A240" s="1152" t="s">
        <v>574</v>
      </c>
      <c r="B240" s="1153"/>
      <c r="C240" s="681"/>
      <c r="D240" s="897">
        <f t="shared" si="3"/>
        <v>1607.5519999999999</v>
      </c>
      <c r="E240" s="899">
        <v>1607.5519999999999</v>
      </c>
      <c r="F240" s="899"/>
      <c r="G240" s="899"/>
      <c r="H240" s="899"/>
      <c r="I240" s="1149" t="s">
        <v>8</v>
      </c>
      <c r="J240" s="898"/>
    </row>
    <row r="241" spans="1:10" s="896" customFormat="1" ht="50.95" customHeight="1">
      <c r="A241" s="1152" t="s">
        <v>557</v>
      </c>
      <c r="B241" s="1153"/>
      <c r="C241" s="681"/>
      <c r="D241" s="897">
        <f t="shared" si="3"/>
        <v>3035.873</v>
      </c>
      <c r="E241" s="899">
        <v>3035.873</v>
      </c>
      <c r="F241" s="899"/>
      <c r="G241" s="899"/>
      <c r="H241" s="899"/>
      <c r="I241" s="1149" t="s">
        <v>887</v>
      </c>
      <c r="J241" s="898"/>
    </row>
    <row r="242" spans="1:10" s="896" customFormat="1" ht="17.149999999999999" customHeight="1">
      <c r="A242" s="1152" t="s">
        <v>1629</v>
      </c>
      <c r="B242" s="1153"/>
      <c r="C242" s="681"/>
      <c r="D242" s="897">
        <f t="shared" si="3"/>
        <v>5001.4120000000003</v>
      </c>
      <c r="E242" s="899">
        <v>5001.4120000000003</v>
      </c>
      <c r="F242" s="899"/>
      <c r="G242" s="899"/>
      <c r="H242" s="899"/>
      <c r="I242" s="1149" t="s">
        <v>658</v>
      </c>
      <c r="J242" s="898"/>
    </row>
    <row r="243" spans="1:10" s="896" customFormat="1" ht="17.149999999999999" customHeight="1">
      <c r="A243" s="1152" t="s">
        <v>737</v>
      </c>
      <c r="B243" s="1153"/>
      <c r="C243" s="681"/>
      <c r="D243" s="897">
        <f t="shared" si="3"/>
        <v>29555.893</v>
      </c>
      <c r="E243" s="899">
        <v>29555.893</v>
      </c>
      <c r="F243" s="899"/>
      <c r="G243" s="899"/>
      <c r="H243" s="899"/>
      <c r="I243" s="1149" t="s">
        <v>658</v>
      </c>
      <c r="J243" s="898"/>
    </row>
    <row r="244" spans="1:10" s="896" customFormat="1" ht="17.149999999999999" customHeight="1">
      <c r="A244" s="1152" t="s">
        <v>734</v>
      </c>
      <c r="B244" s="1153"/>
      <c r="C244" s="681"/>
      <c r="D244" s="897">
        <f t="shared" si="3"/>
        <v>5574.0420000000004</v>
      </c>
      <c r="E244" s="899">
        <v>5574.0420000000004</v>
      </c>
      <c r="F244" s="899"/>
      <c r="G244" s="899"/>
      <c r="H244" s="899"/>
      <c r="I244" s="1149" t="s">
        <v>658</v>
      </c>
      <c r="J244" s="898"/>
    </row>
    <row r="245" spans="1:10" s="896" customFormat="1" ht="17.149999999999999" customHeight="1">
      <c r="A245" s="1152" t="s">
        <v>748</v>
      </c>
      <c r="B245" s="1153"/>
      <c r="C245" s="681"/>
      <c r="D245" s="897">
        <f t="shared" si="3"/>
        <v>2.4009999999999998</v>
      </c>
      <c r="E245" s="899">
        <v>2.4009999999999998</v>
      </c>
      <c r="F245" s="899"/>
      <c r="G245" s="899"/>
      <c r="H245" s="899"/>
      <c r="I245" s="1149" t="s">
        <v>658</v>
      </c>
      <c r="J245" s="898"/>
    </row>
    <row r="246" spans="1:10" s="896" customFormat="1" ht="17.149999999999999" customHeight="1">
      <c r="A246" s="1152" t="s">
        <v>772</v>
      </c>
      <c r="B246" s="1153"/>
      <c r="C246" s="681"/>
      <c r="D246" s="897">
        <f t="shared" si="3"/>
        <v>0</v>
      </c>
      <c r="E246" s="899">
        <v>0</v>
      </c>
      <c r="F246" s="899"/>
      <c r="G246" s="899"/>
      <c r="H246" s="899"/>
      <c r="I246" s="1149" t="s">
        <v>658</v>
      </c>
      <c r="J246" s="898"/>
    </row>
    <row r="247" spans="1:10" s="896" customFormat="1" ht="17.149999999999999" customHeight="1">
      <c r="A247" s="1152" t="s">
        <v>1397</v>
      </c>
      <c r="B247" s="1153"/>
      <c r="C247" s="681"/>
      <c r="D247" s="897">
        <f t="shared" si="3"/>
        <v>0</v>
      </c>
      <c r="E247" s="899">
        <v>0</v>
      </c>
      <c r="F247" s="899"/>
      <c r="G247" s="899"/>
      <c r="H247" s="899"/>
      <c r="I247" s="1149" t="s">
        <v>658</v>
      </c>
      <c r="J247" s="898"/>
    </row>
    <row r="248" spans="1:10" s="896" customFormat="1" ht="34" customHeight="1">
      <c r="A248" s="1152" t="s">
        <v>548</v>
      </c>
      <c r="B248" s="1153"/>
      <c r="C248" s="681"/>
      <c r="D248" s="897">
        <f t="shared" si="3"/>
        <v>0</v>
      </c>
      <c r="E248" s="899">
        <v>0</v>
      </c>
      <c r="F248" s="899"/>
      <c r="G248" s="899"/>
      <c r="H248" s="899"/>
      <c r="I248" s="1149" t="s">
        <v>34</v>
      </c>
      <c r="J248" s="898"/>
    </row>
    <row r="249" spans="1:10" s="896" customFormat="1" ht="17.149999999999999" customHeight="1">
      <c r="A249" s="1152" t="s">
        <v>1455</v>
      </c>
      <c r="B249" s="1153"/>
      <c r="C249" s="681"/>
      <c r="D249" s="897">
        <f t="shared" si="3"/>
        <v>0</v>
      </c>
      <c r="E249" s="899">
        <v>0</v>
      </c>
      <c r="F249" s="899"/>
      <c r="G249" s="899"/>
      <c r="H249" s="899"/>
      <c r="I249" s="1149" t="s">
        <v>658</v>
      </c>
      <c r="J249" s="898"/>
    </row>
    <row r="250" spans="1:10" s="896" customFormat="1" ht="17.149999999999999" customHeight="1">
      <c r="A250" s="1152" t="s">
        <v>1332</v>
      </c>
      <c r="B250" s="1153"/>
      <c r="C250" s="681"/>
      <c r="D250" s="897">
        <f t="shared" si="3"/>
        <v>0</v>
      </c>
      <c r="E250" s="899"/>
      <c r="F250" s="899"/>
      <c r="G250" s="899"/>
      <c r="H250" s="899"/>
      <c r="I250" s="1149" t="s">
        <v>658</v>
      </c>
      <c r="J250" s="898"/>
    </row>
    <row r="251" spans="1:10" s="896" customFormat="1" ht="17.149999999999999" customHeight="1">
      <c r="A251" s="1152" t="s">
        <v>1113</v>
      </c>
      <c r="B251" s="1153"/>
      <c r="C251" s="681"/>
      <c r="D251" s="897">
        <f t="shared" si="3"/>
        <v>0</v>
      </c>
      <c r="E251" s="899">
        <v>0</v>
      </c>
      <c r="F251" s="899"/>
      <c r="G251" s="899"/>
      <c r="H251" s="899"/>
      <c r="I251" s="1149" t="s">
        <v>658</v>
      </c>
      <c r="J251" s="898"/>
    </row>
    <row r="252" spans="1:10" s="896" customFormat="1" ht="17.149999999999999" customHeight="1">
      <c r="A252" s="1152" t="s">
        <v>771</v>
      </c>
      <c r="B252" s="1153"/>
      <c r="C252" s="681"/>
      <c r="D252" s="897">
        <f t="shared" si="3"/>
        <v>0</v>
      </c>
      <c r="E252" s="899">
        <v>0</v>
      </c>
      <c r="F252" s="899"/>
      <c r="G252" s="899"/>
      <c r="H252" s="899"/>
      <c r="I252" s="1149" t="s">
        <v>658</v>
      </c>
      <c r="J252" s="898"/>
    </row>
    <row r="253" spans="1:10" s="896" customFormat="1" ht="17.149999999999999" customHeight="1">
      <c r="A253" s="1152" t="s">
        <v>1348</v>
      </c>
      <c r="B253" s="1153"/>
      <c r="C253" s="681"/>
      <c r="D253" s="897">
        <f t="shared" si="3"/>
        <v>0</v>
      </c>
      <c r="E253" s="899">
        <v>0</v>
      </c>
      <c r="F253" s="899"/>
      <c r="G253" s="899"/>
      <c r="H253" s="899"/>
      <c r="I253" s="1149" t="s">
        <v>658</v>
      </c>
      <c r="J253" s="898"/>
    </row>
    <row r="254" spans="1:10" s="896" customFormat="1" ht="17.149999999999999" customHeight="1">
      <c r="A254" s="1152" t="s">
        <v>1498</v>
      </c>
      <c r="B254" s="1153"/>
      <c r="C254" s="681"/>
      <c r="D254" s="897">
        <f t="shared" si="3"/>
        <v>0</v>
      </c>
      <c r="E254" s="899"/>
      <c r="F254" s="899"/>
      <c r="G254" s="899"/>
      <c r="H254" s="899"/>
      <c r="I254" s="1149" t="s">
        <v>658</v>
      </c>
      <c r="J254" s="898"/>
    </row>
    <row r="255" spans="1:10" s="896" customFormat="1" ht="17.149999999999999" customHeight="1">
      <c r="A255" s="1152" t="s">
        <v>1499</v>
      </c>
      <c r="B255" s="1153"/>
      <c r="C255" s="681"/>
      <c r="D255" s="897">
        <f t="shared" si="3"/>
        <v>0</v>
      </c>
      <c r="E255" s="899"/>
      <c r="F255" s="899"/>
      <c r="G255" s="899"/>
      <c r="H255" s="899"/>
      <c r="I255" s="1149" t="s">
        <v>658</v>
      </c>
      <c r="J255" s="898"/>
    </row>
    <row r="256" spans="1:10" s="896" customFormat="1" ht="17.149999999999999" customHeight="1">
      <c r="A256" s="1152" t="s">
        <v>749</v>
      </c>
      <c r="B256" s="1153"/>
      <c r="C256" s="681"/>
      <c r="D256" s="897">
        <f t="shared" si="3"/>
        <v>0</v>
      </c>
      <c r="E256" s="899">
        <v>0</v>
      </c>
      <c r="F256" s="899"/>
      <c r="G256" s="899"/>
      <c r="H256" s="899"/>
      <c r="I256" s="1149" t="s">
        <v>658</v>
      </c>
      <c r="J256" s="898"/>
    </row>
    <row r="257" spans="1:10" s="896" customFormat="1" ht="17.149999999999999" customHeight="1">
      <c r="A257" s="1152" t="s">
        <v>762</v>
      </c>
      <c r="B257" s="1153"/>
      <c r="C257" s="681"/>
      <c r="D257" s="897">
        <f t="shared" si="3"/>
        <v>0</v>
      </c>
      <c r="E257" s="899">
        <v>0</v>
      </c>
      <c r="F257" s="899"/>
      <c r="G257" s="899"/>
      <c r="H257" s="899"/>
      <c r="I257" s="1149" t="s">
        <v>658</v>
      </c>
      <c r="J257" s="898"/>
    </row>
    <row r="258" spans="1:10" s="896" customFormat="1" ht="17.149999999999999" customHeight="1">
      <c r="A258" s="1152" t="s">
        <v>1347</v>
      </c>
      <c r="B258" s="1153"/>
      <c r="C258" s="681"/>
      <c r="D258" s="897">
        <f t="shared" si="3"/>
        <v>0</v>
      </c>
      <c r="E258" s="899">
        <v>0</v>
      </c>
      <c r="F258" s="899"/>
      <c r="G258" s="899"/>
      <c r="H258" s="899"/>
      <c r="I258" s="1149" t="s">
        <v>658</v>
      </c>
      <c r="J258" s="898"/>
    </row>
    <row r="259" spans="1:10" s="896" customFormat="1" ht="17.149999999999999" customHeight="1">
      <c r="A259" s="1152" t="s">
        <v>1419</v>
      </c>
      <c r="B259" s="1153"/>
      <c r="C259" s="681"/>
      <c r="D259" s="897">
        <f t="shared" si="3"/>
        <v>0</v>
      </c>
      <c r="E259" s="899">
        <v>0</v>
      </c>
      <c r="F259" s="899"/>
      <c r="G259" s="899"/>
      <c r="H259" s="899"/>
      <c r="I259" s="1149" t="s">
        <v>14</v>
      </c>
      <c r="J259" s="898"/>
    </row>
    <row r="260" spans="1:10" s="896" customFormat="1" ht="17.149999999999999" customHeight="1">
      <c r="A260" s="1152" t="s">
        <v>1560</v>
      </c>
      <c r="B260" s="1153"/>
      <c r="C260" s="681"/>
      <c r="D260" s="897">
        <f t="shared" si="3"/>
        <v>0</v>
      </c>
      <c r="E260" s="899"/>
      <c r="F260" s="899"/>
      <c r="G260" s="899"/>
      <c r="H260" s="899"/>
      <c r="I260" s="1149" t="s">
        <v>658</v>
      </c>
      <c r="J260" s="898"/>
    </row>
    <row r="261" spans="1:10" s="896" customFormat="1" ht="17.149999999999999" customHeight="1">
      <c r="A261" s="1152" t="s">
        <v>1095</v>
      </c>
      <c r="B261" s="1153"/>
      <c r="C261" s="681"/>
      <c r="D261" s="897">
        <f t="shared" si="3"/>
        <v>0</v>
      </c>
      <c r="E261" s="899"/>
      <c r="F261" s="899"/>
      <c r="G261" s="899"/>
      <c r="H261" s="899"/>
      <c r="I261" s="1149" t="s">
        <v>658</v>
      </c>
      <c r="J261" s="898"/>
    </row>
    <row r="262" spans="1:10" s="896" customFormat="1" ht="17.149999999999999" customHeight="1">
      <c r="A262" s="1152" t="s">
        <v>554</v>
      </c>
      <c r="B262" s="1153"/>
      <c r="C262" s="681"/>
      <c r="D262" s="897">
        <f t="shared" si="3"/>
        <v>0</v>
      </c>
      <c r="E262" s="899"/>
      <c r="F262" s="899"/>
      <c r="G262" s="899"/>
      <c r="H262" s="899"/>
      <c r="I262" s="1149" t="s">
        <v>5</v>
      </c>
      <c r="J262" s="898"/>
    </row>
    <row r="263" spans="1:10" s="896" customFormat="1" ht="17.149999999999999" customHeight="1">
      <c r="A263" s="1152" t="s">
        <v>1368</v>
      </c>
      <c r="B263" s="1153"/>
      <c r="C263" s="681"/>
      <c r="D263" s="897">
        <f t="shared" si="3"/>
        <v>0</v>
      </c>
      <c r="E263" s="899"/>
      <c r="F263" s="899"/>
      <c r="G263" s="899"/>
      <c r="H263" s="899"/>
      <c r="I263" s="1149" t="s">
        <v>658</v>
      </c>
      <c r="J263" s="898"/>
    </row>
    <row r="264" spans="1:10" s="896" customFormat="1" ht="17.149999999999999" customHeight="1">
      <c r="A264" s="1152" t="s">
        <v>739</v>
      </c>
      <c r="B264" s="1153"/>
      <c r="C264" s="681"/>
      <c r="D264" s="897">
        <f t="shared" si="3"/>
        <v>0</v>
      </c>
      <c r="E264" s="899">
        <v>0</v>
      </c>
      <c r="F264" s="899"/>
      <c r="G264" s="899"/>
      <c r="H264" s="899"/>
      <c r="I264" s="1149" t="s">
        <v>658</v>
      </c>
      <c r="J264" s="898"/>
    </row>
    <row r="265" spans="1:10" s="896" customFormat="1" ht="17.149999999999999" customHeight="1">
      <c r="A265" s="1152" t="s">
        <v>1502</v>
      </c>
      <c r="B265" s="1153"/>
      <c r="C265" s="681"/>
      <c r="D265" s="897">
        <f t="shared" si="3"/>
        <v>0</v>
      </c>
      <c r="E265" s="899">
        <v>0</v>
      </c>
      <c r="F265" s="899"/>
      <c r="G265" s="899"/>
      <c r="H265" s="899"/>
      <c r="I265" s="1149" t="s">
        <v>658</v>
      </c>
      <c r="J265" s="898"/>
    </row>
    <row r="266" spans="1:10" s="896" customFormat="1" ht="17.149999999999999" customHeight="1">
      <c r="A266" s="1152" t="s">
        <v>1503</v>
      </c>
      <c r="B266" s="1153"/>
      <c r="C266" s="681"/>
      <c r="D266" s="897">
        <f t="shared" si="3"/>
        <v>107.54600000000001</v>
      </c>
      <c r="E266" s="899">
        <v>107.54600000000001</v>
      </c>
      <c r="F266" s="899"/>
      <c r="G266" s="899"/>
      <c r="H266" s="899"/>
      <c r="I266" s="1149" t="s">
        <v>658</v>
      </c>
      <c r="J266" s="898"/>
    </row>
    <row r="267" spans="1:10" s="896" customFormat="1" ht="17.149999999999999" customHeight="1">
      <c r="A267" s="1152" t="s">
        <v>1630</v>
      </c>
      <c r="B267" s="1153"/>
      <c r="C267" s="681"/>
      <c r="D267" s="897">
        <f t="shared" si="3"/>
        <v>656.89200000000005</v>
      </c>
      <c r="E267" s="899">
        <v>656.89200000000005</v>
      </c>
      <c r="F267" s="899"/>
      <c r="G267" s="899"/>
      <c r="H267" s="899"/>
      <c r="I267" s="1149" t="s">
        <v>658</v>
      </c>
      <c r="J267" s="898"/>
    </row>
    <row r="268" spans="1:10" s="896" customFormat="1" ht="17.149999999999999" customHeight="1">
      <c r="A268" s="1152" t="s">
        <v>1631</v>
      </c>
      <c r="B268" s="1153"/>
      <c r="C268" s="681"/>
      <c r="D268" s="897">
        <f t="shared" si="3"/>
        <v>2.9580000000000002</v>
      </c>
      <c r="E268" s="899">
        <v>2.9580000000000002</v>
      </c>
      <c r="F268" s="899"/>
      <c r="G268" s="899"/>
      <c r="H268" s="899"/>
      <c r="I268" s="1149" t="s">
        <v>658</v>
      </c>
      <c r="J268" s="898"/>
    </row>
    <row r="269" spans="1:10" s="896" customFormat="1" ht="17.149999999999999" customHeight="1">
      <c r="A269" s="1152" t="s">
        <v>1540</v>
      </c>
      <c r="B269" s="1153"/>
      <c r="C269" s="681"/>
      <c r="D269" s="897">
        <f t="shared" si="3"/>
        <v>16.207999999999998</v>
      </c>
      <c r="E269" s="899">
        <v>16.207999999999998</v>
      </c>
      <c r="F269" s="899"/>
      <c r="G269" s="899"/>
      <c r="H269" s="899"/>
      <c r="I269" s="1149" t="s">
        <v>658</v>
      </c>
      <c r="J269" s="898"/>
    </row>
    <row r="270" spans="1:10" s="896" customFormat="1" ht="17.149999999999999" customHeight="1">
      <c r="A270" s="1152" t="s">
        <v>1632</v>
      </c>
      <c r="B270" s="1153"/>
      <c r="C270" s="681"/>
      <c r="D270" s="897">
        <f t="shared" si="3"/>
        <v>2.2069999999999999</v>
      </c>
      <c r="E270" s="899">
        <v>2.2069999999999999</v>
      </c>
      <c r="F270" s="899"/>
      <c r="G270" s="899"/>
      <c r="H270" s="899"/>
      <c r="I270" s="1149" t="s">
        <v>658</v>
      </c>
      <c r="J270" s="898"/>
    </row>
    <row r="271" spans="1:10" s="896" customFormat="1" ht="17.149999999999999" customHeight="1">
      <c r="A271" s="1152" t="s">
        <v>1633</v>
      </c>
      <c r="B271" s="1153"/>
      <c r="C271" s="676"/>
      <c r="D271" s="897">
        <f t="shared" si="3"/>
        <v>21.414000000000001</v>
      </c>
      <c r="E271" s="899">
        <v>21.414000000000001</v>
      </c>
      <c r="F271" s="899"/>
      <c r="G271" s="899"/>
      <c r="H271" s="899"/>
      <c r="I271" s="1149" t="s">
        <v>658</v>
      </c>
      <c r="J271" s="898"/>
    </row>
    <row r="272" spans="1:10" s="896" customFormat="1" ht="17.149999999999999" customHeight="1">
      <c r="A272" s="1152" t="s">
        <v>1542</v>
      </c>
      <c r="B272" s="1153"/>
      <c r="C272" s="681"/>
      <c r="D272" s="897">
        <f t="shared" si="3"/>
        <v>165.62</v>
      </c>
      <c r="E272" s="899">
        <v>165.62</v>
      </c>
      <c r="F272" s="899"/>
      <c r="G272" s="899"/>
      <c r="H272" s="899"/>
      <c r="I272" s="1149" t="s">
        <v>658</v>
      </c>
      <c r="J272" s="898"/>
    </row>
    <row r="273" spans="1:10" s="896" customFormat="1" ht="17.149999999999999" customHeight="1">
      <c r="A273" s="1152" t="s">
        <v>1504</v>
      </c>
      <c r="B273" s="1153"/>
      <c r="C273" s="681"/>
      <c r="D273" s="897">
        <f t="shared" si="3"/>
        <v>1177.876</v>
      </c>
      <c r="E273" s="899">
        <v>1177.876</v>
      </c>
      <c r="F273" s="899"/>
      <c r="G273" s="899"/>
      <c r="H273" s="899"/>
      <c r="I273" s="1149" t="s">
        <v>658</v>
      </c>
      <c r="J273" s="898"/>
    </row>
    <row r="274" spans="1:10" s="896" customFormat="1" ht="17.149999999999999" customHeight="1">
      <c r="A274" s="1152" t="s">
        <v>1505</v>
      </c>
      <c r="B274" s="1153"/>
      <c r="C274" s="681"/>
      <c r="D274" s="897">
        <f t="shared" si="3"/>
        <v>0</v>
      </c>
      <c r="E274" s="899">
        <v>0</v>
      </c>
      <c r="F274" s="899"/>
      <c r="G274" s="899"/>
      <c r="H274" s="899"/>
      <c r="I274" s="1149" t="s">
        <v>658</v>
      </c>
      <c r="J274" s="898"/>
    </row>
    <row r="275" spans="1:10" s="896" customFormat="1" ht="17.149999999999999" customHeight="1">
      <c r="A275" s="1152" t="s">
        <v>1506</v>
      </c>
      <c r="B275" s="1153"/>
      <c r="C275" s="680"/>
      <c r="D275" s="897">
        <f t="shared" si="3"/>
        <v>54.261000000000003</v>
      </c>
      <c r="E275" s="899">
        <v>54.261000000000003</v>
      </c>
      <c r="F275" s="899"/>
      <c r="G275" s="899"/>
      <c r="H275" s="899"/>
      <c r="I275" s="1149" t="s">
        <v>658</v>
      </c>
      <c r="J275" s="898"/>
    </row>
    <row r="276" spans="1:10" s="896" customFormat="1" ht="17.149999999999999" customHeight="1">
      <c r="A276" s="1152" t="s">
        <v>1507</v>
      </c>
      <c r="B276" s="1153"/>
      <c r="C276" s="681"/>
      <c r="D276" s="897">
        <f t="shared" si="3"/>
        <v>1547.5540000000001</v>
      </c>
      <c r="E276" s="899">
        <v>1547.5540000000001</v>
      </c>
      <c r="F276" s="899"/>
      <c r="G276" s="899"/>
      <c r="H276" s="899"/>
      <c r="I276" s="1149" t="s">
        <v>658</v>
      </c>
      <c r="J276" s="898"/>
    </row>
    <row r="277" spans="1:10" s="896" customFormat="1" ht="17.149999999999999" customHeight="1">
      <c r="A277" s="1152" t="s">
        <v>1508</v>
      </c>
      <c r="B277" s="1153"/>
      <c r="C277" s="681"/>
      <c r="D277" s="897">
        <f t="shared" si="3"/>
        <v>207.637</v>
      </c>
      <c r="E277" s="899">
        <v>207.637</v>
      </c>
      <c r="F277" s="899"/>
      <c r="G277" s="899"/>
      <c r="H277" s="899"/>
      <c r="I277" s="1149" t="s">
        <v>658</v>
      </c>
      <c r="J277" s="898"/>
    </row>
    <row r="278" spans="1:10" s="896" customFormat="1" ht="17.149999999999999" customHeight="1">
      <c r="A278" s="1152" t="s">
        <v>1509</v>
      </c>
      <c r="B278" s="1153"/>
      <c r="C278" s="677"/>
      <c r="D278" s="897">
        <f t="shared" si="3"/>
        <v>0</v>
      </c>
      <c r="E278" s="899">
        <v>0</v>
      </c>
      <c r="F278" s="899"/>
      <c r="G278" s="899"/>
      <c r="H278" s="899"/>
      <c r="I278" s="1149" t="s">
        <v>658</v>
      </c>
      <c r="J278" s="898"/>
    </row>
    <row r="279" spans="1:10" s="896" customFormat="1" ht="17.149999999999999" customHeight="1">
      <c r="A279" s="1152" t="s">
        <v>1510</v>
      </c>
      <c r="B279" s="1153"/>
      <c r="C279" s="677"/>
      <c r="D279" s="897">
        <f t="shared" si="3"/>
        <v>0</v>
      </c>
      <c r="E279" s="899">
        <v>0</v>
      </c>
      <c r="F279" s="899"/>
      <c r="G279" s="899"/>
      <c r="H279" s="899"/>
      <c r="I279" s="1149" t="s">
        <v>658</v>
      </c>
      <c r="J279" s="898"/>
    </row>
    <row r="280" spans="1:10" s="896" customFormat="1" ht="17.149999999999999" customHeight="1">
      <c r="A280" s="1152" t="s">
        <v>1511</v>
      </c>
      <c r="B280" s="1153"/>
      <c r="C280" s="680"/>
      <c r="D280" s="897">
        <f t="shared" si="3"/>
        <v>0</v>
      </c>
      <c r="E280" s="899"/>
      <c r="F280" s="899"/>
      <c r="G280" s="899"/>
      <c r="H280" s="899"/>
      <c r="I280" s="1149" t="s">
        <v>658</v>
      </c>
      <c r="J280" s="898"/>
    </row>
    <row r="281" spans="1:10" s="896" customFormat="1" ht="17.149999999999999" customHeight="1">
      <c r="A281" s="1152" t="s">
        <v>1512</v>
      </c>
      <c r="B281" s="1153"/>
      <c r="C281" s="680"/>
      <c r="D281" s="897">
        <f t="shared" si="3"/>
        <v>0</v>
      </c>
      <c r="E281" s="899">
        <v>0</v>
      </c>
      <c r="F281" s="899"/>
      <c r="G281" s="899"/>
      <c r="H281" s="899"/>
      <c r="I281" s="1149" t="s">
        <v>658</v>
      </c>
      <c r="J281" s="898"/>
    </row>
    <row r="282" spans="1:10" s="896" customFormat="1" ht="17.149999999999999" customHeight="1">
      <c r="A282" s="1152" t="s">
        <v>1500</v>
      </c>
      <c r="B282" s="1153"/>
      <c r="C282" s="676"/>
      <c r="D282" s="897">
        <f t="shared" si="3"/>
        <v>19344.615000000002</v>
      </c>
      <c r="E282" s="899"/>
      <c r="F282" s="899"/>
      <c r="G282" s="899">
        <v>19344.615000000002</v>
      </c>
      <c r="H282" s="899"/>
      <c r="I282" s="1149" t="s">
        <v>133</v>
      </c>
      <c r="J282" s="898"/>
    </row>
    <row r="283" spans="1:10" s="896" customFormat="1" ht="17.149999999999999" customHeight="1">
      <c r="A283" s="1152" t="s">
        <v>1513</v>
      </c>
      <c r="B283" s="1153"/>
      <c r="C283" s="681"/>
      <c r="D283" s="897">
        <f t="shared" si="3"/>
        <v>0.14699999999999999</v>
      </c>
      <c r="E283" s="899"/>
      <c r="F283" s="899"/>
      <c r="G283" s="899">
        <v>0.14699999999999999</v>
      </c>
      <c r="H283" s="899"/>
      <c r="I283" s="1149" t="s">
        <v>922</v>
      </c>
      <c r="J283" s="898"/>
    </row>
    <row r="284" spans="1:10" s="896" customFormat="1" ht="17.149999999999999" customHeight="1">
      <c r="A284" s="1152" t="s">
        <v>1514</v>
      </c>
      <c r="B284" s="1153"/>
      <c r="C284" s="681"/>
      <c r="D284" s="897">
        <f t="shared" si="3"/>
        <v>73.376000000000005</v>
      </c>
      <c r="E284" s="899"/>
      <c r="F284" s="899"/>
      <c r="G284" s="899">
        <v>73.376000000000005</v>
      </c>
      <c r="H284" s="899"/>
      <c r="I284" s="1149" t="s">
        <v>922</v>
      </c>
      <c r="J284" s="898"/>
    </row>
    <row r="285" spans="1:10" s="896" customFormat="1" ht="17.149999999999999" customHeight="1">
      <c r="A285" s="1152" t="s">
        <v>1515</v>
      </c>
      <c r="B285" s="1153"/>
      <c r="C285" s="681"/>
      <c r="D285" s="897">
        <f t="shared" si="3"/>
        <v>3190.0030000000002</v>
      </c>
      <c r="E285" s="886"/>
      <c r="F285" s="899"/>
      <c r="G285" s="886">
        <v>3190.0030000000002</v>
      </c>
      <c r="H285" s="899"/>
      <c r="I285" s="1149" t="s">
        <v>922</v>
      </c>
      <c r="J285" s="898"/>
    </row>
    <row r="286" spans="1:10" s="896" customFormat="1" ht="17.149999999999999" customHeight="1">
      <c r="A286" s="1152" t="s">
        <v>1516</v>
      </c>
      <c r="B286" s="1153"/>
      <c r="C286" s="676"/>
      <c r="D286" s="897">
        <f t="shared" si="3"/>
        <v>98.808000000000007</v>
      </c>
      <c r="E286" s="899"/>
      <c r="F286" s="886"/>
      <c r="G286" s="899">
        <v>98.808000000000007</v>
      </c>
      <c r="H286" s="886"/>
      <c r="I286" s="1149" t="s">
        <v>922</v>
      </c>
      <c r="J286" s="898"/>
    </row>
    <row r="287" spans="1:10" s="896" customFormat="1" ht="17.149999999999999" customHeight="1">
      <c r="A287" s="1152" t="s">
        <v>1517</v>
      </c>
      <c r="B287" s="1153"/>
      <c r="C287" s="676"/>
      <c r="D287" s="897">
        <f t="shared" si="3"/>
        <v>0</v>
      </c>
      <c r="E287" s="899"/>
      <c r="F287" s="899"/>
      <c r="G287" s="899"/>
      <c r="H287" s="899"/>
      <c r="I287" s="1149" t="s">
        <v>658</v>
      </c>
      <c r="J287" s="898"/>
    </row>
    <row r="288" spans="1:10" s="896" customFormat="1" ht="17.149999999999999" customHeight="1">
      <c r="A288" s="1152" t="s">
        <v>1518</v>
      </c>
      <c r="B288" s="1153"/>
      <c r="C288" s="676"/>
      <c r="D288" s="897">
        <f t="shared" ref="D288:D303" si="4">SUM(E288:H288)</f>
        <v>0</v>
      </c>
      <c r="E288" s="899"/>
      <c r="F288" s="899"/>
      <c r="G288" s="899"/>
      <c r="H288" s="899"/>
      <c r="I288" s="1149" t="s">
        <v>658</v>
      </c>
      <c r="J288" s="898"/>
    </row>
    <row r="289" spans="1:10" s="896" customFormat="1" ht="17.149999999999999" customHeight="1">
      <c r="A289" s="1152" t="s">
        <v>1519</v>
      </c>
      <c r="B289" s="1153"/>
      <c r="C289" s="676"/>
      <c r="D289" s="897">
        <f t="shared" si="4"/>
        <v>0</v>
      </c>
      <c r="E289" s="899"/>
      <c r="F289" s="899"/>
      <c r="G289" s="899"/>
      <c r="H289" s="899"/>
      <c r="I289" s="1149" t="s">
        <v>658</v>
      </c>
      <c r="J289" s="898"/>
    </row>
    <row r="290" spans="1:10" s="896" customFormat="1" ht="17.149999999999999" customHeight="1">
      <c r="A290" s="1152" t="s">
        <v>1520</v>
      </c>
      <c r="B290" s="1153"/>
      <c r="C290" s="676"/>
      <c r="D290" s="897">
        <f t="shared" si="4"/>
        <v>0</v>
      </c>
      <c r="E290" s="899"/>
      <c r="F290" s="899"/>
      <c r="G290" s="899"/>
      <c r="H290" s="899"/>
      <c r="I290" s="1149" t="s">
        <v>658</v>
      </c>
      <c r="J290" s="898"/>
    </row>
    <row r="291" spans="1:10" s="896" customFormat="1" ht="17.149999999999999" customHeight="1">
      <c r="A291" s="1152" t="s">
        <v>1521</v>
      </c>
      <c r="B291" s="1153"/>
      <c r="C291" s="676"/>
      <c r="D291" s="897">
        <f t="shared" si="4"/>
        <v>0</v>
      </c>
      <c r="E291" s="899"/>
      <c r="F291" s="899"/>
      <c r="G291" s="899"/>
      <c r="H291" s="899"/>
      <c r="I291" s="1149" t="s">
        <v>658</v>
      </c>
      <c r="J291" s="898"/>
    </row>
    <row r="292" spans="1:10" s="896" customFormat="1" ht="17.149999999999999" customHeight="1">
      <c r="A292" s="1152" t="s">
        <v>1496</v>
      </c>
      <c r="B292" s="1153"/>
      <c r="C292" s="676"/>
      <c r="D292" s="897">
        <f t="shared" si="4"/>
        <v>0</v>
      </c>
      <c r="E292" s="899"/>
      <c r="F292" s="899"/>
      <c r="G292" s="899"/>
      <c r="H292" s="899"/>
      <c r="I292" s="1149" t="s">
        <v>658</v>
      </c>
      <c r="J292" s="898"/>
    </row>
    <row r="293" spans="1:10" s="896" customFormat="1" ht="17.149999999999999" customHeight="1">
      <c r="A293" s="1152" t="s">
        <v>1474</v>
      </c>
      <c r="B293" s="1153"/>
      <c r="C293" s="676"/>
      <c r="D293" s="897">
        <f t="shared" si="4"/>
        <v>0</v>
      </c>
      <c r="E293" s="899"/>
      <c r="F293" s="899"/>
      <c r="G293" s="899"/>
      <c r="H293" s="899"/>
      <c r="I293" s="1149" t="s">
        <v>658</v>
      </c>
      <c r="J293" s="898"/>
    </row>
    <row r="294" spans="1:10" s="896" customFormat="1" ht="17.149999999999999" customHeight="1">
      <c r="A294" s="1152" t="s">
        <v>1120</v>
      </c>
      <c r="B294" s="1153"/>
      <c r="C294" s="676"/>
      <c r="D294" s="897">
        <f t="shared" si="4"/>
        <v>0</v>
      </c>
      <c r="E294" s="899"/>
      <c r="F294" s="899"/>
      <c r="G294" s="899"/>
      <c r="H294" s="899"/>
      <c r="I294" s="1149" t="s">
        <v>658</v>
      </c>
      <c r="J294" s="898"/>
    </row>
    <row r="295" spans="1:10" s="896" customFormat="1" ht="17.149999999999999" customHeight="1">
      <c r="A295" s="1152" t="s">
        <v>1089</v>
      </c>
      <c r="B295" s="1153"/>
      <c r="C295" s="676"/>
      <c r="D295" s="897">
        <f t="shared" si="4"/>
        <v>0</v>
      </c>
      <c r="E295" s="899">
        <v>0</v>
      </c>
      <c r="F295" s="899"/>
      <c r="G295" s="899"/>
      <c r="H295" s="899"/>
      <c r="I295" s="1149" t="s">
        <v>658</v>
      </c>
      <c r="J295" s="898"/>
    </row>
    <row r="296" spans="1:10" s="896" customFormat="1" ht="17.149999999999999" customHeight="1">
      <c r="A296" s="1152" t="s">
        <v>730</v>
      </c>
      <c r="B296" s="1153"/>
      <c r="C296" s="676"/>
      <c r="D296" s="897">
        <f t="shared" si="4"/>
        <v>0</v>
      </c>
      <c r="E296" s="899"/>
      <c r="F296" s="899"/>
      <c r="G296" s="899"/>
      <c r="H296" s="899"/>
      <c r="I296" s="1149" t="s">
        <v>658</v>
      </c>
      <c r="J296" s="898"/>
    </row>
    <row r="297" spans="1:10" s="896" customFormat="1" ht="17.149999999999999" customHeight="1">
      <c r="A297" s="1152" t="s">
        <v>1350</v>
      </c>
      <c r="B297" s="1153"/>
      <c r="C297" s="676"/>
      <c r="D297" s="897">
        <f t="shared" si="4"/>
        <v>0</v>
      </c>
      <c r="E297" s="899"/>
      <c r="F297" s="899"/>
      <c r="G297" s="899"/>
      <c r="H297" s="899"/>
      <c r="I297" s="1149" t="s">
        <v>658</v>
      </c>
      <c r="J297" s="898"/>
    </row>
    <row r="298" spans="1:10" s="896" customFormat="1" ht="17.149999999999999" customHeight="1">
      <c r="A298" s="1152" t="s">
        <v>1087</v>
      </c>
      <c r="B298" s="1153"/>
      <c r="C298" s="676"/>
      <c r="D298" s="897">
        <f t="shared" si="4"/>
        <v>0</v>
      </c>
      <c r="E298" s="899"/>
      <c r="F298" s="899"/>
      <c r="G298" s="899"/>
      <c r="H298" s="899"/>
      <c r="I298" s="1149" t="s">
        <v>658</v>
      </c>
      <c r="J298" s="898"/>
    </row>
    <row r="299" spans="1:10" s="896" customFormat="1" ht="17.149999999999999" customHeight="1">
      <c r="A299" s="1152" t="s">
        <v>582</v>
      </c>
      <c r="B299" s="1153"/>
      <c r="C299" s="676"/>
      <c r="D299" s="897">
        <f t="shared" si="4"/>
        <v>0</v>
      </c>
      <c r="E299" s="899"/>
      <c r="F299" s="899"/>
      <c r="G299" s="899"/>
      <c r="H299" s="899"/>
      <c r="I299" s="1149" t="s">
        <v>658</v>
      </c>
      <c r="J299" s="898"/>
    </row>
    <row r="300" spans="1:10" s="896" customFormat="1" ht="17.149999999999999" customHeight="1">
      <c r="A300" s="1152" t="s">
        <v>1634</v>
      </c>
      <c r="B300" s="1153"/>
      <c r="C300" s="676"/>
      <c r="D300" s="897">
        <f t="shared" si="4"/>
        <v>0</v>
      </c>
      <c r="E300" s="899">
        <v>0</v>
      </c>
      <c r="F300" s="899"/>
      <c r="G300" s="899"/>
      <c r="H300" s="899"/>
      <c r="I300" s="1149" t="s">
        <v>658</v>
      </c>
      <c r="J300" s="898"/>
    </row>
    <row r="301" spans="1:10" s="896" customFormat="1" ht="17.149999999999999" customHeight="1">
      <c r="A301" s="1152" t="s">
        <v>741</v>
      </c>
      <c r="B301" s="1153"/>
      <c r="C301" s="676"/>
      <c r="D301" s="897">
        <f t="shared" si="4"/>
        <v>0</v>
      </c>
      <c r="E301" s="899">
        <v>0</v>
      </c>
      <c r="F301" s="899"/>
      <c r="G301" s="899"/>
      <c r="H301" s="899"/>
      <c r="I301" s="1149" t="s">
        <v>658</v>
      </c>
      <c r="J301" s="898"/>
    </row>
    <row r="302" spans="1:10" s="896" customFormat="1" ht="17.149999999999999" customHeight="1">
      <c r="A302" s="1152" t="s">
        <v>1367</v>
      </c>
      <c r="B302" s="1153"/>
      <c r="C302" s="676"/>
      <c r="D302" s="897">
        <f t="shared" si="4"/>
        <v>0.10100000000000001</v>
      </c>
      <c r="E302" s="899">
        <v>0.10100000000000001</v>
      </c>
      <c r="F302" s="899"/>
      <c r="G302" s="899"/>
      <c r="H302" s="899"/>
      <c r="I302" s="1149" t="s">
        <v>658</v>
      </c>
      <c r="J302" s="898"/>
    </row>
    <row r="303" spans="1:10" s="896" customFormat="1" ht="17.149999999999999" customHeight="1">
      <c r="A303" s="1152"/>
      <c r="B303" s="1153"/>
      <c r="C303" s="803"/>
      <c r="D303" s="897">
        <f t="shared" si="4"/>
        <v>0</v>
      </c>
      <c r="E303" s="899"/>
      <c r="F303" s="899"/>
      <c r="G303" s="886"/>
      <c r="H303" s="900"/>
      <c r="I303" s="1149"/>
    </row>
    <row r="304" spans="1:10" s="896" customFormat="1" ht="14.3">
      <c r="A304" s="682" t="s">
        <v>325</v>
      </c>
      <c r="B304" s="683"/>
      <c r="C304" s="683"/>
      <c r="D304" s="887">
        <f t="shared" ref="D304:H304" si="5">SUM(D32:D303)</f>
        <v>1845431.2444293764</v>
      </c>
      <c r="E304" s="887">
        <f t="shared" si="5"/>
        <v>1527297.5404293756</v>
      </c>
      <c r="F304" s="887">
        <f t="shared" si="5"/>
        <v>8614.7829999999994</v>
      </c>
      <c r="G304" s="887">
        <f t="shared" si="5"/>
        <v>221674.07199999996</v>
      </c>
      <c r="H304" s="887">
        <f t="shared" si="5"/>
        <v>87844.849000000002</v>
      </c>
      <c r="I304" s="888"/>
      <c r="J304" s="898"/>
    </row>
    <row r="305" spans="1:10" s="896" customFormat="1" ht="14.3">
      <c r="A305" s="684" t="s">
        <v>479</v>
      </c>
      <c r="B305" s="685"/>
      <c r="C305" s="685"/>
      <c r="D305" s="897">
        <f>SUM(E305:H305)</f>
        <v>2755.9690000000001</v>
      </c>
      <c r="E305" s="747">
        <f>SUM(E118:E128)</f>
        <v>2755.9690000000001</v>
      </c>
      <c r="F305" s="747">
        <f t="shared" ref="F305:H305" si="6">SUM(F118:F128)</f>
        <v>0</v>
      </c>
      <c r="G305" s="747">
        <f t="shared" si="6"/>
        <v>0</v>
      </c>
      <c r="H305" s="747">
        <f t="shared" si="6"/>
        <v>0</v>
      </c>
      <c r="I305" s="889"/>
      <c r="J305" s="898"/>
    </row>
    <row r="306" spans="1:10" s="896" customFormat="1" ht="14.3">
      <c r="A306" s="686" t="s">
        <v>505</v>
      </c>
      <c r="B306" s="687"/>
      <c r="C306" s="687"/>
      <c r="D306" s="897">
        <f>SUM(E306:H306)</f>
        <v>5155.6963619999997</v>
      </c>
      <c r="E306" s="886">
        <f>SUM(E170)</f>
        <v>5155.6963619999997</v>
      </c>
      <c r="F306" s="886">
        <f t="shared" ref="F306:H306" si="7">SUM(F170)</f>
        <v>0</v>
      </c>
      <c r="G306" s="886">
        <f t="shared" si="7"/>
        <v>0</v>
      </c>
      <c r="H306" s="886">
        <f t="shared" si="7"/>
        <v>0</v>
      </c>
      <c r="I306" s="889"/>
      <c r="J306" s="898"/>
    </row>
    <row r="307" spans="1:10" s="896" customFormat="1" ht="14.3">
      <c r="A307" s="688" t="s">
        <v>813</v>
      </c>
      <c r="B307" s="683"/>
      <c r="C307" s="683"/>
      <c r="D307" s="887">
        <f>+D304-D305-D306</f>
        <v>1837519.5790673764</v>
      </c>
      <c r="E307" s="887">
        <f>+E304-E305-E306</f>
        <v>1519385.8750673756</v>
      </c>
      <c r="F307" s="887">
        <f>+F304-F305-F306</f>
        <v>8614.7829999999994</v>
      </c>
      <c r="G307" s="887">
        <f>+G304-G305-G306</f>
        <v>221674.07199999996</v>
      </c>
      <c r="H307" s="887">
        <f>+H304-H305-H306</f>
        <v>87844.849000000002</v>
      </c>
      <c r="I307" s="888"/>
      <c r="J307" s="898"/>
    </row>
    <row r="308" spans="1:10" s="896" customFormat="1" ht="14.3">
      <c r="A308" s="689"/>
      <c r="B308" s="690"/>
      <c r="C308" s="690"/>
      <c r="D308" s="898"/>
      <c r="E308" s="692"/>
      <c r="F308" s="691"/>
      <c r="G308" s="693"/>
      <c r="H308" s="675"/>
      <c r="I308" s="694"/>
      <c r="J308" s="898"/>
    </row>
    <row r="309" spans="1:10" s="896" customFormat="1" ht="14.3">
      <c r="A309" s="689"/>
      <c r="B309" s="695" t="s">
        <v>322</v>
      </c>
      <c r="C309" s="881"/>
      <c r="D309" s="697"/>
      <c r="E309" s="696"/>
      <c r="F309" s="698"/>
      <c r="G309" s="699"/>
      <c r="H309" s="700"/>
      <c r="I309" s="694"/>
      <c r="J309" s="898"/>
    </row>
    <row r="310" spans="1:10" s="896" customFormat="1" ht="14.95" customHeight="1">
      <c r="A310" s="689"/>
      <c r="B310" s="1161" t="s">
        <v>429</v>
      </c>
      <c r="C310" s="1162"/>
      <c r="D310" s="1162"/>
      <c r="E310" s="1162"/>
      <c r="F310" s="1162"/>
      <c r="G310" s="1162"/>
      <c r="H310" s="1163"/>
      <c r="I310" s="701"/>
      <c r="J310" s="898"/>
    </row>
    <row r="311" spans="1:10" s="896" customFormat="1" ht="14.3">
      <c r="A311" s="689"/>
      <c r="B311" s="702" t="s">
        <v>430</v>
      </c>
      <c r="C311" s="732"/>
      <c r="D311" s="898"/>
      <c r="E311" s="691"/>
      <c r="F311" s="691"/>
      <c r="G311" s="675"/>
      <c r="H311" s="703"/>
      <c r="I311" s="694"/>
      <c r="J311" s="898"/>
    </row>
    <row r="312" spans="1:10" s="896" customFormat="1" ht="14.3">
      <c r="A312" s="689"/>
      <c r="B312" s="702" t="s">
        <v>57</v>
      </c>
      <c r="C312" s="732"/>
      <c r="D312" s="898"/>
      <c r="E312" s="691"/>
      <c r="F312" s="691"/>
      <c r="G312" s="675"/>
      <c r="H312" s="703"/>
      <c r="I312" s="701"/>
      <c r="J312" s="898"/>
    </row>
    <row r="313" spans="1:10" s="896" customFormat="1" ht="14.3">
      <c r="A313" s="689"/>
      <c r="B313" s="702" t="s">
        <v>58</v>
      </c>
      <c r="C313" s="732"/>
      <c r="D313" s="898"/>
      <c r="E313" s="691"/>
      <c r="F313" s="691"/>
      <c r="G313" s="675"/>
      <c r="H313" s="703"/>
      <c r="I313" s="694"/>
      <c r="J313" s="898"/>
    </row>
    <row r="314" spans="1:10" s="896" customFormat="1" ht="14.95" customHeight="1">
      <c r="A314" s="689"/>
      <c r="B314" s="1154" t="s">
        <v>431</v>
      </c>
      <c r="C314" s="1155"/>
      <c r="D314" s="1155"/>
      <c r="E314" s="1155"/>
      <c r="F314" s="1155"/>
      <c r="G314" s="1155"/>
      <c r="H314" s="1156"/>
      <c r="I314" s="898"/>
      <c r="J314" s="704"/>
    </row>
    <row r="315" spans="1:10" s="896" customFormat="1" ht="14.3">
      <c r="A315" s="689"/>
      <c r="B315" s="705" t="s">
        <v>507</v>
      </c>
      <c r="C315" s="882"/>
      <c r="D315" s="707"/>
      <c r="E315" s="706"/>
      <c r="F315" s="706"/>
      <c r="G315" s="708"/>
      <c r="H315" s="709"/>
      <c r="I315" s="694"/>
      <c r="J315" s="898"/>
    </row>
    <row r="316" spans="1:10" s="896" customFormat="1" ht="13.6">
      <c r="A316" s="689"/>
      <c r="B316" s="260"/>
      <c r="C316" s="260"/>
      <c r="D316" s="260"/>
      <c r="E316" s="260"/>
      <c r="F316" s="260"/>
      <c r="G316" s="260"/>
      <c r="H316" s="260"/>
      <c r="I316" s="694"/>
      <c r="J316" s="898"/>
    </row>
    <row r="317" spans="1:10" s="896" customFormat="1" ht="14.3">
      <c r="A317" s="710"/>
      <c r="B317" s="711"/>
      <c r="C317" s="711"/>
      <c r="D317" s="711"/>
      <c r="E317" s="711"/>
      <c r="F317" s="711"/>
      <c r="G317" s="711"/>
      <c r="H317" s="711"/>
      <c r="I317" s="711"/>
      <c r="J317" s="898"/>
    </row>
    <row r="318" spans="1:10" s="896" customFormat="1" ht="14.3">
      <c r="A318" s="713"/>
      <c r="B318" s="714"/>
      <c r="C318" s="714"/>
      <c r="D318" s="898"/>
      <c r="E318" s="898"/>
      <c r="F318" s="898"/>
      <c r="G318" s="898"/>
      <c r="H318" s="898"/>
      <c r="I318" s="691"/>
      <c r="J318" s="898"/>
    </row>
    <row r="319" spans="1:10" s="896" customFormat="1" ht="13.6">
      <c r="A319" s="260"/>
      <c r="B319" s="711"/>
      <c r="C319" s="711"/>
      <c r="D319" s="711"/>
      <c r="E319" s="711"/>
      <c r="F319" s="711"/>
      <c r="G319" s="711"/>
      <c r="H319" s="711"/>
      <c r="I319" s="711"/>
      <c r="J319" s="898"/>
    </row>
    <row r="320" spans="1:10" s="896" customFormat="1" ht="13.6">
      <c r="A320" s="260"/>
      <c r="B320" s="711"/>
      <c r="C320" s="711"/>
      <c r="D320" s="711"/>
      <c r="E320" s="711"/>
      <c r="F320" s="711"/>
      <c r="G320" s="711"/>
      <c r="H320" s="711"/>
      <c r="I320" s="711"/>
      <c r="J320" s="898"/>
    </row>
    <row r="321" spans="1:10" s="896" customFormat="1" ht="14.3">
      <c r="A321" s="710" t="s">
        <v>632</v>
      </c>
      <c r="B321" s="716"/>
      <c r="C321" s="716"/>
      <c r="D321" s="716" t="s">
        <v>814</v>
      </c>
      <c r="E321" s="716" t="s">
        <v>610</v>
      </c>
      <c r="F321" s="716" t="s">
        <v>633</v>
      </c>
      <c r="G321" s="716" t="s">
        <v>631</v>
      </c>
      <c r="H321" s="716" t="s">
        <v>419</v>
      </c>
      <c r="I321" s="716" t="s">
        <v>634</v>
      </c>
      <c r="J321" s="898"/>
    </row>
    <row r="322" spans="1:10" s="896" customFormat="1" ht="14.3">
      <c r="A322" s="920"/>
      <c r="B322" s="429"/>
      <c r="C322" s="429"/>
      <c r="D322" s="715" t="s">
        <v>813</v>
      </c>
      <c r="E322" s="715" t="s">
        <v>160</v>
      </c>
      <c r="F322" s="715" t="s">
        <v>321</v>
      </c>
      <c r="G322" s="715"/>
      <c r="H322" s="715"/>
      <c r="J322" s="898"/>
    </row>
    <row r="323" spans="1:10" s="896" customFormat="1" ht="14.3">
      <c r="A323" s="710" t="s">
        <v>314</v>
      </c>
      <c r="B323" s="429"/>
      <c r="C323" s="429"/>
      <c r="D323" s="715"/>
      <c r="E323" s="715" t="s">
        <v>320</v>
      </c>
      <c r="F323" s="715" t="s">
        <v>312</v>
      </c>
      <c r="G323" s="715" t="s">
        <v>317</v>
      </c>
      <c r="H323" s="715" t="s">
        <v>319</v>
      </c>
      <c r="J323" s="898"/>
    </row>
    <row r="324" spans="1:10" s="896" customFormat="1" ht="14.3">
      <c r="A324" s="785"/>
      <c r="B324" s="898"/>
      <c r="C324" s="898"/>
      <c r="D324" s="715"/>
      <c r="E324" s="715" t="s">
        <v>318</v>
      </c>
      <c r="F324" s="715" t="s">
        <v>318</v>
      </c>
      <c r="G324" s="715" t="s">
        <v>318</v>
      </c>
      <c r="H324" s="715" t="s">
        <v>318</v>
      </c>
      <c r="I324" s="715" t="s">
        <v>529</v>
      </c>
      <c r="J324" s="898"/>
    </row>
    <row r="325" spans="1:10" s="896" customFormat="1" ht="17.149999999999999" customHeight="1">
      <c r="A325" s="1152" t="s">
        <v>790</v>
      </c>
      <c r="B325" s="1153"/>
      <c r="C325" s="676"/>
      <c r="D325" s="897">
        <f t="shared" ref="D325:D388" si="8">SUM(E325:H325)</f>
        <v>-15.685</v>
      </c>
      <c r="E325" s="899">
        <v>-15.685</v>
      </c>
      <c r="F325" s="899"/>
      <c r="G325" s="899"/>
      <c r="H325" s="899"/>
      <c r="I325" s="1149" t="s">
        <v>9</v>
      </c>
      <c r="J325" s="898"/>
    </row>
    <row r="326" spans="1:10" s="896" customFormat="1" ht="17.149999999999999" customHeight="1">
      <c r="A326" s="1152" t="s">
        <v>575</v>
      </c>
      <c r="B326" s="1153"/>
      <c r="C326" s="676"/>
      <c r="D326" s="897">
        <f t="shared" si="8"/>
        <v>-2.4790000000000001</v>
      </c>
      <c r="E326" s="899">
        <v>-2.4790000000000001</v>
      </c>
      <c r="F326" s="899"/>
      <c r="G326" s="899"/>
      <c r="H326" s="899"/>
      <c r="I326" s="1149" t="s">
        <v>9</v>
      </c>
      <c r="J326" s="898"/>
    </row>
    <row r="327" spans="1:10" s="896" customFormat="1" ht="17.149999999999999" customHeight="1">
      <c r="A327" s="1152" t="s">
        <v>1351</v>
      </c>
      <c r="B327" s="1153"/>
      <c r="C327" s="676"/>
      <c r="D327" s="897">
        <f t="shared" si="8"/>
        <v>1.643</v>
      </c>
      <c r="E327" s="899">
        <v>1.643</v>
      </c>
      <c r="F327" s="899"/>
      <c r="G327" s="899"/>
      <c r="H327" s="899"/>
      <c r="I327" s="1149" t="s">
        <v>9</v>
      </c>
      <c r="J327" s="898"/>
    </row>
    <row r="328" spans="1:10" s="896" customFormat="1" ht="17.149999999999999" customHeight="1">
      <c r="A328" s="1152" t="s">
        <v>783</v>
      </c>
      <c r="B328" s="1153"/>
      <c r="C328" s="676"/>
      <c r="D328" s="897">
        <f t="shared" si="8"/>
        <v>-9922.1170000000002</v>
      </c>
      <c r="E328" s="899">
        <v>-9922.1170000000002</v>
      </c>
      <c r="F328" s="899"/>
      <c r="G328" s="899"/>
      <c r="H328" s="899"/>
      <c r="I328" s="1149" t="s">
        <v>9</v>
      </c>
      <c r="J328" s="898"/>
    </row>
    <row r="329" spans="1:10" s="896" customFormat="1" ht="17.149999999999999" customHeight="1">
      <c r="A329" s="1152" t="s">
        <v>1417</v>
      </c>
      <c r="B329" s="1153"/>
      <c r="C329" s="680"/>
      <c r="D329" s="897">
        <f t="shared" si="8"/>
        <v>-29000.784</v>
      </c>
      <c r="E329" s="899">
        <v>-10494.943989172034</v>
      </c>
      <c r="F329" s="899">
        <v>-18505.840010827967</v>
      </c>
      <c r="G329" s="883"/>
      <c r="H329" s="899"/>
      <c r="I329" s="1149" t="s">
        <v>9</v>
      </c>
      <c r="J329" s="898"/>
    </row>
    <row r="330" spans="1:10" s="896" customFormat="1" ht="17.149999999999999" customHeight="1">
      <c r="A330" s="1152" t="s">
        <v>774</v>
      </c>
      <c r="B330" s="1153"/>
      <c r="C330" s="676"/>
      <c r="D330" s="897">
        <f t="shared" si="8"/>
        <v>0</v>
      </c>
      <c r="E330" s="899"/>
      <c r="F330" s="899"/>
      <c r="G330" s="899"/>
      <c r="H330" s="899"/>
      <c r="I330" s="1149" t="s">
        <v>658</v>
      </c>
      <c r="J330" s="898"/>
    </row>
    <row r="331" spans="1:10" s="896" customFormat="1" ht="17.149999999999999" customHeight="1">
      <c r="A331" s="1152" t="s">
        <v>582</v>
      </c>
      <c r="B331" s="1153"/>
      <c r="C331" s="676"/>
      <c r="D331" s="897">
        <f t="shared" si="8"/>
        <v>-424.77</v>
      </c>
      <c r="E331" s="899"/>
      <c r="F331" s="899"/>
      <c r="G331" s="899">
        <v>-424.77</v>
      </c>
      <c r="H331" s="899"/>
      <c r="I331" s="1149" t="s">
        <v>10</v>
      </c>
      <c r="J331" s="898"/>
    </row>
    <row r="332" spans="1:10" s="896" customFormat="1" ht="17.149999999999999" customHeight="1">
      <c r="A332" s="1152" t="s">
        <v>1418</v>
      </c>
      <c r="B332" s="1153"/>
      <c r="C332" s="676"/>
      <c r="D332" s="897">
        <f t="shared" si="8"/>
        <v>-35839.900999999998</v>
      </c>
      <c r="E332" s="899">
        <v>-37217.438090762211</v>
      </c>
      <c r="F332" s="899">
        <v>1377.5370907622164</v>
      </c>
      <c r="G332" s="899"/>
      <c r="H332" s="899"/>
      <c r="I332" s="1149" t="s">
        <v>11</v>
      </c>
      <c r="J332" s="898"/>
    </row>
    <row r="333" spans="1:10" s="896" customFormat="1" ht="17.149999999999999" customHeight="1">
      <c r="A333" s="1152" t="s">
        <v>1635</v>
      </c>
      <c r="B333" s="1153"/>
      <c r="C333" s="676"/>
      <c r="D333" s="897">
        <f t="shared" si="8"/>
        <v>-7541.3789999999999</v>
      </c>
      <c r="E333" s="899">
        <v>-7541.3789999999999</v>
      </c>
      <c r="F333" s="899"/>
      <c r="G333" s="899"/>
      <c r="H333" s="899"/>
      <c r="I333" s="1149" t="s">
        <v>11</v>
      </c>
      <c r="J333" s="898"/>
    </row>
    <row r="334" spans="1:10" s="896" customFormat="1" ht="17.149999999999999" customHeight="1">
      <c r="A334" s="1152" t="s">
        <v>1636</v>
      </c>
      <c r="B334" s="1153"/>
      <c r="C334" s="676"/>
      <c r="D334" s="897">
        <f t="shared" si="8"/>
        <v>-2972.203</v>
      </c>
      <c r="E334" s="899">
        <v>-2972.203</v>
      </c>
      <c r="F334" s="899"/>
      <c r="G334" s="899"/>
      <c r="H334" s="899"/>
      <c r="I334" s="1149" t="s">
        <v>658</v>
      </c>
      <c r="J334" s="898"/>
    </row>
    <row r="335" spans="1:10" s="896" customFormat="1" ht="17.149999999999999" customHeight="1">
      <c r="A335" s="1152" t="s">
        <v>762</v>
      </c>
      <c r="B335" s="1153"/>
      <c r="C335" s="676"/>
      <c r="D335" s="897">
        <f t="shared" si="8"/>
        <v>0</v>
      </c>
      <c r="E335" s="883"/>
      <c r="F335" s="899"/>
      <c r="G335" s="899"/>
      <c r="H335" s="899"/>
      <c r="I335" s="1149" t="s">
        <v>658</v>
      </c>
      <c r="J335" s="898"/>
    </row>
    <row r="336" spans="1:10" s="896" customFormat="1" ht="34" customHeight="1">
      <c r="A336" s="1152" t="s">
        <v>127</v>
      </c>
      <c r="B336" s="1153"/>
      <c r="C336" s="676"/>
      <c r="D336" s="897">
        <f t="shared" si="8"/>
        <v>-121474.549</v>
      </c>
      <c r="E336" s="899"/>
      <c r="F336" s="899"/>
      <c r="G336" s="899">
        <v>-121474.549</v>
      </c>
      <c r="H336" s="899"/>
      <c r="I336" s="1149" t="s">
        <v>12</v>
      </c>
      <c r="J336" s="898"/>
    </row>
    <row r="337" spans="1:10" s="896" customFormat="1" ht="34" customHeight="1">
      <c r="A337" s="1152" t="s">
        <v>1200</v>
      </c>
      <c r="B337" s="1153"/>
      <c r="C337" s="676"/>
      <c r="D337" s="897">
        <f t="shared" si="8"/>
        <v>36495.891000000003</v>
      </c>
      <c r="E337" s="899"/>
      <c r="F337" s="899"/>
      <c r="G337" s="899">
        <v>36495.891000000003</v>
      </c>
      <c r="H337" s="899"/>
      <c r="I337" s="1149" t="s">
        <v>1318</v>
      </c>
      <c r="J337" s="898"/>
    </row>
    <row r="338" spans="1:10" s="896" customFormat="1" ht="17.149999999999999" customHeight="1">
      <c r="A338" s="1152" t="s">
        <v>902</v>
      </c>
      <c r="B338" s="1153"/>
      <c r="C338" s="676"/>
      <c r="D338" s="897">
        <f t="shared" si="8"/>
        <v>40276.267999999996</v>
      </c>
      <c r="E338" s="899"/>
      <c r="F338" s="883"/>
      <c r="G338" s="883"/>
      <c r="H338" s="899">
        <f>'ATT1B-ADIT'!J126/1000</f>
        <v>40276.267999999996</v>
      </c>
      <c r="I338" s="1149" t="s">
        <v>921</v>
      </c>
      <c r="J338" s="898"/>
    </row>
    <row r="339" spans="1:10" s="896" customFormat="1" ht="17.149999999999999" customHeight="1">
      <c r="A339" s="1152" t="s">
        <v>583</v>
      </c>
      <c r="B339" s="1153"/>
      <c r="C339" s="676"/>
      <c r="D339" s="897">
        <f t="shared" si="8"/>
        <v>-9943.9159999999993</v>
      </c>
      <c r="E339" s="899">
        <v>-9943.9159999999993</v>
      </c>
      <c r="F339" s="899"/>
      <c r="G339" s="899"/>
      <c r="H339" s="899"/>
      <c r="I339" s="1149" t="s">
        <v>13</v>
      </c>
      <c r="J339" s="898"/>
    </row>
    <row r="340" spans="1:10" s="896" customFormat="1" ht="17.149999999999999" customHeight="1">
      <c r="A340" s="1152" t="s">
        <v>584</v>
      </c>
      <c r="B340" s="1153"/>
      <c r="C340" s="676"/>
      <c r="D340" s="897">
        <f t="shared" si="8"/>
        <v>-62584.211000000003</v>
      </c>
      <c r="E340" s="899"/>
      <c r="F340" s="883"/>
      <c r="G340" s="883"/>
      <c r="H340" s="899">
        <f>'ATT1B-ADIT'!J158/1000</f>
        <v>-62584.211000000003</v>
      </c>
      <c r="I340" s="1149" t="s">
        <v>128</v>
      </c>
      <c r="J340" s="898"/>
    </row>
    <row r="341" spans="1:10" s="896" customFormat="1" ht="17.149999999999999" customHeight="1">
      <c r="A341" s="1152" t="s">
        <v>1419</v>
      </c>
      <c r="B341" s="1153"/>
      <c r="C341" s="676"/>
      <c r="D341" s="897">
        <f t="shared" si="8"/>
        <v>0</v>
      </c>
      <c r="E341" s="899"/>
      <c r="F341" s="899"/>
      <c r="G341" s="899"/>
      <c r="H341" s="899"/>
      <c r="I341" s="1149" t="s">
        <v>14</v>
      </c>
      <c r="J341" s="898"/>
    </row>
    <row r="342" spans="1:10" s="896" customFormat="1" ht="17.149999999999999" customHeight="1">
      <c r="A342" s="1152" t="s">
        <v>585</v>
      </c>
      <c r="B342" s="1153"/>
      <c r="C342" s="676"/>
      <c r="D342" s="897">
        <f t="shared" si="8"/>
        <v>0</v>
      </c>
      <c r="E342" s="899"/>
      <c r="F342" s="899"/>
      <c r="G342" s="899"/>
      <c r="H342" s="899"/>
      <c r="I342" s="1149" t="s">
        <v>129</v>
      </c>
      <c r="J342" s="898"/>
    </row>
    <row r="343" spans="1:10" s="896" customFormat="1" ht="17.149999999999999" customHeight="1">
      <c r="A343" s="1152" t="s">
        <v>775</v>
      </c>
      <c r="B343" s="1153"/>
      <c r="C343" s="676"/>
      <c r="D343" s="897">
        <f t="shared" si="8"/>
        <v>0</v>
      </c>
      <c r="E343" s="899"/>
      <c r="F343" s="899"/>
      <c r="G343" s="899"/>
      <c r="H343" s="899"/>
      <c r="I343" s="1149" t="s">
        <v>658</v>
      </c>
      <c r="J343" s="898"/>
    </row>
    <row r="344" spans="1:10" s="896" customFormat="1" ht="17.149999999999999" customHeight="1">
      <c r="A344" s="1152" t="s">
        <v>1334</v>
      </c>
      <c r="B344" s="1153"/>
      <c r="C344" s="676"/>
      <c r="D344" s="897">
        <f t="shared" si="8"/>
        <v>0.17299999999999999</v>
      </c>
      <c r="E344" s="899">
        <v>0.17299999999999999</v>
      </c>
      <c r="F344" s="899"/>
      <c r="G344" s="899"/>
      <c r="H344" s="899"/>
      <c r="I344" s="1149" t="s">
        <v>658</v>
      </c>
      <c r="J344" s="898"/>
    </row>
    <row r="345" spans="1:10" s="896" customFormat="1" ht="17.149999999999999" customHeight="1">
      <c r="A345" s="1152" t="s">
        <v>1335</v>
      </c>
      <c r="B345" s="1153"/>
      <c r="C345" s="676"/>
      <c r="D345" s="897">
        <f t="shared" si="8"/>
        <v>-37.1065341072132</v>
      </c>
      <c r="E345" s="899">
        <v>-37.1065341072132</v>
      </c>
      <c r="F345" s="899"/>
      <c r="G345" s="899"/>
      <c r="H345" s="899"/>
      <c r="I345" s="1149" t="s">
        <v>658</v>
      </c>
      <c r="J345" s="898"/>
    </row>
    <row r="346" spans="1:10" s="896" customFormat="1" ht="17.149999999999999" customHeight="1">
      <c r="A346" s="1152" t="s">
        <v>1336</v>
      </c>
      <c r="B346" s="1153"/>
      <c r="C346" s="676"/>
      <c r="D346" s="897">
        <f t="shared" si="8"/>
        <v>-4619.1660000000002</v>
      </c>
      <c r="E346" s="899">
        <v>-4619.1660000000002</v>
      </c>
      <c r="F346" s="899"/>
      <c r="G346" s="899"/>
      <c r="H346" s="899"/>
      <c r="I346" s="1149" t="s">
        <v>658</v>
      </c>
      <c r="J346" s="898"/>
    </row>
    <row r="347" spans="1:10" s="896" customFormat="1" ht="17.149999999999999" customHeight="1">
      <c r="A347" s="1152" t="s">
        <v>1337</v>
      </c>
      <c r="B347" s="1153"/>
      <c r="C347" s="676"/>
      <c r="D347" s="897">
        <f t="shared" si="8"/>
        <v>-1.2949999999999999</v>
      </c>
      <c r="E347" s="899">
        <v>-1.2949999999999999</v>
      </c>
      <c r="F347" s="899"/>
      <c r="G347" s="899"/>
      <c r="H347" s="899"/>
      <c r="I347" s="1149" t="s">
        <v>658</v>
      </c>
      <c r="J347" s="898"/>
    </row>
    <row r="348" spans="1:10" s="896" customFormat="1" ht="17.149999999999999" customHeight="1">
      <c r="A348" s="1152" t="s">
        <v>1338</v>
      </c>
      <c r="B348" s="1153"/>
      <c r="C348" s="676"/>
      <c r="D348" s="897">
        <f t="shared" si="8"/>
        <v>-176.51391977399999</v>
      </c>
      <c r="E348" s="899">
        <v>-176.51391977399999</v>
      </c>
      <c r="F348" s="899"/>
      <c r="G348" s="899"/>
      <c r="H348" s="899"/>
      <c r="I348" s="1149" t="s">
        <v>658</v>
      </c>
      <c r="J348" s="898"/>
    </row>
    <row r="349" spans="1:10" s="896" customFormat="1" ht="17.149999999999999" customHeight="1">
      <c r="A349" s="1152" t="s">
        <v>1339</v>
      </c>
      <c r="B349" s="1153"/>
      <c r="C349" s="676"/>
      <c r="D349" s="897">
        <f t="shared" si="8"/>
        <v>-26378.714047887999</v>
      </c>
      <c r="E349" s="899">
        <v>-26378.714047887999</v>
      </c>
      <c r="F349" s="899"/>
      <c r="G349" s="899"/>
      <c r="H349" s="899"/>
      <c r="I349" s="1149" t="s">
        <v>658</v>
      </c>
      <c r="J349" s="898"/>
    </row>
    <row r="350" spans="1:10" s="896" customFormat="1" ht="17.149999999999999" customHeight="1">
      <c r="A350" s="1152" t="s">
        <v>1340</v>
      </c>
      <c r="B350" s="1153"/>
      <c r="C350" s="676"/>
      <c r="D350" s="897">
        <f t="shared" si="8"/>
        <v>-306971.86299452698</v>
      </c>
      <c r="E350" s="899">
        <v>-306971.86299452698</v>
      </c>
      <c r="F350" s="899"/>
      <c r="G350" s="899"/>
      <c r="H350" s="899"/>
      <c r="I350" s="1149" t="s">
        <v>658</v>
      </c>
      <c r="J350" s="898"/>
    </row>
    <row r="351" spans="1:10" s="896" customFormat="1" ht="17.149999999999999" customHeight="1">
      <c r="A351" s="1152" t="s">
        <v>1341</v>
      </c>
      <c r="B351" s="1153"/>
      <c r="C351" s="676"/>
      <c r="D351" s="897">
        <f t="shared" si="8"/>
        <v>-21143.851904237999</v>
      </c>
      <c r="E351" s="899">
        <v>-21143.851904237999</v>
      </c>
      <c r="F351" s="899"/>
      <c r="G351" s="899"/>
      <c r="H351" s="899"/>
      <c r="I351" s="1149" t="s">
        <v>658</v>
      </c>
      <c r="J351" s="898"/>
    </row>
    <row r="352" spans="1:10" s="896" customFormat="1" ht="17.149999999999999" customHeight="1">
      <c r="A352" s="1152" t="s">
        <v>791</v>
      </c>
      <c r="B352" s="1153"/>
      <c r="C352" s="676"/>
      <c r="D352" s="897">
        <f t="shared" si="8"/>
        <v>0</v>
      </c>
      <c r="E352" s="899"/>
      <c r="F352" s="899"/>
      <c r="G352" s="899"/>
      <c r="H352" s="899"/>
      <c r="I352" s="1149" t="s">
        <v>658</v>
      </c>
      <c r="J352" s="898"/>
    </row>
    <row r="353" spans="1:10" s="896" customFormat="1" ht="17.149999999999999" customHeight="1">
      <c r="A353" s="1152" t="s">
        <v>908</v>
      </c>
      <c r="B353" s="1153"/>
      <c r="C353" s="676"/>
      <c r="D353" s="897">
        <f t="shared" si="8"/>
        <v>0</v>
      </c>
      <c r="E353" s="899"/>
      <c r="F353" s="899"/>
      <c r="G353" s="899"/>
      <c r="H353" s="899"/>
      <c r="I353" s="1149" t="s">
        <v>658</v>
      </c>
      <c r="J353" s="898"/>
    </row>
    <row r="354" spans="1:10" s="896" customFormat="1" ht="17.149999999999999" customHeight="1">
      <c r="A354" s="1152" t="s">
        <v>1121</v>
      </c>
      <c r="B354" s="1153"/>
      <c r="C354" s="676"/>
      <c r="D354" s="897">
        <f t="shared" si="8"/>
        <v>0</v>
      </c>
      <c r="E354" s="899"/>
      <c r="F354" s="899"/>
      <c r="G354" s="899"/>
      <c r="H354" s="899"/>
      <c r="I354" s="1149" t="s">
        <v>658</v>
      </c>
      <c r="J354" s="898"/>
    </row>
    <row r="355" spans="1:10" s="896" customFormat="1" ht="17.149999999999999" customHeight="1">
      <c r="A355" s="1152" t="s">
        <v>1072</v>
      </c>
      <c r="B355" s="1153"/>
      <c r="C355" s="676"/>
      <c r="D355" s="897">
        <f t="shared" si="8"/>
        <v>0</v>
      </c>
      <c r="E355" s="899"/>
      <c r="F355" s="899"/>
      <c r="G355" s="899"/>
      <c r="H355" s="899"/>
      <c r="I355" s="1149" t="s">
        <v>658</v>
      </c>
      <c r="J355" s="898"/>
    </row>
    <row r="356" spans="1:10" s="896" customFormat="1" ht="17.149999999999999" customHeight="1">
      <c r="A356" s="1152" t="s">
        <v>1073</v>
      </c>
      <c r="B356" s="1153"/>
      <c r="C356" s="676"/>
      <c r="D356" s="897">
        <f t="shared" si="8"/>
        <v>0</v>
      </c>
      <c r="E356" s="899"/>
      <c r="F356" s="899"/>
      <c r="G356" s="899"/>
      <c r="H356" s="899"/>
      <c r="I356" s="1149" t="s">
        <v>658</v>
      </c>
      <c r="J356" s="898"/>
    </row>
    <row r="357" spans="1:10" s="896" customFormat="1" ht="17.149999999999999" customHeight="1">
      <c r="A357" s="1152" t="s">
        <v>1074</v>
      </c>
      <c r="B357" s="1153"/>
      <c r="C357" s="676"/>
      <c r="D357" s="897">
        <f t="shared" si="8"/>
        <v>0</v>
      </c>
      <c r="E357" s="899"/>
      <c r="F357" s="899"/>
      <c r="G357" s="899"/>
      <c r="H357" s="899"/>
      <c r="I357" s="1149" t="s">
        <v>658</v>
      </c>
      <c r="J357" s="898"/>
    </row>
    <row r="358" spans="1:10" s="896" customFormat="1" ht="17.149999999999999" customHeight="1">
      <c r="A358" s="1152" t="s">
        <v>1075</v>
      </c>
      <c r="B358" s="1153"/>
      <c r="C358" s="676"/>
      <c r="D358" s="897">
        <f t="shared" si="8"/>
        <v>0</v>
      </c>
      <c r="E358" s="899"/>
      <c r="F358" s="899"/>
      <c r="G358" s="899"/>
      <c r="H358" s="899"/>
      <c r="I358" s="1149" t="s">
        <v>658</v>
      </c>
      <c r="J358" s="898"/>
    </row>
    <row r="359" spans="1:10" s="896" customFormat="1" ht="17.149999999999999" customHeight="1">
      <c r="A359" s="1152" t="s">
        <v>1076</v>
      </c>
      <c r="B359" s="1153"/>
      <c r="C359" s="676"/>
      <c r="D359" s="897">
        <f t="shared" si="8"/>
        <v>0</v>
      </c>
      <c r="E359" s="899"/>
      <c r="F359" s="899"/>
      <c r="G359" s="899"/>
      <c r="H359" s="899"/>
      <c r="I359" s="1149" t="s">
        <v>658</v>
      </c>
      <c r="J359" s="898"/>
    </row>
    <row r="360" spans="1:10" s="896" customFormat="1" ht="17.149999999999999" customHeight="1">
      <c r="A360" s="1152" t="s">
        <v>903</v>
      </c>
      <c r="B360" s="1153"/>
      <c r="C360" s="676"/>
      <c r="D360" s="897">
        <f t="shared" si="8"/>
        <v>0</v>
      </c>
      <c r="E360" s="899"/>
      <c r="F360" s="899"/>
      <c r="G360" s="899"/>
      <c r="H360" s="899"/>
      <c r="I360" s="1149" t="s">
        <v>658</v>
      </c>
      <c r="J360" s="898"/>
    </row>
    <row r="361" spans="1:10" s="896" customFormat="1" ht="17.149999999999999" customHeight="1">
      <c r="A361" s="1152" t="s">
        <v>904</v>
      </c>
      <c r="B361" s="1153"/>
      <c r="C361" s="676"/>
      <c r="D361" s="897">
        <f t="shared" si="8"/>
        <v>0</v>
      </c>
      <c r="E361" s="899"/>
      <c r="F361" s="899"/>
      <c r="G361" s="899"/>
      <c r="H361" s="899"/>
      <c r="I361" s="1149" t="s">
        <v>658</v>
      </c>
      <c r="J361" s="898"/>
    </row>
    <row r="362" spans="1:10" s="896" customFormat="1" ht="17.149999999999999" customHeight="1">
      <c r="A362" s="1152" t="s">
        <v>905</v>
      </c>
      <c r="B362" s="1153"/>
      <c r="C362" s="676"/>
      <c r="D362" s="897">
        <f t="shared" si="8"/>
        <v>0</v>
      </c>
      <c r="E362" s="899"/>
      <c r="F362" s="899"/>
      <c r="G362" s="899"/>
      <c r="H362" s="899"/>
      <c r="I362" s="1149" t="s">
        <v>658</v>
      </c>
      <c r="J362" s="898"/>
    </row>
    <row r="363" spans="1:10" s="896" customFormat="1" ht="17.149999999999999" customHeight="1">
      <c r="A363" s="1152" t="s">
        <v>1077</v>
      </c>
      <c r="B363" s="1153"/>
      <c r="C363" s="676"/>
      <c r="D363" s="897">
        <f t="shared" si="8"/>
        <v>0</v>
      </c>
      <c r="E363" s="899"/>
      <c r="F363" s="899"/>
      <c r="G363" s="899"/>
      <c r="H363" s="899"/>
      <c r="I363" s="1149" t="s">
        <v>658</v>
      </c>
      <c r="J363" s="898"/>
    </row>
    <row r="364" spans="1:10" s="896" customFormat="1" ht="17.149999999999999" customHeight="1">
      <c r="A364" s="1152" t="s">
        <v>781</v>
      </c>
      <c r="B364" s="1153"/>
      <c r="C364" s="676"/>
      <c r="D364" s="897">
        <f t="shared" si="8"/>
        <v>0</v>
      </c>
      <c r="E364" s="899"/>
      <c r="F364" s="899"/>
      <c r="G364" s="899"/>
      <c r="H364" s="899"/>
      <c r="I364" s="1149" t="s">
        <v>658</v>
      </c>
      <c r="J364" s="898"/>
    </row>
    <row r="365" spans="1:10" s="896" customFormat="1" ht="17.149999999999999" customHeight="1">
      <c r="A365" s="1152" t="s">
        <v>779</v>
      </c>
      <c r="B365" s="1153"/>
      <c r="C365" s="676"/>
      <c r="D365" s="897">
        <f t="shared" si="8"/>
        <v>0</v>
      </c>
      <c r="E365" s="899"/>
      <c r="F365" s="899"/>
      <c r="G365" s="899"/>
      <c r="H365" s="899"/>
      <c r="I365" s="1149" t="s">
        <v>658</v>
      </c>
      <c r="J365" s="898"/>
    </row>
    <row r="366" spans="1:10" s="896" customFormat="1" ht="17.149999999999999" customHeight="1">
      <c r="A366" s="1152" t="s">
        <v>782</v>
      </c>
      <c r="B366" s="1153"/>
      <c r="C366" s="676"/>
      <c r="D366" s="897">
        <f t="shared" si="8"/>
        <v>0</v>
      </c>
      <c r="E366" s="899"/>
      <c r="F366" s="899"/>
      <c r="G366" s="899"/>
      <c r="H366" s="899"/>
      <c r="I366" s="1149" t="s">
        <v>658</v>
      </c>
      <c r="J366" s="898"/>
    </row>
    <row r="367" spans="1:10" s="896" customFormat="1" ht="17.149999999999999" customHeight="1">
      <c r="A367" s="1152" t="s">
        <v>1122</v>
      </c>
      <c r="B367" s="1153"/>
      <c r="C367" s="676"/>
      <c r="D367" s="897">
        <f t="shared" si="8"/>
        <v>-38732.892</v>
      </c>
      <c r="E367" s="899">
        <v>-38732.892</v>
      </c>
      <c r="F367" s="899"/>
      <c r="G367" s="899"/>
      <c r="H367" s="899"/>
      <c r="I367" s="1149" t="s">
        <v>658</v>
      </c>
      <c r="J367" s="898"/>
    </row>
    <row r="368" spans="1:10" s="896" customFormat="1" ht="17.149999999999999" customHeight="1">
      <c r="A368" s="1152" t="s">
        <v>780</v>
      </c>
      <c r="B368" s="1153"/>
      <c r="C368" s="676"/>
      <c r="D368" s="897">
        <f t="shared" si="8"/>
        <v>300.363</v>
      </c>
      <c r="E368" s="899">
        <v>300.363</v>
      </c>
      <c r="F368" s="899"/>
      <c r="G368" s="899"/>
      <c r="H368" s="899"/>
      <c r="I368" s="1149" t="s">
        <v>658</v>
      </c>
      <c r="J368" s="898"/>
    </row>
    <row r="369" spans="1:10" s="896" customFormat="1" ht="17.149999999999999" customHeight="1">
      <c r="A369" s="1152" t="s">
        <v>1637</v>
      </c>
      <c r="B369" s="1153"/>
      <c r="C369" s="676"/>
      <c r="D369" s="897">
        <f t="shared" si="8"/>
        <v>-8602.3479299998307</v>
      </c>
      <c r="E369" s="899">
        <v>-8602.3479299998307</v>
      </c>
      <c r="F369" s="899"/>
      <c r="G369" s="899"/>
      <c r="H369" s="899"/>
      <c r="I369" s="1149" t="s">
        <v>658</v>
      </c>
      <c r="J369" s="898"/>
    </row>
    <row r="370" spans="1:10" s="896" customFormat="1" ht="17.149999999999999" customHeight="1">
      <c r="A370" s="1152" t="s">
        <v>1405</v>
      </c>
      <c r="B370" s="1153"/>
      <c r="C370" s="676"/>
      <c r="D370" s="897">
        <f t="shared" si="8"/>
        <v>-166.114</v>
      </c>
      <c r="E370" s="899">
        <v>-166.114</v>
      </c>
      <c r="F370" s="899"/>
      <c r="G370" s="899"/>
      <c r="H370" s="899"/>
      <c r="I370" s="1149" t="s">
        <v>658</v>
      </c>
      <c r="J370" s="898"/>
    </row>
    <row r="371" spans="1:10" s="896" customFormat="1" ht="34" customHeight="1">
      <c r="A371" s="1152" t="s">
        <v>1644</v>
      </c>
      <c r="B371" s="1153"/>
      <c r="C371" s="676"/>
      <c r="D371" s="897">
        <f t="shared" si="8"/>
        <v>-0.17899999999999999</v>
      </c>
      <c r="E371" s="899">
        <v>-0.17899999999999999</v>
      </c>
      <c r="F371" s="899"/>
      <c r="G371" s="899"/>
      <c r="H371" s="899"/>
      <c r="I371" s="1149" t="s">
        <v>658</v>
      </c>
      <c r="J371" s="898"/>
    </row>
    <row r="372" spans="1:10" s="896" customFormat="1" ht="17.149999999999999" customHeight="1">
      <c r="A372" s="1152" t="s">
        <v>1123</v>
      </c>
      <c r="B372" s="1153"/>
      <c r="C372" s="676"/>
      <c r="D372" s="897">
        <f t="shared" si="8"/>
        <v>29.346</v>
      </c>
      <c r="E372" s="899">
        <v>29.346</v>
      </c>
      <c r="F372" s="899"/>
      <c r="G372" s="899"/>
      <c r="H372" s="899"/>
      <c r="I372" s="1149" t="s">
        <v>658</v>
      </c>
      <c r="J372" s="898"/>
    </row>
    <row r="373" spans="1:10" s="896" customFormat="1" ht="34" customHeight="1">
      <c r="A373" s="1152" t="s">
        <v>1645</v>
      </c>
      <c r="B373" s="1153"/>
      <c r="C373" s="676"/>
      <c r="D373" s="897">
        <f t="shared" si="8"/>
        <v>-9.1620000000000008</v>
      </c>
      <c r="E373" s="899">
        <v>-9.1620000000000008</v>
      </c>
      <c r="F373" s="899"/>
      <c r="G373" s="899"/>
      <c r="H373" s="899"/>
      <c r="I373" s="1149" t="s">
        <v>658</v>
      </c>
      <c r="J373" s="898"/>
    </row>
    <row r="374" spans="1:10" s="896" customFormat="1" ht="17.149999999999999" customHeight="1">
      <c r="A374" s="1152" t="s">
        <v>1124</v>
      </c>
      <c r="B374" s="1153"/>
      <c r="C374" s="676"/>
      <c r="D374" s="897">
        <f t="shared" si="8"/>
        <v>0</v>
      </c>
      <c r="E374" s="899">
        <v>0</v>
      </c>
      <c r="F374" s="899"/>
      <c r="G374" s="899"/>
      <c r="H374" s="899"/>
      <c r="I374" s="1149" t="s">
        <v>658</v>
      </c>
      <c r="J374" s="898"/>
    </row>
    <row r="375" spans="1:10" s="896" customFormat="1" ht="17.149999999999999" customHeight="1">
      <c r="A375" s="1152" t="s">
        <v>1352</v>
      </c>
      <c r="B375" s="1153"/>
      <c r="C375" s="676"/>
      <c r="D375" s="897">
        <f t="shared" si="8"/>
        <v>421.18900000000002</v>
      </c>
      <c r="E375" s="899">
        <v>421.18900000000002</v>
      </c>
      <c r="F375" s="899"/>
      <c r="G375" s="899"/>
      <c r="H375" s="899"/>
      <c r="I375" s="1149" t="s">
        <v>658</v>
      </c>
      <c r="J375" s="898"/>
    </row>
    <row r="376" spans="1:10" s="896" customFormat="1" ht="34" customHeight="1">
      <c r="A376" s="1152" t="s">
        <v>1638</v>
      </c>
      <c r="B376" s="1153"/>
      <c r="C376" s="676"/>
      <c r="D376" s="897">
        <f t="shared" si="8"/>
        <v>0.88600000000000001</v>
      </c>
      <c r="E376" s="899">
        <v>0.88600000000000001</v>
      </c>
      <c r="F376" s="899"/>
      <c r="G376" s="899"/>
      <c r="H376" s="899"/>
      <c r="I376" s="1149" t="s">
        <v>658</v>
      </c>
      <c r="J376" s="898"/>
    </row>
    <row r="377" spans="1:10" s="896" customFormat="1" ht="17.149999999999999" customHeight="1">
      <c r="A377" s="1152" t="s">
        <v>1125</v>
      </c>
      <c r="B377" s="1153"/>
      <c r="C377" s="676"/>
      <c r="D377" s="897">
        <f t="shared" si="8"/>
        <v>3.0000000000000001E-3</v>
      </c>
      <c r="E377" s="899">
        <v>3.0000000000000001E-3</v>
      </c>
      <c r="F377" s="899"/>
      <c r="G377" s="899"/>
      <c r="H377" s="899"/>
      <c r="I377" s="1149" t="s">
        <v>658</v>
      </c>
      <c r="J377" s="898"/>
    </row>
    <row r="378" spans="1:10" s="896" customFormat="1" ht="17.149999999999999" customHeight="1">
      <c r="A378" s="1152" t="s">
        <v>1353</v>
      </c>
      <c r="B378" s="1153"/>
      <c r="C378" s="676"/>
      <c r="D378" s="897">
        <f t="shared" si="8"/>
        <v>-10.384</v>
      </c>
      <c r="E378" s="899">
        <v>-10.384</v>
      </c>
      <c r="F378" s="899"/>
      <c r="G378" s="899"/>
      <c r="H378" s="899"/>
      <c r="I378" s="1149" t="s">
        <v>658</v>
      </c>
      <c r="J378" s="898"/>
    </row>
    <row r="379" spans="1:10" s="896" customFormat="1" ht="34" customHeight="1">
      <c r="A379" s="1152" t="s">
        <v>1639</v>
      </c>
      <c r="B379" s="1153"/>
      <c r="C379" s="676"/>
      <c r="D379" s="897">
        <f t="shared" si="8"/>
        <v>-1.306</v>
      </c>
      <c r="E379" s="899">
        <v>-1.306</v>
      </c>
      <c r="F379" s="899"/>
      <c r="G379" s="899"/>
      <c r="H379" s="899"/>
      <c r="I379" s="1149" t="s">
        <v>658</v>
      </c>
      <c r="J379" s="898"/>
    </row>
    <row r="380" spans="1:10" s="896" customFormat="1" ht="17.149999999999999" customHeight="1">
      <c r="A380" s="1152" t="s">
        <v>1126</v>
      </c>
      <c r="B380" s="1153"/>
      <c r="C380" s="676"/>
      <c r="D380" s="897">
        <f t="shared" si="8"/>
        <v>-11809.19</v>
      </c>
      <c r="E380" s="899">
        <v>-11809.19</v>
      </c>
      <c r="F380" s="899"/>
      <c r="G380" s="899"/>
      <c r="H380" s="899"/>
      <c r="I380" s="1149" t="s">
        <v>658</v>
      </c>
      <c r="J380" s="898"/>
    </row>
    <row r="381" spans="1:10" s="896" customFormat="1" ht="34" customHeight="1">
      <c r="A381" s="1152" t="s">
        <v>1640</v>
      </c>
      <c r="B381" s="1153"/>
      <c r="C381" s="676"/>
      <c r="D381" s="897">
        <f t="shared" si="8"/>
        <v>-673.00800000000004</v>
      </c>
      <c r="E381" s="899">
        <v>-673.00800000000004</v>
      </c>
      <c r="F381" s="899"/>
      <c r="G381" s="899"/>
      <c r="H381" s="899"/>
      <c r="I381" s="1149" t="s">
        <v>658</v>
      </c>
      <c r="J381" s="898"/>
    </row>
    <row r="382" spans="1:10" s="896" customFormat="1" ht="17.149999999999999" customHeight="1">
      <c r="A382" s="1152" t="s">
        <v>1127</v>
      </c>
      <c r="B382" s="1153"/>
      <c r="C382" s="676"/>
      <c r="D382" s="897">
        <f t="shared" si="8"/>
        <v>-22.504999999999999</v>
      </c>
      <c r="E382" s="899">
        <v>-22.504999999999999</v>
      </c>
      <c r="F382" s="899"/>
      <c r="G382" s="899"/>
      <c r="H382" s="899"/>
      <c r="I382" s="1149" t="s">
        <v>658</v>
      </c>
      <c r="J382" s="898"/>
    </row>
    <row r="383" spans="1:10" s="896" customFormat="1" ht="17.149999999999999" customHeight="1">
      <c r="A383" s="1152" t="s">
        <v>1354</v>
      </c>
      <c r="B383" s="1153"/>
      <c r="C383" s="676"/>
      <c r="D383" s="897">
        <f t="shared" si="8"/>
        <v>92.754000000000005</v>
      </c>
      <c r="E383" s="899">
        <v>92.754000000000005</v>
      </c>
      <c r="F383" s="899"/>
      <c r="G383" s="899"/>
      <c r="H383" s="899"/>
      <c r="I383" s="1149" t="s">
        <v>658</v>
      </c>
      <c r="J383" s="898"/>
    </row>
    <row r="384" spans="1:10" s="896" customFormat="1" ht="34" customHeight="1">
      <c r="A384" s="1152" t="s">
        <v>1641</v>
      </c>
      <c r="B384" s="1153"/>
      <c r="C384" s="676"/>
      <c r="D384" s="897">
        <f t="shared" si="8"/>
        <v>-1.05</v>
      </c>
      <c r="E384" s="899">
        <v>-1.05</v>
      </c>
      <c r="F384" s="899"/>
      <c r="G384" s="899"/>
      <c r="H384" s="899"/>
      <c r="I384" s="1149" t="s">
        <v>658</v>
      </c>
      <c r="J384" s="898"/>
    </row>
    <row r="385" spans="1:10" s="896" customFormat="1" ht="17.149999999999999" customHeight="1">
      <c r="A385" s="1152" t="s">
        <v>1078</v>
      </c>
      <c r="B385" s="1153"/>
      <c r="C385" s="676"/>
      <c r="D385" s="897">
        <f t="shared" si="8"/>
        <v>-1045.577</v>
      </c>
      <c r="E385" s="899">
        <v>-1045.577</v>
      </c>
      <c r="F385" s="899"/>
      <c r="G385" s="899"/>
      <c r="H385" s="899"/>
      <c r="I385" s="1149" t="s">
        <v>658</v>
      </c>
      <c r="J385" s="898"/>
    </row>
    <row r="386" spans="1:10" s="896" customFormat="1" ht="34" customHeight="1">
      <c r="A386" s="1152" t="s">
        <v>1642</v>
      </c>
      <c r="B386" s="1153"/>
      <c r="C386" s="676"/>
      <c r="D386" s="897">
        <f t="shared" si="8"/>
        <v>-48.631</v>
      </c>
      <c r="E386" s="899">
        <v>-48.631</v>
      </c>
      <c r="F386" s="899"/>
      <c r="G386" s="899"/>
      <c r="H386" s="899"/>
      <c r="I386" s="1149" t="s">
        <v>658</v>
      </c>
      <c r="J386" s="898"/>
    </row>
    <row r="387" spans="1:10" s="896" customFormat="1" ht="17.149999999999999" customHeight="1">
      <c r="A387" s="1152" t="s">
        <v>1128</v>
      </c>
      <c r="B387" s="1153"/>
      <c r="C387" s="676"/>
      <c r="D387" s="897">
        <f t="shared" si="8"/>
        <v>-2319.7530000000002</v>
      </c>
      <c r="E387" s="899">
        <v>-2319.7530000000002</v>
      </c>
      <c r="F387" s="899"/>
      <c r="G387" s="899"/>
      <c r="H387" s="899"/>
      <c r="I387" s="1149" t="s">
        <v>658</v>
      </c>
      <c r="J387" s="898"/>
    </row>
    <row r="388" spans="1:10" s="896" customFormat="1" ht="34" customHeight="1">
      <c r="A388" s="1152" t="s">
        <v>1643</v>
      </c>
      <c r="B388" s="1153"/>
      <c r="C388" s="676"/>
      <c r="D388" s="897">
        <f t="shared" si="8"/>
        <v>-2.2450000000000001</v>
      </c>
      <c r="E388" s="899">
        <v>-2.2450000000000001</v>
      </c>
      <c r="F388" s="899"/>
      <c r="G388" s="899"/>
      <c r="H388" s="899"/>
      <c r="I388" s="1149" t="s">
        <v>658</v>
      </c>
      <c r="J388" s="898"/>
    </row>
    <row r="389" spans="1:10" s="896" customFormat="1" ht="17.149999999999999" customHeight="1">
      <c r="A389" s="1152" t="s">
        <v>1079</v>
      </c>
      <c r="B389" s="1153"/>
      <c r="C389" s="676"/>
      <c r="D389" s="897">
        <f t="shared" ref="D389:D452" si="9">SUM(E389:H389)</f>
        <v>-0.96299999999999997</v>
      </c>
      <c r="E389" s="899">
        <v>-0.96299999999999997</v>
      </c>
      <c r="F389" s="899"/>
      <c r="G389" s="899"/>
      <c r="H389" s="899"/>
      <c r="I389" s="1149" t="s">
        <v>658</v>
      </c>
      <c r="J389" s="898"/>
    </row>
    <row r="390" spans="1:10" s="896" customFormat="1" ht="17.149999999999999" customHeight="1">
      <c r="A390" s="1152" t="s">
        <v>1355</v>
      </c>
      <c r="B390" s="1153"/>
      <c r="C390" s="676"/>
      <c r="D390" s="897">
        <f t="shared" si="9"/>
        <v>-2E-3</v>
      </c>
      <c r="E390" s="899">
        <v>-2E-3</v>
      </c>
      <c r="F390" s="899"/>
      <c r="G390" s="899"/>
      <c r="H390" s="899"/>
      <c r="I390" s="1149" t="s">
        <v>658</v>
      </c>
      <c r="J390" s="898"/>
    </row>
    <row r="391" spans="1:10" s="896" customFormat="1" ht="17.149999999999999" customHeight="1">
      <c r="A391" s="1152" t="s">
        <v>1129</v>
      </c>
      <c r="B391" s="1153"/>
      <c r="C391" s="676"/>
      <c r="D391" s="897">
        <f t="shared" si="9"/>
        <v>-1.0999999999999999E-2</v>
      </c>
      <c r="E391" s="899">
        <v>-1.0999999999999999E-2</v>
      </c>
      <c r="F391" s="899"/>
      <c r="G391" s="899"/>
      <c r="H391" s="899"/>
      <c r="I391" s="1149" t="s">
        <v>658</v>
      </c>
      <c r="J391" s="898"/>
    </row>
    <row r="392" spans="1:10" s="896" customFormat="1" ht="17.149999999999999" customHeight="1">
      <c r="A392" s="1152" t="s">
        <v>1130</v>
      </c>
      <c r="B392" s="1153"/>
      <c r="C392" s="676"/>
      <c r="D392" s="897">
        <f t="shared" si="9"/>
        <v>0</v>
      </c>
      <c r="E392" s="899">
        <v>0</v>
      </c>
      <c r="F392" s="899"/>
      <c r="G392" s="899"/>
      <c r="H392" s="899"/>
      <c r="I392" s="1149" t="s">
        <v>658</v>
      </c>
      <c r="J392" s="898"/>
    </row>
    <row r="393" spans="1:10" s="896" customFormat="1" ht="17.149999999999999" customHeight="1">
      <c r="A393" s="1152" t="s">
        <v>1456</v>
      </c>
      <c r="B393" s="1153"/>
      <c r="C393" s="676"/>
      <c r="D393" s="897">
        <f t="shared" si="9"/>
        <v>4.2999999999999997E-2</v>
      </c>
      <c r="E393" s="899">
        <v>4.2999999999999997E-2</v>
      </c>
      <c r="F393" s="899"/>
      <c r="G393" s="899"/>
      <c r="H393" s="899"/>
      <c r="I393" s="1149" t="s">
        <v>658</v>
      </c>
      <c r="J393" s="898"/>
    </row>
    <row r="394" spans="1:10" s="896" customFormat="1" ht="17.149999999999999" customHeight="1">
      <c r="A394" s="1152" t="s">
        <v>1356</v>
      </c>
      <c r="B394" s="1153"/>
      <c r="C394" s="676"/>
      <c r="D394" s="897">
        <f t="shared" si="9"/>
        <v>0</v>
      </c>
      <c r="E394" s="899">
        <v>0</v>
      </c>
      <c r="F394" s="899"/>
      <c r="G394" s="899"/>
      <c r="H394" s="899"/>
      <c r="I394" s="1149" t="s">
        <v>658</v>
      </c>
      <c r="J394" s="898"/>
    </row>
    <row r="395" spans="1:10" s="896" customFormat="1" ht="17.149999999999999" customHeight="1">
      <c r="A395" s="1152" t="s">
        <v>1357</v>
      </c>
      <c r="B395" s="1153"/>
      <c r="C395" s="676"/>
      <c r="D395" s="897">
        <f t="shared" si="9"/>
        <v>1E-3</v>
      </c>
      <c r="E395" s="899">
        <v>1E-3</v>
      </c>
      <c r="F395" s="899"/>
      <c r="G395" s="899"/>
      <c r="H395" s="899"/>
      <c r="I395" s="1149" t="s">
        <v>658</v>
      </c>
      <c r="J395" s="898"/>
    </row>
    <row r="396" spans="1:10" s="896" customFormat="1" ht="17.149999999999999" customHeight="1">
      <c r="A396" s="1152" t="s">
        <v>1080</v>
      </c>
      <c r="B396" s="1153"/>
      <c r="C396" s="676"/>
      <c r="D396" s="897">
        <f t="shared" si="9"/>
        <v>0</v>
      </c>
      <c r="E396" s="899"/>
      <c r="F396" s="899"/>
      <c r="G396" s="899"/>
      <c r="H396" s="899"/>
      <c r="I396" s="1149" t="s">
        <v>658</v>
      </c>
      <c r="J396" s="898"/>
    </row>
    <row r="397" spans="1:10" s="896" customFormat="1" ht="17.149999999999999" customHeight="1">
      <c r="A397" s="1152" t="s">
        <v>1131</v>
      </c>
      <c r="B397" s="1153"/>
      <c r="C397" s="676"/>
      <c r="D397" s="897">
        <f t="shared" si="9"/>
        <v>-0.41899999999999998</v>
      </c>
      <c r="E397" s="899">
        <v>-0.41899999999999998</v>
      </c>
      <c r="F397" s="899"/>
      <c r="G397" s="899"/>
      <c r="H397" s="899"/>
      <c r="I397" s="1149" t="s">
        <v>658</v>
      </c>
      <c r="J397" s="898"/>
    </row>
    <row r="398" spans="1:10" s="896" customFormat="1" ht="17.149999999999999" customHeight="1">
      <c r="A398" s="1152" t="s">
        <v>1522</v>
      </c>
      <c r="B398" s="1153"/>
      <c r="C398" s="676"/>
      <c r="D398" s="897">
        <f t="shared" si="9"/>
        <v>-2E-3</v>
      </c>
      <c r="E398" s="899">
        <v>-2E-3</v>
      </c>
      <c r="F398" s="899"/>
      <c r="G398" s="899"/>
      <c r="H398" s="899"/>
      <c r="I398" s="1149" t="s">
        <v>658</v>
      </c>
      <c r="J398" s="898"/>
    </row>
    <row r="399" spans="1:10" s="896" customFormat="1" ht="17.149999999999999" customHeight="1">
      <c r="A399" s="1152" t="s">
        <v>1358</v>
      </c>
      <c r="B399" s="1153"/>
      <c r="C399" s="676"/>
      <c r="D399" s="897">
        <f t="shared" si="9"/>
        <v>2E-3</v>
      </c>
      <c r="E399" s="899">
        <v>2E-3</v>
      </c>
      <c r="F399" s="899"/>
      <c r="G399" s="899"/>
      <c r="H399" s="899"/>
      <c r="I399" s="1149" t="s">
        <v>658</v>
      </c>
      <c r="J399" s="898"/>
    </row>
    <row r="400" spans="1:10" s="896" customFormat="1" ht="17.149999999999999" customHeight="1">
      <c r="A400" s="1152" t="s">
        <v>1081</v>
      </c>
      <c r="B400" s="1153"/>
      <c r="C400" s="676"/>
      <c r="D400" s="897">
        <f t="shared" si="9"/>
        <v>-0.11700000000000001</v>
      </c>
      <c r="E400" s="899">
        <v>-0.11700000000000001</v>
      </c>
      <c r="F400" s="899"/>
      <c r="G400" s="899"/>
      <c r="H400" s="899"/>
      <c r="I400" s="1149" t="s">
        <v>658</v>
      </c>
      <c r="J400" s="898"/>
    </row>
    <row r="401" spans="1:10" s="896" customFormat="1" ht="17.149999999999999" customHeight="1">
      <c r="A401" s="1152" t="s">
        <v>1359</v>
      </c>
      <c r="B401" s="1153"/>
      <c r="C401" s="676"/>
      <c r="D401" s="897">
        <f t="shared" si="9"/>
        <v>-2.3E-2</v>
      </c>
      <c r="E401" s="899">
        <v>-2.3E-2</v>
      </c>
      <c r="F401" s="899"/>
      <c r="G401" s="899"/>
      <c r="H401" s="899"/>
      <c r="I401" s="1149" t="s">
        <v>658</v>
      </c>
      <c r="J401" s="898"/>
    </row>
    <row r="402" spans="1:10" s="896" customFormat="1" ht="17.149999999999999" customHeight="1">
      <c r="A402" s="1152" t="s">
        <v>785</v>
      </c>
      <c r="B402" s="1153"/>
      <c r="C402" s="676"/>
      <c r="D402" s="897">
        <f t="shared" si="9"/>
        <v>-162.45500000000001</v>
      </c>
      <c r="E402" s="899">
        <v>-162.45500000000001</v>
      </c>
      <c r="F402" s="899"/>
      <c r="G402" s="899"/>
      <c r="H402" s="899"/>
      <c r="I402" s="1149" t="s">
        <v>658</v>
      </c>
      <c r="J402" s="898"/>
    </row>
    <row r="403" spans="1:10" s="896" customFormat="1" ht="17.149999999999999" customHeight="1">
      <c r="A403" s="1152" t="s">
        <v>1406</v>
      </c>
      <c r="B403" s="1153"/>
      <c r="C403" s="676"/>
      <c r="D403" s="897">
        <f t="shared" si="9"/>
        <v>-1.704</v>
      </c>
      <c r="E403" s="899">
        <v>-1.704</v>
      </c>
      <c r="F403" s="899"/>
      <c r="G403" s="899"/>
      <c r="H403" s="899"/>
      <c r="I403" s="1149" t="s">
        <v>658</v>
      </c>
      <c r="J403" s="898"/>
    </row>
    <row r="404" spans="1:10" s="896" customFormat="1" ht="17.149999999999999" customHeight="1">
      <c r="A404" s="1152" t="s">
        <v>1132</v>
      </c>
      <c r="B404" s="1153"/>
      <c r="C404" s="676"/>
      <c r="D404" s="897">
        <f t="shared" si="9"/>
        <v>9.6000000000000002E-2</v>
      </c>
      <c r="E404" s="899">
        <v>9.6000000000000002E-2</v>
      </c>
      <c r="F404" s="899"/>
      <c r="G404" s="899"/>
      <c r="H404" s="899"/>
      <c r="I404" s="1149" t="s">
        <v>658</v>
      </c>
      <c r="J404" s="898"/>
    </row>
    <row r="405" spans="1:10" s="896" customFormat="1" ht="17.149999999999999" customHeight="1">
      <c r="A405" s="1152" t="s">
        <v>1133</v>
      </c>
      <c r="B405" s="1153"/>
      <c r="C405" s="676"/>
      <c r="D405" s="897">
        <f t="shared" si="9"/>
        <v>0</v>
      </c>
      <c r="E405" s="899">
        <v>0</v>
      </c>
      <c r="F405" s="899"/>
      <c r="G405" s="899"/>
      <c r="H405" s="899"/>
      <c r="I405" s="1149" t="s">
        <v>658</v>
      </c>
      <c r="J405" s="898"/>
    </row>
    <row r="406" spans="1:10" s="896" customFormat="1" ht="17.149999999999999" customHeight="1">
      <c r="A406" s="1152" t="s">
        <v>1407</v>
      </c>
      <c r="B406" s="1153"/>
      <c r="C406" s="676"/>
      <c r="D406" s="897">
        <f t="shared" si="9"/>
        <v>1</v>
      </c>
      <c r="E406" s="899">
        <v>1</v>
      </c>
      <c r="F406" s="899"/>
      <c r="G406" s="899"/>
      <c r="H406" s="899"/>
      <c r="I406" s="1149" t="s">
        <v>658</v>
      </c>
      <c r="J406" s="898"/>
    </row>
    <row r="407" spans="1:10" s="896" customFormat="1" ht="17.149999999999999" customHeight="1">
      <c r="A407" s="1152" t="s">
        <v>1408</v>
      </c>
      <c r="B407" s="1153"/>
      <c r="C407" s="676"/>
      <c r="D407" s="897">
        <f t="shared" si="9"/>
        <v>0</v>
      </c>
      <c r="E407" s="899">
        <v>0</v>
      </c>
      <c r="F407" s="899"/>
      <c r="G407" s="899"/>
      <c r="H407" s="899"/>
      <c r="I407" s="1149" t="s">
        <v>658</v>
      </c>
      <c r="J407" s="898"/>
    </row>
    <row r="408" spans="1:10" s="896" customFormat="1" ht="17.149999999999999" customHeight="1">
      <c r="A408" s="1152" t="s">
        <v>1409</v>
      </c>
      <c r="B408" s="1153"/>
      <c r="C408" s="676"/>
      <c r="D408" s="897">
        <f t="shared" si="9"/>
        <v>-0.185</v>
      </c>
      <c r="E408" s="899">
        <v>-0.185</v>
      </c>
      <c r="F408" s="899"/>
      <c r="G408" s="899"/>
      <c r="H408" s="899"/>
      <c r="I408" s="1149" t="s">
        <v>658</v>
      </c>
      <c r="J408" s="898"/>
    </row>
    <row r="409" spans="1:10" s="896" customFormat="1" ht="17.149999999999999" customHeight="1">
      <c r="A409" s="1152" t="s">
        <v>1134</v>
      </c>
      <c r="B409" s="1153"/>
      <c r="C409" s="676"/>
      <c r="D409" s="897">
        <f t="shared" si="9"/>
        <v>-99.805000000000007</v>
      </c>
      <c r="E409" s="899">
        <v>-99.805000000000007</v>
      </c>
      <c r="F409" s="899"/>
      <c r="G409" s="899"/>
      <c r="H409" s="899"/>
      <c r="I409" s="1149" t="s">
        <v>658</v>
      </c>
      <c r="J409" s="898"/>
    </row>
    <row r="410" spans="1:10" s="896" customFormat="1" ht="17.149999999999999" customHeight="1">
      <c r="A410" s="1152" t="s">
        <v>1135</v>
      </c>
      <c r="B410" s="1153"/>
      <c r="C410" s="676"/>
      <c r="D410" s="897">
        <f t="shared" si="9"/>
        <v>-0.16300000000000001</v>
      </c>
      <c r="E410" s="899">
        <v>-0.16300000000000001</v>
      </c>
      <c r="F410" s="899"/>
      <c r="G410" s="899"/>
      <c r="H410" s="899"/>
      <c r="I410" s="1149" t="s">
        <v>658</v>
      </c>
      <c r="J410" s="898"/>
    </row>
    <row r="411" spans="1:10" s="896" customFormat="1" ht="17.149999999999999" customHeight="1">
      <c r="A411" s="1152" t="s">
        <v>1410</v>
      </c>
      <c r="B411" s="1153"/>
      <c r="C411" s="676"/>
      <c r="D411" s="897">
        <f t="shared" si="9"/>
        <v>0.49199999999999999</v>
      </c>
      <c r="E411" s="899">
        <v>0.49199999999999999</v>
      </c>
      <c r="F411" s="899"/>
      <c r="G411" s="899"/>
      <c r="H411" s="899"/>
      <c r="I411" s="1149" t="s">
        <v>658</v>
      </c>
      <c r="J411" s="898"/>
    </row>
    <row r="412" spans="1:10" s="896" customFormat="1" ht="17.149999999999999" customHeight="1">
      <c r="A412" s="1152" t="s">
        <v>1082</v>
      </c>
      <c r="B412" s="1153"/>
      <c r="C412" s="676"/>
      <c r="D412" s="897">
        <f t="shared" si="9"/>
        <v>-8.9209999999999994</v>
      </c>
      <c r="E412" s="899">
        <v>-8.9209999999999994</v>
      </c>
      <c r="F412" s="899"/>
      <c r="G412" s="899"/>
      <c r="H412" s="899"/>
      <c r="I412" s="1149" t="s">
        <v>658</v>
      </c>
      <c r="J412" s="898"/>
    </row>
    <row r="413" spans="1:10" s="896" customFormat="1" ht="17.149999999999999" customHeight="1">
      <c r="A413" s="1152" t="s">
        <v>1411</v>
      </c>
      <c r="B413" s="1153"/>
      <c r="C413" s="676"/>
      <c r="D413" s="897">
        <f t="shared" si="9"/>
        <v>-21.553000000000001</v>
      </c>
      <c r="E413" s="899">
        <v>-21.553000000000001</v>
      </c>
      <c r="F413" s="899"/>
      <c r="G413" s="899"/>
      <c r="H413" s="899"/>
      <c r="I413" s="1149" t="s">
        <v>658</v>
      </c>
      <c r="J413" s="898"/>
    </row>
    <row r="414" spans="1:10" s="896" customFormat="1" ht="17.149999999999999" customHeight="1">
      <c r="A414" s="1152" t="s">
        <v>784</v>
      </c>
      <c r="B414" s="1153"/>
      <c r="C414" s="884"/>
      <c r="D414" s="897">
        <f t="shared" si="9"/>
        <v>-3385.5239999999999</v>
      </c>
      <c r="E414" s="899">
        <v>-3385.5239999999999</v>
      </c>
      <c r="F414" s="899"/>
      <c r="G414" s="899"/>
      <c r="H414" s="899"/>
      <c r="I414" s="1149" t="s">
        <v>658</v>
      </c>
      <c r="J414" s="898"/>
    </row>
    <row r="415" spans="1:10" s="896" customFormat="1" ht="17.149999999999999" customHeight="1">
      <c r="A415" s="1152" t="s">
        <v>1360</v>
      </c>
      <c r="B415" s="1153"/>
      <c r="C415" s="885"/>
      <c r="D415" s="897">
        <f t="shared" si="9"/>
        <v>-28.375</v>
      </c>
      <c r="E415" s="899">
        <v>-28.375</v>
      </c>
      <c r="F415" s="899"/>
      <c r="G415" s="899"/>
      <c r="H415" s="899"/>
      <c r="I415" s="1149" t="s">
        <v>658</v>
      </c>
      <c r="J415" s="898"/>
    </row>
    <row r="416" spans="1:10" s="896" customFormat="1" ht="17.149999999999999" customHeight="1">
      <c r="A416" s="1152" t="s">
        <v>1136</v>
      </c>
      <c r="B416" s="1153"/>
      <c r="C416" s="676"/>
      <c r="D416" s="897">
        <f t="shared" si="9"/>
        <v>3.5129999999999999</v>
      </c>
      <c r="E416" s="899">
        <v>3.5129999999999999</v>
      </c>
      <c r="F416" s="899"/>
      <c r="G416" s="899"/>
      <c r="H416" s="899"/>
      <c r="I416" s="1149" t="s">
        <v>658</v>
      </c>
      <c r="J416" s="898"/>
    </row>
    <row r="417" spans="1:10" s="896" customFormat="1" ht="17.149999999999999" customHeight="1">
      <c r="A417" s="1152" t="s">
        <v>1137</v>
      </c>
      <c r="B417" s="1153"/>
      <c r="C417" s="676"/>
      <c r="D417" s="897">
        <f t="shared" si="9"/>
        <v>0</v>
      </c>
      <c r="E417" s="899">
        <v>0</v>
      </c>
      <c r="F417" s="899"/>
      <c r="G417" s="899"/>
      <c r="H417" s="899"/>
      <c r="I417" s="1149" t="s">
        <v>658</v>
      </c>
      <c r="J417" s="898"/>
    </row>
    <row r="418" spans="1:10" s="896" customFormat="1" ht="17.149999999999999" customHeight="1">
      <c r="A418" s="1152" t="s">
        <v>1412</v>
      </c>
      <c r="B418" s="1153"/>
      <c r="C418" s="676"/>
      <c r="D418" s="897">
        <f t="shared" si="9"/>
        <v>71.512</v>
      </c>
      <c r="E418" s="899">
        <v>71.512</v>
      </c>
      <c r="F418" s="899"/>
      <c r="G418" s="899"/>
      <c r="H418" s="899"/>
      <c r="I418" s="1149" t="s">
        <v>658</v>
      </c>
      <c r="J418" s="898"/>
    </row>
    <row r="419" spans="1:10" s="896" customFormat="1" ht="17.149999999999999" customHeight="1">
      <c r="A419" s="1152" t="s">
        <v>1138</v>
      </c>
      <c r="B419" s="1153"/>
      <c r="C419" s="676"/>
      <c r="D419" s="897">
        <f t="shared" si="9"/>
        <v>1E-3</v>
      </c>
      <c r="E419" s="899">
        <v>1E-3</v>
      </c>
      <c r="F419" s="899"/>
      <c r="G419" s="899"/>
      <c r="H419" s="899"/>
      <c r="I419" s="1149" t="s">
        <v>658</v>
      </c>
      <c r="J419" s="898"/>
    </row>
    <row r="420" spans="1:10" s="896" customFormat="1" ht="17.149999999999999" customHeight="1">
      <c r="A420" s="1152" t="s">
        <v>1361</v>
      </c>
      <c r="B420" s="1153"/>
      <c r="C420" s="676"/>
      <c r="D420" s="897">
        <f t="shared" si="9"/>
        <v>-2.0059999999999998</v>
      </c>
      <c r="E420" s="899">
        <v>-2.0059999999999998</v>
      </c>
      <c r="F420" s="899"/>
      <c r="G420" s="899"/>
      <c r="H420" s="899"/>
      <c r="I420" s="1149" t="s">
        <v>658</v>
      </c>
      <c r="J420" s="898"/>
    </row>
    <row r="421" spans="1:10" s="896" customFormat="1" ht="17.149999999999999" customHeight="1">
      <c r="A421" s="1152" t="s">
        <v>1139</v>
      </c>
      <c r="B421" s="1153"/>
      <c r="C421" s="676"/>
      <c r="D421" s="897">
        <f t="shared" si="9"/>
        <v>-2126.2959999999998</v>
      </c>
      <c r="E421" s="899">
        <v>-2126.2959999999998</v>
      </c>
      <c r="F421" s="899"/>
      <c r="G421" s="899"/>
      <c r="H421" s="899"/>
      <c r="I421" s="1149" t="s">
        <v>658</v>
      </c>
      <c r="J421" s="898"/>
    </row>
    <row r="422" spans="1:10" s="896" customFormat="1" ht="17.149999999999999" customHeight="1">
      <c r="A422" s="1152" t="s">
        <v>1140</v>
      </c>
      <c r="B422" s="1153"/>
      <c r="C422" s="676"/>
      <c r="D422" s="897">
        <f t="shared" si="9"/>
        <v>-3.8210000000000002</v>
      </c>
      <c r="E422" s="899">
        <v>-3.8210000000000002</v>
      </c>
      <c r="F422" s="899"/>
      <c r="G422" s="899"/>
      <c r="H422" s="899"/>
      <c r="I422" s="1149" t="s">
        <v>658</v>
      </c>
      <c r="J422" s="898"/>
    </row>
    <row r="423" spans="1:10" s="896" customFormat="1" ht="17.149999999999999" customHeight="1">
      <c r="A423" s="1152" t="s">
        <v>1362</v>
      </c>
      <c r="B423" s="1153"/>
      <c r="C423" s="676"/>
      <c r="D423" s="897">
        <f t="shared" si="9"/>
        <v>15.62</v>
      </c>
      <c r="E423" s="899">
        <v>15.62</v>
      </c>
      <c r="F423" s="899"/>
      <c r="G423" s="899"/>
      <c r="H423" s="899"/>
      <c r="I423" s="1149" t="s">
        <v>658</v>
      </c>
      <c r="J423" s="898"/>
    </row>
    <row r="424" spans="1:10" s="896" customFormat="1" ht="17.149999999999999" customHeight="1">
      <c r="A424" s="1152" t="s">
        <v>1083</v>
      </c>
      <c r="B424" s="1153"/>
      <c r="C424" s="676"/>
      <c r="D424" s="897">
        <f t="shared" si="9"/>
        <v>-185.70599999999999</v>
      </c>
      <c r="E424" s="899">
        <v>-185.70599999999999</v>
      </c>
      <c r="F424" s="899"/>
      <c r="G424" s="899"/>
      <c r="H424" s="899"/>
      <c r="I424" s="1149" t="s">
        <v>658</v>
      </c>
      <c r="J424" s="898"/>
    </row>
    <row r="425" spans="1:10" s="896" customFormat="1" ht="17.149999999999999" customHeight="1">
      <c r="A425" s="1152" t="s">
        <v>1141</v>
      </c>
      <c r="B425" s="1153"/>
      <c r="C425" s="676"/>
      <c r="D425" s="897">
        <f t="shared" si="9"/>
        <v>-396.17700000000002</v>
      </c>
      <c r="E425" s="899">
        <v>-396.17700000000002</v>
      </c>
      <c r="F425" s="899"/>
      <c r="G425" s="899"/>
      <c r="H425" s="899"/>
      <c r="I425" s="1149" t="s">
        <v>658</v>
      </c>
      <c r="J425" s="898"/>
    </row>
    <row r="426" spans="1:10" s="896" customFormat="1" ht="17.149999999999999" customHeight="1">
      <c r="A426" s="1152" t="s">
        <v>786</v>
      </c>
      <c r="B426" s="1153"/>
      <c r="C426" s="676"/>
      <c r="D426" s="897">
        <f t="shared" si="9"/>
        <v>-102.818</v>
      </c>
      <c r="E426" s="899">
        <v>-102.818</v>
      </c>
      <c r="F426" s="899"/>
      <c r="G426" s="899"/>
      <c r="H426" s="899"/>
      <c r="I426" s="1149" t="s">
        <v>658</v>
      </c>
      <c r="J426" s="898"/>
    </row>
    <row r="427" spans="1:10" s="896" customFormat="1" ht="17.149999999999999" customHeight="1">
      <c r="A427" s="1152" t="s">
        <v>1413</v>
      </c>
      <c r="B427" s="1153"/>
      <c r="C427" s="676"/>
      <c r="D427" s="897">
        <f t="shared" si="9"/>
        <v>-0.876</v>
      </c>
      <c r="E427" s="899">
        <v>-0.876</v>
      </c>
      <c r="F427" s="899"/>
      <c r="G427" s="899"/>
      <c r="H427" s="899"/>
      <c r="I427" s="1149" t="s">
        <v>658</v>
      </c>
      <c r="J427" s="898"/>
    </row>
    <row r="428" spans="1:10" s="896" customFormat="1" ht="17.149999999999999" customHeight="1">
      <c r="A428" s="1152" t="s">
        <v>1142</v>
      </c>
      <c r="B428" s="1153"/>
      <c r="C428" s="676"/>
      <c r="D428" s="897">
        <f t="shared" si="9"/>
        <v>0.126</v>
      </c>
      <c r="E428" s="899">
        <v>0.126</v>
      </c>
      <c r="F428" s="899"/>
      <c r="G428" s="899"/>
      <c r="H428" s="899"/>
      <c r="I428" s="1149" t="s">
        <v>658</v>
      </c>
      <c r="J428" s="898"/>
    </row>
    <row r="429" spans="1:10" s="896" customFormat="1" ht="17.149999999999999" customHeight="1">
      <c r="A429" s="1152" t="s">
        <v>1143</v>
      </c>
      <c r="B429" s="1153"/>
      <c r="C429" s="676"/>
      <c r="D429" s="897">
        <f t="shared" si="9"/>
        <v>0</v>
      </c>
      <c r="E429" s="899">
        <v>0</v>
      </c>
      <c r="F429" s="899"/>
      <c r="G429" s="899"/>
      <c r="H429" s="899"/>
      <c r="I429" s="1149" t="s">
        <v>658</v>
      </c>
      <c r="J429" s="898"/>
    </row>
    <row r="430" spans="1:10" s="896" customFormat="1" ht="17.149999999999999" customHeight="1">
      <c r="A430" s="1152" t="s">
        <v>1414</v>
      </c>
      <c r="B430" s="1153"/>
      <c r="C430" s="676"/>
      <c r="D430" s="897">
        <f t="shared" si="9"/>
        <v>2.1179999999999999</v>
      </c>
      <c r="E430" s="899">
        <v>2.1179999999999999</v>
      </c>
      <c r="F430" s="899"/>
      <c r="G430" s="899"/>
      <c r="H430" s="899"/>
      <c r="I430" s="1149" t="s">
        <v>658</v>
      </c>
      <c r="J430" s="898"/>
    </row>
    <row r="431" spans="1:10" s="896" customFormat="1" ht="17.149999999999999" customHeight="1">
      <c r="A431" s="1152" t="s">
        <v>1457</v>
      </c>
      <c r="B431" s="1153"/>
      <c r="C431" s="676"/>
      <c r="D431" s="897">
        <f t="shared" si="9"/>
        <v>0</v>
      </c>
      <c r="E431" s="899">
        <v>0</v>
      </c>
      <c r="F431" s="899"/>
      <c r="G431" s="899"/>
      <c r="H431" s="899"/>
      <c r="I431" s="1149" t="s">
        <v>658</v>
      </c>
      <c r="J431" s="898"/>
    </row>
    <row r="432" spans="1:10" s="896" customFormat="1" ht="17.149999999999999" customHeight="1">
      <c r="A432" s="1152" t="s">
        <v>1363</v>
      </c>
      <c r="B432" s="1153"/>
      <c r="C432" s="676"/>
      <c r="D432" s="897">
        <f t="shared" si="9"/>
        <v>-6.5000000000000002E-2</v>
      </c>
      <c r="E432" s="899">
        <v>-6.5000000000000002E-2</v>
      </c>
      <c r="F432" s="899"/>
      <c r="G432" s="899"/>
      <c r="H432" s="899"/>
      <c r="I432" s="1149" t="s">
        <v>658</v>
      </c>
      <c r="J432" s="898"/>
    </row>
    <row r="433" spans="1:10" s="896" customFormat="1" ht="17.149999999999999" customHeight="1">
      <c r="A433" s="1152" t="s">
        <v>1144</v>
      </c>
      <c r="B433" s="1153"/>
      <c r="C433" s="676"/>
      <c r="D433" s="897">
        <f t="shared" si="9"/>
        <v>-65.051000000000002</v>
      </c>
      <c r="E433" s="899">
        <v>-65.051000000000002</v>
      </c>
      <c r="F433" s="899"/>
      <c r="G433" s="899"/>
      <c r="H433" s="899"/>
      <c r="I433" s="1149" t="s">
        <v>658</v>
      </c>
      <c r="J433" s="898"/>
    </row>
    <row r="434" spans="1:10" s="896" customFormat="1" ht="17.149999999999999" customHeight="1">
      <c r="A434" s="1152" t="s">
        <v>1145</v>
      </c>
      <c r="B434" s="1153"/>
      <c r="C434" s="676"/>
      <c r="D434" s="897">
        <f t="shared" si="9"/>
        <v>-0.113</v>
      </c>
      <c r="E434" s="899">
        <v>-0.113</v>
      </c>
      <c r="F434" s="899"/>
      <c r="G434" s="899"/>
      <c r="H434" s="899"/>
      <c r="I434" s="1149" t="s">
        <v>658</v>
      </c>
      <c r="J434" s="898"/>
    </row>
    <row r="435" spans="1:10" s="896" customFormat="1" ht="17.149999999999999" customHeight="1">
      <c r="A435" s="1152" t="s">
        <v>1364</v>
      </c>
      <c r="B435" s="1153"/>
      <c r="C435" s="676"/>
      <c r="D435" s="897">
        <f t="shared" si="9"/>
        <v>0.48</v>
      </c>
      <c r="E435" s="899">
        <v>0.48</v>
      </c>
      <c r="F435" s="899"/>
      <c r="G435" s="899"/>
      <c r="H435" s="899"/>
      <c r="I435" s="1149" t="s">
        <v>658</v>
      </c>
      <c r="J435" s="898"/>
    </row>
    <row r="436" spans="1:10" s="896" customFormat="1" ht="17.149999999999999" customHeight="1">
      <c r="A436" s="1152" t="s">
        <v>1084</v>
      </c>
      <c r="B436" s="1153"/>
      <c r="C436" s="676"/>
      <c r="D436" s="897">
        <f t="shared" si="9"/>
        <v>-5.4770000000000003</v>
      </c>
      <c r="E436" s="899">
        <v>-5.4770000000000003</v>
      </c>
      <c r="F436" s="899"/>
      <c r="G436" s="899"/>
      <c r="H436" s="899"/>
      <c r="I436" s="1149" t="s">
        <v>658</v>
      </c>
      <c r="J436" s="898"/>
    </row>
    <row r="437" spans="1:10" s="896" customFormat="1" ht="17.149999999999999" customHeight="1">
      <c r="A437" s="1152" t="s">
        <v>1365</v>
      </c>
      <c r="B437" s="1153"/>
      <c r="C437" s="676"/>
      <c r="D437" s="897">
        <f t="shared" si="9"/>
        <v>-12.253</v>
      </c>
      <c r="E437" s="899">
        <v>-12.253</v>
      </c>
      <c r="F437" s="899"/>
      <c r="G437" s="899"/>
      <c r="H437" s="899"/>
      <c r="I437" s="1149" t="s">
        <v>658</v>
      </c>
      <c r="J437" s="898"/>
    </row>
    <row r="438" spans="1:10" s="896" customFormat="1" ht="17.149999999999999" customHeight="1">
      <c r="A438" s="1152" t="s">
        <v>1344</v>
      </c>
      <c r="B438" s="1153"/>
      <c r="C438" s="676"/>
      <c r="D438" s="897">
        <f t="shared" si="9"/>
        <v>-7854.41</v>
      </c>
      <c r="E438" s="899">
        <v>-7854.41</v>
      </c>
      <c r="F438" s="899"/>
      <c r="G438" s="899"/>
      <c r="H438" s="899"/>
      <c r="I438" s="1149" t="s">
        <v>658</v>
      </c>
      <c r="J438" s="898"/>
    </row>
    <row r="439" spans="1:10" s="896" customFormat="1" ht="17.149999999999999" customHeight="1">
      <c r="A439" s="1152" t="s">
        <v>1345</v>
      </c>
      <c r="B439" s="1153"/>
      <c r="C439" s="676"/>
      <c r="D439" s="897">
        <f t="shared" si="9"/>
        <v>-41623.228999999999</v>
      </c>
      <c r="E439" s="899">
        <v>-41623.228999999999</v>
      </c>
      <c r="F439" s="899"/>
      <c r="G439" s="899"/>
      <c r="H439" s="899"/>
      <c r="I439" s="1149" t="s">
        <v>658</v>
      </c>
      <c r="J439" s="898"/>
    </row>
    <row r="440" spans="1:10" s="896" customFormat="1" ht="17.149999999999999" customHeight="1">
      <c r="A440" s="1152" t="s">
        <v>590</v>
      </c>
      <c r="B440" s="1153"/>
      <c r="C440" s="890"/>
      <c r="D440" s="897">
        <f t="shared" si="9"/>
        <v>19344.615000000002</v>
      </c>
      <c r="E440" s="899"/>
      <c r="F440" s="899"/>
      <c r="G440" s="899">
        <v>19344.615000000002</v>
      </c>
      <c r="H440" s="899"/>
      <c r="I440" s="1149" t="s">
        <v>133</v>
      </c>
      <c r="J440" s="898"/>
    </row>
    <row r="441" spans="1:10" s="896" customFormat="1" ht="17.149999999999999" customHeight="1">
      <c r="A441" s="1152" t="s">
        <v>1085</v>
      </c>
      <c r="B441" s="1153"/>
      <c r="C441" s="676"/>
      <c r="D441" s="897">
        <f t="shared" si="9"/>
        <v>0</v>
      </c>
      <c r="E441" s="899"/>
      <c r="F441" s="899"/>
      <c r="G441" s="899"/>
      <c r="H441" s="899"/>
      <c r="I441" s="1149" t="s">
        <v>922</v>
      </c>
      <c r="J441" s="898"/>
    </row>
    <row r="442" spans="1:10" s="896" customFormat="1" ht="17.149999999999999" customHeight="1">
      <c r="A442" s="1152" t="s">
        <v>788</v>
      </c>
      <c r="B442" s="1153"/>
      <c r="C442" s="676"/>
      <c r="D442" s="897">
        <f t="shared" si="9"/>
        <v>0</v>
      </c>
      <c r="E442" s="899"/>
      <c r="F442" s="899"/>
      <c r="G442" s="899"/>
      <c r="H442" s="899"/>
      <c r="I442" s="1149" t="s">
        <v>922</v>
      </c>
      <c r="J442" s="898"/>
    </row>
    <row r="443" spans="1:10" s="896" customFormat="1" ht="17.149999999999999" customHeight="1">
      <c r="A443" s="1152" t="s">
        <v>787</v>
      </c>
      <c r="B443" s="1153"/>
      <c r="C443" s="676"/>
      <c r="D443" s="897">
        <f t="shared" si="9"/>
        <v>0</v>
      </c>
      <c r="E443" s="899"/>
      <c r="F443" s="899"/>
      <c r="G443" s="899"/>
      <c r="H443" s="899"/>
      <c r="I443" s="1149" t="s">
        <v>922</v>
      </c>
      <c r="J443" s="898"/>
    </row>
    <row r="444" spans="1:10" s="896" customFormat="1" ht="17.149999999999999" customHeight="1">
      <c r="A444" s="1152" t="s">
        <v>918</v>
      </c>
      <c r="B444" s="1153"/>
      <c r="C444" s="676"/>
      <c r="D444" s="897">
        <f t="shared" si="9"/>
        <v>0</v>
      </c>
      <c r="E444" s="899"/>
      <c r="F444" s="899"/>
      <c r="G444" s="899"/>
      <c r="H444" s="899"/>
      <c r="I444" s="1149" t="s">
        <v>922</v>
      </c>
      <c r="J444" s="898"/>
    </row>
    <row r="445" spans="1:10" s="896" customFormat="1" ht="17.149999999999999" customHeight="1">
      <c r="A445" s="1152" t="s">
        <v>1646</v>
      </c>
      <c r="B445" s="1153"/>
      <c r="C445" s="676"/>
      <c r="D445" s="897">
        <f t="shared" si="9"/>
        <v>0</v>
      </c>
      <c r="E445" s="899">
        <v>0</v>
      </c>
      <c r="F445" s="899"/>
      <c r="G445" s="899"/>
      <c r="H445" s="899"/>
      <c r="I445" s="1149" t="s">
        <v>922</v>
      </c>
      <c r="J445" s="898"/>
    </row>
    <row r="446" spans="1:10" s="896" customFormat="1" ht="17.149999999999999" customHeight="1">
      <c r="A446" s="1152" t="s">
        <v>776</v>
      </c>
      <c r="B446" s="1153"/>
      <c r="C446" s="676"/>
      <c r="D446" s="897">
        <f t="shared" si="9"/>
        <v>-39.709000000000003</v>
      </c>
      <c r="E446" s="899">
        <v>-39.709000000000003</v>
      </c>
      <c r="F446" s="899"/>
      <c r="G446" s="899"/>
      <c r="H446" s="899"/>
      <c r="I446" s="1149" t="s">
        <v>263</v>
      </c>
      <c r="J446" s="898"/>
    </row>
    <row r="447" spans="1:10" s="896" customFormat="1" ht="17.149999999999999" customHeight="1">
      <c r="A447" s="1152" t="s">
        <v>792</v>
      </c>
      <c r="B447" s="1153"/>
      <c r="C447" s="676"/>
      <c r="D447" s="897">
        <f t="shared" si="9"/>
        <v>0</v>
      </c>
      <c r="E447" s="899">
        <v>0</v>
      </c>
      <c r="F447" s="899"/>
      <c r="G447" s="899"/>
      <c r="H447" s="899"/>
      <c r="I447" s="1149" t="s">
        <v>658</v>
      </c>
      <c r="J447" s="898"/>
    </row>
    <row r="448" spans="1:10" s="896" customFormat="1" ht="34" customHeight="1">
      <c r="A448" s="1152" t="s">
        <v>586</v>
      </c>
      <c r="B448" s="1153"/>
      <c r="C448" s="676"/>
      <c r="D448" s="897">
        <f t="shared" si="9"/>
        <v>0</v>
      </c>
      <c r="E448" s="899"/>
      <c r="F448" s="899"/>
      <c r="G448" s="899"/>
      <c r="H448" s="899"/>
      <c r="I448" s="1149" t="s">
        <v>130</v>
      </c>
      <c r="J448" s="898"/>
    </row>
    <row r="449" spans="1:10" s="896" customFormat="1" ht="17.149999999999999" customHeight="1">
      <c r="A449" s="1152" t="s">
        <v>587</v>
      </c>
      <c r="B449" s="1153"/>
      <c r="C449" s="676"/>
      <c r="D449" s="897">
        <f t="shared" si="9"/>
        <v>0</v>
      </c>
      <c r="E449" s="899"/>
      <c r="F449" s="899"/>
      <c r="G449" s="899"/>
      <c r="H449" s="899"/>
      <c r="I449" s="1149" t="s">
        <v>131</v>
      </c>
      <c r="J449" s="898"/>
    </row>
    <row r="450" spans="1:10" s="896" customFormat="1" ht="17.149999999999999" customHeight="1">
      <c r="A450" s="1152" t="s">
        <v>588</v>
      </c>
      <c r="B450" s="1153"/>
      <c r="C450" s="676"/>
      <c r="D450" s="897">
        <f t="shared" si="9"/>
        <v>-1E-3</v>
      </c>
      <c r="E450" s="899">
        <v>-1E-3</v>
      </c>
      <c r="F450" s="899"/>
      <c r="G450" s="899"/>
      <c r="H450" s="899"/>
      <c r="I450" s="1149" t="s">
        <v>1094</v>
      </c>
      <c r="J450" s="898"/>
    </row>
    <row r="451" spans="1:10" s="896" customFormat="1" ht="17.149999999999999" customHeight="1">
      <c r="A451" s="1152" t="s">
        <v>589</v>
      </c>
      <c r="B451" s="1153"/>
      <c r="C451" s="892"/>
      <c r="D451" s="897">
        <f t="shared" si="9"/>
        <v>-188279.49799999999</v>
      </c>
      <c r="E451" s="899">
        <v>-188279.49799999999</v>
      </c>
      <c r="F451" s="899"/>
      <c r="G451" s="899"/>
      <c r="H451" s="899"/>
      <c r="I451" s="1149" t="s">
        <v>15</v>
      </c>
      <c r="J451" s="898"/>
    </row>
    <row r="452" spans="1:10" s="896" customFormat="1" ht="17.149999999999999" customHeight="1">
      <c r="A452" s="1152" t="s">
        <v>777</v>
      </c>
      <c r="B452" s="1153"/>
      <c r="C452" s="892"/>
      <c r="D452" s="897">
        <f t="shared" si="9"/>
        <v>0</v>
      </c>
      <c r="E452" s="899"/>
      <c r="F452" s="899"/>
      <c r="G452" s="899"/>
      <c r="H452" s="899"/>
      <c r="I452" s="1149" t="s">
        <v>658</v>
      </c>
      <c r="J452" s="898"/>
    </row>
    <row r="453" spans="1:10" s="896" customFormat="1" ht="17.149999999999999" customHeight="1">
      <c r="A453" s="1152" t="s">
        <v>789</v>
      </c>
      <c r="B453" s="1153"/>
      <c r="C453" s="892"/>
      <c r="D453" s="897">
        <f t="shared" ref="D453:D487" si="10">SUM(E453:H453)</f>
        <v>0</v>
      </c>
      <c r="E453" s="899"/>
      <c r="F453" s="899"/>
      <c r="G453" s="899"/>
      <c r="H453" s="899"/>
      <c r="I453" s="1149" t="s">
        <v>658</v>
      </c>
      <c r="J453" s="898"/>
    </row>
    <row r="454" spans="1:10" s="896" customFormat="1" ht="17.149999999999999" customHeight="1">
      <c r="A454" s="1152" t="s">
        <v>919</v>
      </c>
      <c r="B454" s="1153"/>
      <c r="C454" s="892"/>
      <c r="D454" s="897">
        <f t="shared" si="10"/>
        <v>1046.0730000000001</v>
      </c>
      <c r="E454" s="899">
        <v>1046.0730000000001</v>
      </c>
      <c r="F454" s="899"/>
      <c r="G454" s="899"/>
      <c r="H454" s="899"/>
      <c r="I454" s="1149" t="s">
        <v>658</v>
      </c>
      <c r="J454" s="898"/>
    </row>
    <row r="455" spans="1:10" s="896" customFormat="1" ht="17.149999999999999" customHeight="1">
      <c r="A455" s="1152" t="s">
        <v>778</v>
      </c>
      <c r="B455" s="1153"/>
      <c r="C455" s="892"/>
      <c r="D455" s="897">
        <f t="shared" si="10"/>
        <v>-175884.91728649999</v>
      </c>
      <c r="E455" s="899">
        <v>-175884.91728649999</v>
      </c>
      <c r="F455" s="899"/>
      <c r="G455" s="899"/>
      <c r="H455" s="899"/>
      <c r="I455" s="1149" t="s">
        <v>658</v>
      </c>
      <c r="J455" s="898"/>
    </row>
    <row r="456" spans="1:10" s="896" customFormat="1" ht="17.149999999999999" customHeight="1">
      <c r="A456" s="1152" t="s">
        <v>906</v>
      </c>
      <c r="B456" s="1153"/>
      <c r="C456" s="892"/>
      <c r="D456" s="897">
        <f t="shared" si="10"/>
        <v>207.36199999999999</v>
      </c>
      <c r="E456" s="899">
        <v>207.36199999999999</v>
      </c>
      <c r="F456" s="899"/>
      <c r="G456" s="899"/>
      <c r="H456" s="899"/>
      <c r="I456" s="1149" t="s">
        <v>658</v>
      </c>
      <c r="J456" s="898"/>
    </row>
    <row r="457" spans="1:10" s="896" customFormat="1" ht="17.149999999999999" customHeight="1">
      <c r="A457" s="1152" t="s">
        <v>907</v>
      </c>
      <c r="B457" s="1153"/>
      <c r="C457" s="892"/>
      <c r="D457" s="897">
        <f t="shared" si="10"/>
        <v>-487.78699999999998</v>
      </c>
      <c r="E457" s="899">
        <v>-487.78699999999998</v>
      </c>
      <c r="F457" s="899"/>
      <c r="G457" s="899"/>
      <c r="H457" s="899"/>
      <c r="I457" s="1149" t="s">
        <v>658</v>
      </c>
      <c r="J457" s="898"/>
    </row>
    <row r="458" spans="1:10" s="896" customFormat="1" ht="17.149999999999999" customHeight="1">
      <c r="A458" s="1152" t="s">
        <v>1647</v>
      </c>
      <c r="B458" s="1153"/>
      <c r="C458" s="892"/>
      <c r="D458" s="897">
        <f t="shared" si="10"/>
        <v>-1193359.2381225</v>
      </c>
      <c r="E458" s="899">
        <v>-1193359.2381225</v>
      </c>
      <c r="F458" s="899"/>
      <c r="G458" s="899"/>
      <c r="H458" s="899"/>
      <c r="I458" s="1149" t="s">
        <v>658</v>
      </c>
      <c r="J458" s="898"/>
    </row>
    <row r="459" spans="1:10" s="896" customFormat="1" ht="17.149999999999999" customHeight="1">
      <c r="A459" s="1152" t="s">
        <v>1648</v>
      </c>
      <c r="B459" s="1153"/>
      <c r="C459" s="892"/>
      <c r="D459" s="897">
        <f t="shared" si="10"/>
        <v>13853.022999999999</v>
      </c>
      <c r="E459" s="899">
        <v>13853.022999999999</v>
      </c>
      <c r="F459" s="899"/>
      <c r="G459" s="899"/>
      <c r="H459" s="899"/>
      <c r="I459" s="1149" t="s">
        <v>658</v>
      </c>
      <c r="J459" s="898"/>
    </row>
    <row r="460" spans="1:10" s="896" customFormat="1" ht="17.149999999999999" customHeight="1">
      <c r="A460" s="1152" t="s">
        <v>1649</v>
      </c>
      <c r="B460" s="1153"/>
      <c r="C460" s="892"/>
      <c r="D460" s="897">
        <f t="shared" si="10"/>
        <v>11237.679</v>
      </c>
      <c r="E460" s="899">
        <v>11237.679</v>
      </c>
      <c r="F460" s="899"/>
      <c r="G460" s="899"/>
      <c r="H460" s="899"/>
      <c r="I460" s="1149" t="s">
        <v>658</v>
      </c>
      <c r="J460" s="898"/>
    </row>
    <row r="461" spans="1:10" s="896" customFormat="1" ht="17.149999999999999" customHeight="1">
      <c r="A461" s="1152" t="s">
        <v>1650</v>
      </c>
      <c r="B461" s="1153"/>
      <c r="C461" s="892"/>
      <c r="D461" s="897">
        <f t="shared" si="10"/>
        <v>-54395.315000000002</v>
      </c>
      <c r="E461" s="899">
        <v>91.61200000000099</v>
      </c>
      <c r="F461" s="899"/>
      <c r="G461" s="899"/>
      <c r="H461" s="899">
        <f>'ATT1B-ADIT'!J84/1000</f>
        <v>-54486.927000000003</v>
      </c>
      <c r="I461" s="1149" t="s">
        <v>15</v>
      </c>
      <c r="J461" s="898"/>
    </row>
    <row r="462" spans="1:10" s="896" customFormat="1" ht="17.149999999999999" customHeight="1">
      <c r="A462" s="1152" t="s">
        <v>1651</v>
      </c>
      <c r="B462" s="1153"/>
      <c r="C462" s="892"/>
      <c r="D462" s="897">
        <f t="shared" si="10"/>
        <v>-14.250500000000001</v>
      </c>
      <c r="E462" s="899">
        <v>-14.250500000000001</v>
      </c>
      <c r="F462" s="899"/>
      <c r="G462" s="899"/>
      <c r="H462" s="899"/>
      <c r="I462" s="1149" t="s">
        <v>658</v>
      </c>
      <c r="J462" s="898"/>
    </row>
    <row r="463" spans="1:10" s="896" customFormat="1" ht="17.149999999999999" customHeight="1">
      <c r="A463" s="1152" t="s">
        <v>1652</v>
      </c>
      <c r="B463" s="1153"/>
      <c r="C463" s="892"/>
      <c r="D463" s="897">
        <f t="shared" si="10"/>
        <v>1689.4715000000001</v>
      </c>
      <c r="E463" s="899">
        <v>1689.4715000000001</v>
      </c>
      <c r="F463" s="899"/>
      <c r="G463" s="899"/>
      <c r="H463" s="899"/>
      <c r="I463" s="1149" t="s">
        <v>658</v>
      </c>
      <c r="J463" s="898"/>
    </row>
    <row r="464" spans="1:10" s="896" customFormat="1" ht="17.149999999999999" customHeight="1">
      <c r="A464" s="1152" t="s">
        <v>1653</v>
      </c>
      <c r="B464" s="1153"/>
      <c r="C464" s="892"/>
      <c r="D464" s="897">
        <f t="shared" si="10"/>
        <v>-1688324.741931</v>
      </c>
      <c r="E464" s="899">
        <v>-1688324.741931</v>
      </c>
      <c r="F464" s="899"/>
      <c r="G464" s="899"/>
      <c r="H464" s="899"/>
      <c r="I464" s="1149" t="s">
        <v>658</v>
      </c>
      <c r="J464" s="898"/>
    </row>
    <row r="465" spans="1:10" s="896" customFormat="1" ht="17.149999999999999" customHeight="1">
      <c r="A465" s="1152" t="s">
        <v>1654</v>
      </c>
      <c r="B465" s="1153"/>
      <c r="C465" s="892"/>
      <c r="D465" s="897">
        <f t="shared" si="10"/>
        <v>-121430.80971</v>
      </c>
      <c r="E465" s="899">
        <v>-121430.80971</v>
      </c>
      <c r="F465" s="899"/>
      <c r="G465" s="899"/>
      <c r="H465" s="899"/>
      <c r="I465" s="1149" t="s">
        <v>658</v>
      </c>
      <c r="J465" s="898"/>
    </row>
    <row r="466" spans="1:10" s="896" customFormat="1" ht="17.149999999999999" customHeight="1">
      <c r="A466" s="1152" t="s">
        <v>1655</v>
      </c>
      <c r="B466" s="1153"/>
      <c r="C466" s="892"/>
      <c r="D466" s="897">
        <f t="shared" si="10"/>
        <v>-236392.97675999999</v>
      </c>
      <c r="E466" s="899">
        <v>-236392.97675999999</v>
      </c>
      <c r="F466" s="899"/>
      <c r="G466" s="899"/>
      <c r="H466" s="899"/>
      <c r="I466" s="1149" t="s">
        <v>658</v>
      </c>
      <c r="J466" s="898"/>
    </row>
    <row r="467" spans="1:10" s="896" customFormat="1" ht="17.149999999999999" customHeight="1">
      <c r="A467" s="1152" t="s">
        <v>1656</v>
      </c>
      <c r="B467" s="1153"/>
      <c r="C467" s="892"/>
      <c r="D467" s="897">
        <f t="shared" si="10"/>
        <v>-905291.32200000004</v>
      </c>
      <c r="E467" s="899">
        <f>-905291.322-F467</f>
        <v>-31949.852304853499</v>
      </c>
      <c r="F467" s="899">
        <f>'ATT1B-ADIT'!J41/1000</f>
        <v>-873341.46969514654</v>
      </c>
      <c r="G467" s="899"/>
      <c r="H467" s="899"/>
      <c r="I467" s="1149" t="s">
        <v>15</v>
      </c>
      <c r="J467" s="898"/>
    </row>
    <row r="468" spans="1:10" s="896" customFormat="1" ht="17.149999999999999" customHeight="1">
      <c r="A468" s="1152" t="s">
        <v>1199</v>
      </c>
      <c r="B468" s="1153"/>
      <c r="C468" s="892"/>
      <c r="D468" s="897">
        <f t="shared" si="10"/>
        <v>0</v>
      </c>
      <c r="E468" s="899">
        <v>0</v>
      </c>
      <c r="F468" s="899"/>
      <c r="G468" s="899"/>
      <c r="H468" s="899"/>
      <c r="I468" s="1149" t="s">
        <v>658</v>
      </c>
      <c r="J468" s="898"/>
    </row>
    <row r="469" spans="1:10" s="896" customFormat="1" ht="17.149999999999999" customHeight="1">
      <c r="A469" s="1152" t="s">
        <v>1146</v>
      </c>
      <c r="B469" s="1153"/>
      <c r="C469" s="892"/>
      <c r="D469" s="897">
        <f t="shared" si="10"/>
        <v>-1E-3</v>
      </c>
      <c r="E469" s="899">
        <v>-1E-3</v>
      </c>
      <c r="F469" s="899"/>
      <c r="G469" s="899"/>
      <c r="H469" s="899"/>
      <c r="I469" s="1149" t="s">
        <v>658</v>
      </c>
      <c r="J469" s="898"/>
    </row>
    <row r="470" spans="1:10" s="896" customFormat="1" ht="17.149999999999999" customHeight="1">
      <c r="A470" s="1152" t="s">
        <v>1523</v>
      </c>
      <c r="B470" s="1153"/>
      <c r="C470" s="676"/>
      <c r="D470" s="897">
        <f t="shared" si="10"/>
        <v>0</v>
      </c>
      <c r="E470" s="899"/>
      <c r="F470" s="899"/>
      <c r="G470" s="899"/>
      <c r="H470" s="899"/>
      <c r="I470" s="1149" t="s">
        <v>658</v>
      </c>
      <c r="J470" s="898"/>
    </row>
    <row r="471" spans="1:10" s="896" customFormat="1" ht="17.149999999999999" customHeight="1">
      <c r="A471" s="1152" t="s">
        <v>556</v>
      </c>
      <c r="B471" s="1153"/>
      <c r="C471" s="676"/>
      <c r="D471" s="897">
        <f t="shared" si="10"/>
        <v>0</v>
      </c>
      <c r="E471" s="899"/>
      <c r="F471" s="899"/>
      <c r="G471" s="899"/>
      <c r="H471" s="899"/>
      <c r="I471" s="1149" t="s">
        <v>658</v>
      </c>
      <c r="J471" s="898"/>
    </row>
    <row r="472" spans="1:10" s="896" customFormat="1" ht="17.149999999999999" customHeight="1">
      <c r="A472" s="1152" t="s">
        <v>920</v>
      </c>
      <c r="B472" s="1153"/>
      <c r="C472" s="676"/>
      <c r="D472" s="897">
        <f t="shared" si="10"/>
        <v>0</v>
      </c>
      <c r="E472" s="899"/>
      <c r="F472" s="899"/>
      <c r="G472" s="899"/>
      <c r="H472" s="899"/>
      <c r="I472" s="1149" t="s">
        <v>658</v>
      </c>
      <c r="J472" s="898"/>
    </row>
    <row r="473" spans="1:10" s="896" customFormat="1" ht="17.149999999999999" customHeight="1">
      <c r="A473" s="1152" t="s">
        <v>1366</v>
      </c>
      <c r="B473" s="1153"/>
      <c r="C473" s="676"/>
      <c r="D473" s="897">
        <f t="shared" si="10"/>
        <v>188279.49799999999</v>
      </c>
      <c r="E473" s="899">
        <v>188279.49799999999</v>
      </c>
      <c r="F473" s="899"/>
      <c r="G473" s="899"/>
      <c r="H473" s="899"/>
      <c r="I473" s="1149" t="s">
        <v>658</v>
      </c>
      <c r="J473" s="898"/>
    </row>
    <row r="474" spans="1:10" s="896" customFormat="1" ht="17.149999999999999" customHeight="1">
      <c r="A474" s="1152" t="s">
        <v>762</v>
      </c>
      <c r="B474" s="1153"/>
      <c r="C474" s="676"/>
      <c r="D474" s="897">
        <f t="shared" si="10"/>
        <v>-485.89499999999998</v>
      </c>
      <c r="E474" s="899">
        <v>-485.89499999999998</v>
      </c>
      <c r="F474" s="899"/>
      <c r="G474" s="899"/>
      <c r="H474" s="899"/>
      <c r="I474" s="1149" t="s">
        <v>658</v>
      </c>
      <c r="J474" s="898"/>
    </row>
    <row r="475" spans="1:10" s="896" customFormat="1" ht="17.149999999999999" customHeight="1">
      <c r="A475" s="1152" t="s">
        <v>554</v>
      </c>
      <c r="B475" s="1153"/>
      <c r="C475" s="676"/>
      <c r="D475" s="897">
        <f t="shared" si="10"/>
        <v>0</v>
      </c>
      <c r="E475" s="899"/>
      <c r="F475" s="899"/>
      <c r="G475" s="899"/>
      <c r="H475" s="899"/>
      <c r="I475" s="1149" t="s">
        <v>658</v>
      </c>
      <c r="J475" s="898"/>
    </row>
    <row r="476" spans="1:10" s="896" customFormat="1" ht="17.149999999999999" customHeight="1">
      <c r="A476" s="1152" t="s">
        <v>1524</v>
      </c>
      <c r="B476" s="1153"/>
      <c r="C476" s="676"/>
      <c r="D476" s="897">
        <f t="shared" si="10"/>
        <v>0</v>
      </c>
      <c r="E476" s="899"/>
      <c r="F476" s="899"/>
      <c r="G476" s="899"/>
      <c r="H476" s="899"/>
      <c r="I476" s="1149" t="s">
        <v>658</v>
      </c>
      <c r="J476" s="898"/>
    </row>
    <row r="477" spans="1:10" s="896" customFormat="1" ht="17.149999999999999" customHeight="1">
      <c r="A477" s="1152" t="s">
        <v>1525</v>
      </c>
      <c r="B477" s="1153"/>
      <c r="C477" s="676"/>
      <c r="D477" s="897">
        <f t="shared" si="10"/>
        <v>0</v>
      </c>
      <c r="E477" s="899"/>
      <c r="F477" s="899"/>
      <c r="G477" s="899"/>
      <c r="H477" s="899"/>
      <c r="I477" s="1149" t="s">
        <v>658</v>
      </c>
      <c r="J477" s="898"/>
    </row>
    <row r="478" spans="1:10" s="896" customFormat="1" ht="17.149999999999999" customHeight="1">
      <c r="A478" s="1152" t="s">
        <v>1526</v>
      </c>
      <c r="B478" s="1153"/>
      <c r="C478" s="676"/>
      <c r="D478" s="897">
        <f t="shared" si="10"/>
        <v>0</v>
      </c>
      <c r="E478" s="899"/>
      <c r="F478" s="899"/>
      <c r="G478" s="899"/>
      <c r="H478" s="899"/>
      <c r="I478" s="1149" t="s">
        <v>658</v>
      </c>
      <c r="J478" s="898"/>
    </row>
    <row r="479" spans="1:10" s="896" customFormat="1" ht="17.149999999999999" customHeight="1">
      <c r="A479" s="1152" t="s">
        <v>1527</v>
      </c>
      <c r="B479" s="1153"/>
      <c r="C479" s="676"/>
      <c r="D479" s="897">
        <f t="shared" si="10"/>
        <v>0</v>
      </c>
      <c r="E479" s="899"/>
      <c r="F479" s="899"/>
      <c r="G479" s="899"/>
      <c r="H479" s="899"/>
      <c r="I479" s="1149" t="s">
        <v>658</v>
      </c>
      <c r="J479" s="898"/>
    </row>
    <row r="480" spans="1:10" s="896" customFormat="1" ht="17.149999999999999" customHeight="1">
      <c r="A480" s="1152" t="s">
        <v>1419</v>
      </c>
      <c r="B480" s="1153"/>
      <c r="C480" s="676"/>
      <c r="D480" s="897">
        <f t="shared" si="10"/>
        <v>0</v>
      </c>
      <c r="E480" s="899">
        <v>0</v>
      </c>
      <c r="F480" s="899"/>
      <c r="G480" s="899"/>
      <c r="H480" s="899"/>
      <c r="I480" s="1149" t="s">
        <v>14</v>
      </c>
      <c r="J480" s="898"/>
    </row>
    <row r="481" spans="1:10" s="896" customFormat="1" ht="17.149999999999999" customHeight="1">
      <c r="A481" s="1152" t="s">
        <v>1528</v>
      </c>
      <c r="B481" s="1153"/>
      <c r="C481" s="676"/>
      <c r="D481" s="897">
        <f t="shared" si="10"/>
        <v>-19344.615000000002</v>
      </c>
      <c r="E481" s="899"/>
      <c r="F481" s="899"/>
      <c r="G481" s="899">
        <v>-19344.615000000002</v>
      </c>
      <c r="H481" s="899"/>
      <c r="I481" s="1149" t="s">
        <v>133</v>
      </c>
      <c r="J481" s="898"/>
    </row>
    <row r="482" spans="1:10" s="896" customFormat="1" ht="17.149999999999999" customHeight="1">
      <c r="A482" s="1152" t="s">
        <v>1657</v>
      </c>
      <c r="B482" s="1153"/>
      <c r="C482" s="676"/>
      <c r="D482" s="897">
        <f t="shared" si="10"/>
        <v>-1176.817</v>
      </c>
      <c r="E482" s="899">
        <v>-1176.817</v>
      </c>
      <c r="F482" s="899"/>
      <c r="G482" s="899"/>
      <c r="H482" s="899"/>
      <c r="I482" s="1149" t="s">
        <v>922</v>
      </c>
      <c r="J482" s="898"/>
    </row>
    <row r="483" spans="1:10" s="896" customFormat="1" ht="17.149999999999999" customHeight="1">
      <c r="A483" s="1152" t="s">
        <v>1529</v>
      </c>
      <c r="B483" s="1153"/>
      <c r="C483" s="676"/>
      <c r="D483" s="897">
        <f t="shared" si="10"/>
        <v>-0.14699999999999999</v>
      </c>
      <c r="E483" s="899"/>
      <c r="F483" s="899"/>
      <c r="G483" s="899">
        <v>-0.14699999999999999</v>
      </c>
      <c r="H483" s="899"/>
      <c r="I483" s="1149" t="s">
        <v>922</v>
      </c>
      <c r="J483" s="898"/>
    </row>
    <row r="484" spans="1:10" s="896" customFormat="1" ht="17.149999999999999" customHeight="1">
      <c r="A484" s="1152" t="s">
        <v>1530</v>
      </c>
      <c r="B484" s="1153"/>
      <c r="C484" s="676"/>
      <c r="D484" s="897">
        <f t="shared" si="10"/>
        <v>-73.376000000000005</v>
      </c>
      <c r="E484" s="899"/>
      <c r="F484" s="899"/>
      <c r="G484" s="899">
        <v>-73.376000000000005</v>
      </c>
      <c r="H484" s="899"/>
      <c r="I484" s="1149" t="s">
        <v>922</v>
      </c>
      <c r="J484" s="898"/>
    </row>
    <row r="485" spans="1:10" s="896" customFormat="1" ht="17.149999999999999" customHeight="1">
      <c r="A485" s="1152" t="s">
        <v>1531</v>
      </c>
      <c r="B485" s="1153"/>
      <c r="C485" s="890"/>
      <c r="D485" s="897">
        <f t="shared" si="10"/>
        <v>-3190.0030000000002</v>
      </c>
      <c r="E485" s="899"/>
      <c r="F485" s="899"/>
      <c r="G485" s="899">
        <v>-3190.0030000000002</v>
      </c>
      <c r="H485" s="899"/>
      <c r="I485" s="1149" t="s">
        <v>922</v>
      </c>
      <c r="J485" s="898"/>
    </row>
    <row r="486" spans="1:10" s="896" customFormat="1" ht="17.149999999999999" customHeight="1">
      <c r="A486" s="1152" t="s">
        <v>1532</v>
      </c>
      <c r="B486" s="1153"/>
      <c r="C486" s="890"/>
      <c r="D486" s="897">
        <f t="shared" si="10"/>
        <v>-98.808000000000007</v>
      </c>
      <c r="E486" s="899"/>
      <c r="F486" s="899"/>
      <c r="G486" s="899">
        <v>-98.808000000000007</v>
      </c>
      <c r="H486" s="899"/>
      <c r="I486" s="1149" t="s">
        <v>922</v>
      </c>
      <c r="J486" s="898"/>
    </row>
    <row r="487" spans="1:10" s="896" customFormat="1" ht="17.149999999999999" customHeight="1">
      <c r="A487" s="1152" t="s">
        <v>1367</v>
      </c>
      <c r="B487" s="1153"/>
      <c r="C487" s="676"/>
      <c r="D487" s="897">
        <f t="shared" si="10"/>
        <v>-8.9999999999999993E-3</v>
      </c>
      <c r="E487" s="886">
        <v>-8.9999999999999993E-3</v>
      </c>
      <c r="F487" s="886"/>
      <c r="G487" s="886"/>
      <c r="H487" s="886"/>
      <c r="I487" s="1149" t="s">
        <v>658</v>
      </c>
      <c r="J487" s="898"/>
    </row>
    <row r="488" spans="1:10" s="896" customFormat="1" ht="14.3">
      <c r="A488" s="718" t="s">
        <v>508</v>
      </c>
      <c r="B488" s="679"/>
      <c r="C488" s="679"/>
      <c r="D488" s="887">
        <f>SUM(D325:D487)</f>
        <v>-5033482.3641405329</v>
      </c>
      <c r="E488" s="887">
        <f>SUM(E325:E487)</f>
        <v>-3977451.9595253221</v>
      </c>
      <c r="F488" s="887">
        <f t="shared" ref="F488:H488" si="11">SUM(F325:F481)</f>
        <v>-890469.77261521225</v>
      </c>
      <c r="G488" s="887">
        <f t="shared" si="11"/>
        <v>-85403.428</v>
      </c>
      <c r="H488" s="887">
        <f t="shared" si="11"/>
        <v>-76794.87000000001</v>
      </c>
      <c r="I488" s="888"/>
      <c r="J488" s="898"/>
    </row>
    <row r="489" spans="1:10" s="896" customFormat="1" ht="14.3">
      <c r="A489" s="719" t="s">
        <v>479</v>
      </c>
      <c r="B489" s="679"/>
      <c r="C489" s="679"/>
      <c r="D489" s="887">
        <f>SUM(E489:H489)</f>
        <v>-1579592.6614089999</v>
      </c>
      <c r="E489" s="886">
        <f>SUM(E396:E459)</f>
        <v>-1598937.2764089999</v>
      </c>
      <c r="F489" s="886">
        <f t="shared" ref="F489:H489" si="12">SUM(F396:F459)</f>
        <v>0</v>
      </c>
      <c r="G489" s="886">
        <f t="shared" si="12"/>
        <v>19344.615000000002</v>
      </c>
      <c r="H489" s="886">
        <f t="shared" si="12"/>
        <v>0</v>
      </c>
      <c r="I489" s="889"/>
      <c r="J489" s="898"/>
    </row>
    <row r="490" spans="1:10" s="896" customFormat="1" ht="14.3">
      <c r="A490" s="720" t="s">
        <v>505</v>
      </c>
      <c r="B490" s="721"/>
      <c r="C490" s="721"/>
      <c r="D490" s="887">
        <f>SUM(E490:H490)</f>
        <v>0</v>
      </c>
      <c r="E490" s="886"/>
      <c r="F490" s="886"/>
      <c r="G490" s="886"/>
      <c r="H490" s="886"/>
      <c r="I490" s="889"/>
      <c r="J490" s="898"/>
    </row>
    <row r="491" spans="1:10" s="896" customFormat="1" ht="14.3">
      <c r="A491" s="688" t="s">
        <v>813</v>
      </c>
      <c r="B491" s="679"/>
      <c r="C491" s="679"/>
      <c r="D491" s="887">
        <f>+D488-D489-D490</f>
        <v>-3453889.702731533</v>
      </c>
      <c r="E491" s="887">
        <f>+E488-E489-E490</f>
        <v>-2378514.6831163224</v>
      </c>
      <c r="F491" s="887">
        <f>+F488-F489-F490</f>
        <v>-890469.77261521225</v>
      </c>
      <c r="G491" s="887">
        <f>+G488-G489-G490</f>
        <v>-104748.04300000001</v>
      </c>
      <c r="H491" s="887">
        <f>+H488-H489-H490</f>
        <v>-76794.87000000001</v>
      </c>
      <c r="I491" s="888"/>
      <c r="J491" s="898"/>
    </row>
    <row r="492" spans="1:10" s="896" customFormat="1" ht="14.3">
      <c r="A492" s="689"/>
      <c r="B492" s="690"/>
      <c r="C492" s="690"/>
      <c r="D492" s="898"/>
      <c r="E492" s="691"/>
      <c r="F492" s="692"/>
      <c r="G492" s="675"/>
      <c r="H492" s="675"/>
      <c r="I492" s="694"/>
      <c r="J492" s="898"/>
    </row>
    <row r="493" spans="1:10" s="896" customFormat="1" ht="14.3">
      <c r="A493" s="689"/>
      <c r="B493" s="695" t="s">
        <v>324</v>
      </c>
      <c r="C493" s="881"/>
      <c r="D493" s="697"/>
      <c r="E493" s="696"/>
      <c r="F493" s="696"/>
      <c r="G493" s="722"/>
      <c r="H493" s="700"/>
      <c r="I493" s="694"/>
      <c r="J493" s="898"/>
    </row>
    <row r="494" spans="1:10" s="896" customFormat="1" ht="14.95" customHeight="1">
      <c r="A494" s="689"/>
      <c r="B494" s="1157" t="s">
        <v>429</v>
      </c>
      <c r="C494" s="1158"/>
      <c r="D494" s="1158"/>
      <c r="E494" s="1158"/>
      <c r="F494" s="1158"/>
      <c r="G494" s="1158"/>
      <c r="H494" s="1159"/>
      <c r="I494" s="694"/>
      <c r="J494" s="898"/>
    </row>
    <row r="495" spans="1:10" s="896" customFormat="1" ht="14.3">
      <c r="A495" s="689"/>
      <c r="B495" s="702" t="s">
        <v>430</v>
      </c>
      <c r="C495" s="732"/>
      <c r="D495" s="898"/>
      <c r="E495" s="691"/>
      <c r="F495" s="691"/>
      <c r="G495" s="675"/>
      <c r="H495" s="703"/>
      <c r="I495" s="694"/>
      <c r="J495" s="898"/>
    </row>
    <row r="496" spans="1:10" s="896" customFormat="1" ht="14.3">
      <c r="A496" s="689"/>
      <c r="B496" s="702" t="s">
        <v>57</v>
      </c>
      <c r="C496" s="732"/>
      <c r="D496" s="898"/>
      <c r="E496" s="691"/>
      <c r="F496" s="691"/>
      <c r="G496" s="675"/>
      <c r="H496" s="703"/>
      <c r="I496" s="694"/>
      <c r="J496" s="898"/>
    </row>
    <row r="497" spans="1:10" s="896" customFormat="1" ht="14.3">
      <c r="A497" s="689"/>
      <c r="B497" s="702" t="s">
        <v>58</v>
      </c>
      <c r="C497" s="732"/>
      <c r="D497" s="898"/>
      <c r="E497" s="691"/>
      <c r="F497" s="691"/>
      <c r="G497" s="675"/>
      <c r="H497" s="703"/>
      <c r="I497" s="694"/>
      <c r="J497" s="898"/>
    </row>
    <row r="498" spans="1:10" s="896" customFormat="1" ht="14.95" customHeight="1">
      <c r="A498" s="689"/>
      <c r="B498" s="1154" t="s">
        <v>431</v>
      </c>
      <c r="C498" s="1155"/>
      <c r="D498" s="1155"/>
      <c r="E498" s="1155"/>
      <c r="F498" s="1155"/>
      <c r="G498" s="1155"/>
      <c r="H498" s="1156"/>
      <c r="I498" s="898"/>
      <c r="J498" s="704"/>
    </row>
    <row r="499" spans="1:10" s="896" customFormat="1" ht="14.3">
      <c r="A499" s="689"/>
      <c r="B499" s="702" t="s">
        <v>507</v>
      </c>
      <c r="C499" s="732"/>
      <c r="D499" s="898"/>
      <c r="E499" s="691"/>
      <c r="F499" s="691"/>
      <c r="G499" s="675"/>
      <c r="H499" s="703"/>
      <c r="I499" s="694"/>
      <c r="J499" s="898"/>
    </row>
    <row r="500" spans="1:10" s="896" customFormat="1" ht="14.3">
      <c r="A500" s="689"/>
      <c r="B500" s="1130" t="s">
        <v>1810</v>
      </c>
      <c r="C500" s="898"/>
      <c r="D500" s="898"/>
      <c r="E500" s="898"/>
      <c r="F500" s="898"/>
      <c r="G500" s="898"/>
      <c r="H500" s="687"/>
      <c r="I500" s="694"/>
      <c r="J500" s="898"/>
    </row>
    <row r="501" spans="1:10" s="896" customFormat="1" ht="14.3">
      <c r="A501" s="689"/>
      <c r="B501" s="702" t="s">
        <v>1811</v>
      </c>
      <c r="C501" s="691"/>
      <c r="D501" s="898"/>
      <c r="E501" s="691"/>
      <c r="F501" s="691"/>
      <c r="G501" s="675"/>
      <c r="H501" s="703"/>
      <c r="I501" s="694"/>
      <c r="J501" s="898"/>
    </row>
    <row r="502" spans="1:10" s="896" customFormat="1" ht="14.3">
      <c r="A502" s="689"/>
      <c r="B502" s="702" t="s">
        <v>1824</v>
      </c>
      <c r="C502" s="691"/>
      <c r="D502" s="898"/>
      <c r="E502" s="691"/>
      <c r="F502" s="691"/>
      <c r="G502" s="675"/>
      <c r="H502" s="703"/>
      <c r="I502" s="694"/>
      <c r="J502" s="898"/>
    </row>
    <row r="503" spans="1:10" s="896" customFormat="1" ht="14.3">
      <c r="A503" s="689"/>
      <c r="B503" s="702" t="s">
        <v>1812</v>
      </c>
      <c r="C503" s="691"/>
      <c r="D503" s="898"/>
      <c r="E503" s="691"/>
      <c r="F503" s="691"/>
      <c r="G503" s="675"/>
      <c r="H503" s="703"/>
      <c r="I503" s="694"/>
      <c r="J503" s="898"/>
    </row>
    <row r="504" spans="1:10" s="896" customFormat="1" ht="14.3">
      <c r="A504" s="689"/>
      <c r="B504" s="702" t="s">
        <v>1813</v>
      </c>
      <c r="C504" s="691"/>
      <c r="D504" s="898"/>
      <c r="E504" s="691"/>
      <c r="F504" s="691"/>
      <c r="G504" s="675"/>
      <c r="H504" s="703"/>
      <c r="I504" s="694"/>
      <c r="J504" s="898"/>
    </row>
    <row r="505" spans="1:10" s="896" customFormat="1" ht="14.3">
      <c r="A505" s="689"/>
      <c r="B505" s="702" t="s">
        <v>1826</v>
      </c>
      <c r="C505" s="691"/>
      <c r="D505" s="898"/>
      <c r="E505" s="691"/>
      <c r="F505" s="691"/>
      <c r="G505" s="675"/>
      <c r="H505" s="703"/>
      <c r="I505" s="694"/>
      <c r="J505" s="898"/>
    </row>
    <row r="506" spans="1:10" s="896" customFormat="1" ht="14.3">
      <c r="A506" s="689"/>
      <c r="B506" s="702" t="s">
        <v>1815</v>
      </c>
      <c r="C506" s="691"/>
      <c r="D506" s="898"/>
      <c r="E506" s="691"/>
      <c r="F506" s="691"/>
      <c r="G506" s="675"/>
      <c r="H506" s="703"/>
      <c r="I506" s="694"/>
      <c r="J506" s="898"/>
    </row>
    <row r="507" spans="1:10" s="896" customFormat="1" ht="14.3">
      <c r="A507" s="689"/>
      <c r="B507" s="702" t="s">
        <v>1816</v>
      </c>
      <c r="C507" s="691"/>
      <c r="D507" s="898"/>
      <c r="E507" s="691"/>
      <c r="F507" s="691"/>
      <c r="G507" s="675"/>
      <c r="H507" s="703"/>
      <c r="I507" s="694"/>
      <c r="J507" s="898"/>
    </row>
    <row r="508" spans="1:10" s="896" customFormat="1" ht="14.3">
      <c r="A508" s="689"/>
      <c r="B508" s="702" t="s">
        <v>1888</v>
      </c>
      <c r="C508" s="691"/>
      <c r="D508" s="898"/>
      <c r="E508" s="691"/>
      <c r="F508" s="691"/>
      <c r="G508" s="675"/>
      <c r="H508" s="703"/>
      <c r="I508" s="694"/>
      <c r="J508" s="898"/>
    </row>
    <row r="509" spans="1:10" s="896" customFormat="1" ht="14.3">
      <c r="A509" s="689"/>
      <c r="B509" s="702" t="s">
        <v>1817</v>
      </c>
      <c r="C509" s="691"/>
      <c r="D509" s="898"/>
      <c r="E509" s="691"/>
      <c r="F509" s="691"/>
      <c r="G509" s="675"/>
      <c r="H509" s="703"/>
      <c r="I509" s="694"/>
      <c r="J509" s="898"/>
    </row>
    <row r="510" spans="1:10" s="896" customFormat="1" ht="14.3">
      <c r="A510" s="689"/>
      <c r="B510" s="705" t="s">
        <v>1890</v>
      </c>
      <c r="C510" s="706"/>
      <c r="D510" s="707"/>
      <c r="E510" s="706"/>
      <c r="F510" s="706"/>
      <c r="G510" s="708"/>
      <c r="H510" s="709"/>
      <c r="I510" s="694"/>
      <c r="J510" s="898"/>
    </row>
    <row r="511" spans="1:10" s="896" customFormat="1" ht="14.3">
      <c r="A511" s="689"/>
      <c r="B511" s="723"/>
      <c r="C511" s="723"/>
      <c r="D511" s="898"/>
      <c r="E511" s="691"/>
      <c r="F511" s="691"/>
      <c r="G511" s="675"/>
      <c r="H511" s="675"/>
      <c r="I511" s="694"/>
      <c r="J511" s="898"/>
    </row>
    <row r="512" spans="1:10" s="896" customFormat="1" ht="14.3">
      <c r="A512" s="710"/>
      <c r="B512" s="711"/>
      <c r="C512" s="711"/>
      <c r="D512" s="711"/>
      <c r="E512" s="711"/>
      <c r="F512" s="711"/>
      <c r="G512" s="711"/>
      <c r="H512" s="711"/>
      <c r="I512" s="711"/>
      <c r="J512" s="898"/>
    </row>
    <row r="513" spans="1:10" s="896" customFormat="1" ht="13.6">
      <c r="A513" s="260"/>
      <c r="B513" s="711"/>
      <c r="C513" s="711"/>
      <c r="D513" s="711"/>
      <c r="E513" s="711"/>
      <c r="F513" s="711"/>
      <c r="G513" s="711"/>
      <c r="H513" s="711"/>
      <c r="I513" s="711"/>
      <c r="J513" s="898"/>
    </row>
    <row r="514" spans="1:10" s="896" customFormat="1" ht="13.6">
      <c r="A514" s="689"/>
      <c r="B514" s="898"/>
      <c r="C514" s="898"/>
      <c r="D514" s="898"/>
      <c r="E514" s="898"/>
      <c r="F514" s="898"/>
      <c r="G514" s="898"/>
      <c r="H514" s="724"/>
      <c r="I514" s="694"/>
      <c r="J514" s="898"/>
    </row>
    <row r="515" spans="1:10" s="896" customFormat="1" ht="14.3">
      <c r="A515" s="710" t="s">
        <v>632</v>
      </c>
      <c r="B515" s="716"/>
      <c r="C515" s="716"/>
      <c r="D515" s="716" t="s">
        <v>814</v>
      </c>
      <c r="E515" s="716" t="s">
        <v>610</v>
      </c>
      <c r="F515" s="716" t="s">
        <v>633</v>
      </c>
      <c r="G515" s="716" t="s">
        <v>631</v>
      </c>
      <c r="H515" s="716" t="s">
        <v>419</v>
      </c>
      <c r="I515" s="716" t="s">
        <v>634</v>
      </c>
      <c r="J515" s="898"/>
    </row>
    <row r="516" spans="1:10" s="896" customFormat="1" ht="14.3">
      <c r="A516" s="920"/>
      <c r="B516" s="920"/>
      <c r="C516" s="920"/>
      <c r="D516" s="715" t="s">
        <v>813</v>
      </c>
      <c r="E516" s="715" t="s">
        <v>160</v>
      </c>
      <c r="F516" s="715" t="s">
        <v>321</v>
      </c>
      <c r="G516" s="715"/>
      <c r="H516" s="715"/>
      <c r="J516" s="898"/>
    </row>
    <row r="517" spans="1:10" s="896" customFormat="1" ht="14.3">
      <c r="A517" s="710" t="s">
        <v>315</v>
      </c>
      <c r="B517" s="429"/>
      <c r="C517" s="429"/>
      <c r="D517" s="715"/>
      <c r="E517" s="715" t="s">
        <v>320</v>
      </c>
      <c r="F517" s="715" t="s">
        <v>312</v>
      </c>
      <c r="G517" s="715" t="s">
        <v>317</v>
      </c>
      <c r="H517" s="715" t="s">
        <v>319</v>
      </c>
      <c r="J517" s="898"/>
    </row>
    <row r="518" spans="1:10" s="896" customFormat="1" ht="14.3">
      <c r="A518" s="689"/>
      <c r="B518" s="898"/>
      <c r="C518" s="898"/>
      <c r="D518" s="715"/>
      <c r="E518" s="715" t="s">
        <v>318</v>
      </c>
      <c r="F518" s="715" t="s">
        <v>318</v>
      </c>
      <c r="G518" s="715" t="s">
        <v>318</v>
      </c>
      <c r="H518" s="715" t="s">
        <v>318</v>
      </c>
      <c r="I518" s="715" t="s">
        <v>529</v>
      </c>
      <c r="J518" s="898"/>
    </row>
    <row r="519" spans="1:10" s="896" customFormat="1" ht="17.149999999999999" customHeight="1">
      <c r="A519" s="1152" t="s">
        <v>1458</v>
      </c>
      <c r="B519" s="1153"/>
      <c r="C519" s="681"/>
      <c r="D519" s="897">
        <f t="shared" ref="D519:D582" si="13">SUM(E519:H519)</f>
        <v>-271.27300000000002</v>
      </c>
      <c r="E519" s="899">
        <v>-271.27300000000002</v>
      </c>
      <c r="F519" s="899"/>
      <c r="G519" s="899"/>
      <c r="H519" s="899"/>
      <c r="I519" s="1149" t="s">
        <v>658</v>
      </c>
      <c r="J519" s="898"/>
    </row>
    <row r="520" spans="1:10" s="896" customFormat="1" ht="17.149999999999999" customHeight="1">
      <c r="A520" s="1152" t="s">
        <v>1459</v>
      </c>
      <c r="B520" s="1153"/>
      <c r="C520" s="681"/>
      <c r="D520" s="897">
        <f t="shared" si="13"/>
        <v>-2259.8679999999999</v>
      </c>
      <c r="E520" s="899">
        <v>-2259.8679999999999</v>
      </c>
      <c r="F520" s="899"/>
      <c r="G520" s="899"/>
      <c r="H520" s="899"/>
      <c r="I520" s="1149" t="s">
        <v>658</v>
      </c>
      <c r="J520" s="898"/>
    </row>
    <row r="521" spans="1:10" s="896" customFormat="1" ht="17.149999999999999" customHeight="1">
      <c r="A521" s="1152" t="s">
        <v>1201</v>
      </c>
      <c r="B521" s="1153"/>
      <c r="C521" s="681"/>
      <c r="D521" s="897">
        <f t="shared" si="13"/>
        <v>0</v>
      </c>
      <c r="E521" s="899"/>
      <c r="F521" s="899"/>
      <c r="G521" s="899"/>
      <c r="H521" s="899"/>
      <c r="I521" s="1149" t="s">
        <v>658</v>
      </c>
      <c r="J521" s="898"/>
    </row>
    <row r="522" spans="1:10" s="896" customFormat="1" ht="17.149999999999999" customHeight="1">
      <c r="A522" s="1152" t="s">
        <v>1202</v>
      </c>
      <c r="B522" s="1153"/>
      <c r="C522" s="681"/>
      <c r="D522" s="897">
        <f t="shared" si="13"/>
        <v>0</v>
      </c>
      <c r="E522" s="899"/>
      <c r="F522" s="899"/>
      <c r="G522" s="899"/>
      <c r="H522" s="899"/>
      <c r="I522" s="1149" t="s">
        <v>658</v>
      </c>
      <c r="J522" s="898"/>
    </row>
    <row r="523" spans="1:10" s="896" customFormat="1" ht="17.149999999999999" customHeight="1">
      <c r="A523" s="1152" t="s">
        <v>1203</v>
      </c>
      <c r="B523" s="1153"/>
      <c r="C523" s="891"/>
      <c r="D523" s="897">
        <f t="shared" si="13"/>
        <v>0</v>
      </c>
      <c r="E523" s="899"/>
      <c r="F523" s="899"/>
      <c r="G523" s="899"/>
      <c r="H523" s="899"/>
      <c r="I523" s="1149" t="s">
        <v>658</v>
      </c>
      <c r="J523" s="898"/>
    </row>
    <row r="524" spans="1:10" s="896" customFormat="1" ht="17.149999999999999" customHeight="1">
      <c r="A524" s="1152" t="s">
        <v>1658</v>
      </c>
      <c r="B524" s="1153"/>
      <c r="C524" s="676"/>
      <c r="D524" s="897">
        <f t="shared" si="13"/>
        <v>0</v>
      </c>
      <c r="E524" s="899">
        <v>0</v>
      </c>
      <c r="F524" s="899"/>
      <c r="G524" s="899"/>
      <c r="H524" s="899"/>
      <c r="I524" s="1149" t="s">
        <v>658</v>
      </c>
      <c r="J524" s="898"/>
    </row>
    <row r="525" spans="1:10" s="896" customFormat="1" ht="17.149999999999999" customHeight="1">
      <c r="A525" s="1152" t="s">
        <v>1533</v>
      </c>
      <c r="B525" s="1153"/>
      <c r="C525" s="676"/>
      <c r="D525" s="897">
        <f t="shared" si="13"/>
        <v>-15527.174000000001</v>
      </c>
      <c r="E525" s="899">
        <v>-15527.174000000001</v>
      </c>
      <c r="F525" s="899"/>
      <c r="G525" s="899"/>
      <c r="H525" s="899"/>
      <c r="I525" s="1149" t="s">
        <v>658</v>
      </c>
      <c r="J525" s="898"/>
    </row>
    <row r="526" spans="1:10" s="896" customFormat="1" ht="17.149999999999999" customHeight="1">
      <c r="A526" s="1152" t="s">
        <v>1204</v>
      </c>
      <c r="B526" s="1153"/>
      <c r="C526" s="676"/>
      <c r="D526" s="897">
        <f t="shared" si="13"/>
        <v>-48040.661999999997</v>
      </c>
      <c r="E526" s="899">
        <v>-48040.661999999997</v>
      </c>
      <c r="F526" s="899"/>
      <c r="G526" s="899"/>
      <c r="H526" s="899"/>
      <c r="I526" s="1149" t="s">
        <v>658</v>
      </c>
      <c r="J526" s="898"/>
    </row>
    <row r="527" spans="1:10" s="896" customFormat="1" ht="17.149999999999999" customHeight="1">
      <c r="A527" s="1152" t="s">
        <v>585</v>
      </c>
      <c r="B527" s="1153"/>
      <c r="C527" s="676"/>
      <c r="D527" s="897">
        <f t="shared" si="13"/>
        <v>0</v>
      </c>
      <c r="E527" s="899"/>
      <c r="F527" s="899"/>
      <c r="G527" s="899"/>
      <c r="H527" s="899"/>
      <c r="I527" s="1149" t="s">
        <v>658</v>
      </c>
      <c r="J527" s="898"/>
    </row>
    <row r="528" spans="1:10" s="896" customFormat="1" ht="17.149999999999999" customHeight="1">
      <c r="A528" s="1152" t="s">
        <v>1205</v>
      </c>
      <c r="B528" s="1153"/>
      <c r="C528" s="676"/>
      <c r="D528" s="897">
        <f t="shared" si="13"/>
        <v>-174995.995</v>
      </c>
      <c r="E528" s="899">
        <v>-174995.995</v>
      </c>
      <c r="F528" s="899"/>
      <c r="G528" s="899"/>
      <c r="H528" s="899"/>
      <c r="I528" s="1149" t="s">
        <v>658</v>
      </c>
      <c r="J528" s="898"/>
    </row>
    <row r="529" spans="1:10" s="896" customFormat="1" ht="17.149999999999999" customHeight="1">
      <c r="A529" s="1152" t="s">
        <v>1206</v>
      </c>
      <c r="B529" s="1153"/>
      <c r="C529" s="676"/>
      <c r="D529" s="897">
        <f t="shared" si="13"/>
        <v>-380067.54599999997</v>
      </c>
      <c r="E529" s="899">
        <v>-380067.54599999997</v>
      </c>
      <c r="F529" s="899"/>
      <c r="G529" s="899"/>
      <c r="H529" s="899"/>
      <c r="I529" s="1149" t="s">
        <v>658</v>
      </c>
      <c r="J529" s="898"/>
    </row>
    <row r="530" spans="1:10" s="896" customFormat="1" ht="17.149999999999999" customHeight="1">
      <c r="A530" s="1152" t="s">
        <v>1207</v>
      </c>
      <c r="B530" s="1153"/>
      <c r="C530" s="676"/>
      <c r="D530" s="897">
        <f t="shared" si="13"/>
        <v>-12117.619000000001</v>
      </c>
      <c r="E530" s="899">
        <v>-12117.619000000001</v>
      </c>
      <c r="F530" s="899"/>
      <c r="G530" s="899"/>
      <c r="H530" s="899"/>
      <c r="I530" s="1149" t="s">
        <v>658</v>
      </c>
      <c r="J530" s="898"/>
    </row>
    <row r="531" spans="1:10" s="896" customFormat="1" ht="17.149999999999999" customHeight="1">
      <c r="A531" s="1152" t="s">
        <v>1208</v>
      </c>
      <c r="B531" s="1153"/>
      <c r="C531" s="681"/>
      <c r="D531" s="897">
        <f t="shared" si="13"/>
        <v>0</v>
      </c>
      <c r="E531" s="899">
        <v>0</v>
      </c>
      <c r="F531" s="899"/>
      <c r="G531" s="899"/>
      <c r="H531" s="899"/>
      <c r="I531" s="1149" t="s">
        <v>658</v>
      </c>
      <c r="J531" s="898"/>
    </row>
    <row r="532" spans="1:10" s="896" customFormat="1" ht="17.149999999999999" customHeight="1">
      <c r="A532" s="1152" t="s">
        <v>1209</v>
      </c>
      <c r="B532" s="1153"/>
      <c r="C532" s="676"/>
      <c r="D532" s="897">
        <f t="shared" si="13"/>
        <v>-3368.8180000000002</v>
      </c>
      <c r="E532" s="899">
        <v>-3368.8180000000002</v>
      </c>
      <c r="F532" s="899"/>
      <c r="G532" s="899"/>
      <c r="H532" s="899"/>
      <c r="I532" s="1149" t="s">
        <v>658</v>
      </c>
      <c r="J532" s="898"/>
    </row>
    <row r="533" spans="1:10" s="896" customFormat="1" ht="17.149999999999999" customHeight="1">
      <c r="A533" s="1152" t="s">
        <v>1210</v>
      </c>
      <c r="B533" s="1153"/>
      <c r="C533" s="892"/>
      <c r="D533" s="897">
        <f t="shared" si="13"/>
        <v>-45847.981</v>
      </c>
      <c r="E533" s="899">
        <v>-45847.981</v>
      </c>
      <c r="F533" s="899"/>
      <c r="G533" s="899"/>
      <c r="H533" s="899"/>
      <c r="I533" s="1149" t="s">
        <v>658</v>
      </c>
      <c r="J533" s="898"/>
    </row>
    <row r="534" spans="1:10" s="896" customFormat="1" ht="17.149999999999999" customHeight="1">
      <c r="A534" s="1152" t="s">
        <v>1211</v>
      </c>
      <c r="B534" s="1153"/>
      <c r="C534" s="892"/>
      <c r="D534" s="897">
        <f t="shared" si="13"/>
        <v>0</v>
      </c>
      <c r="E534" s="899"/>
      <c r="F534" s="899"/>
      <c r="G534" s="899"/>
      <c r="H534" s="899"/>
      <c r="I534" s="1149" t="s">
        <v>658</v>
      </c>
      <c r="J534" s="898"/>
    </row>
    <row r="535" spans="1:10" s="896" customFormat="1" ht="17.149999999999999" customHeight="1">
      <c r="A535" s="1152" t="s">
        <v>1212</v>
      </c>
      <c r="B535" s="1153"/>
      <c r="C535" s="892"/>
      <c r="D535" s="897">
        <f t="shared" si="13"/>
        <v>0</v>
      </c>
      <c r="E535" s="899"/>
      <c r="F535" s="899"/>
      <c r="G535" s="899"/>
      <c r="H535" s="899"/>
      <c r="I535" s="1149" t="s">
        <v>658</v>
      </c>
      <c r="J535" s="898"/>
    </row>
    <row r="536" spans="1:10" s="896" customFormat="1" ht="17.149999999999999" customHeight="1">
      <c r="A536" s="1152" t="s">
        <v>1213</v>
      </c>
      <c r="B536" s="1153"/>
      <c r="C536" s="892"/>
      <c r="D536" s="897">
        <f t="shared" si="13"/>
        <v>0</v>
      </c>
      <c r="E536" s="899"/>
      <c r="F536" s="899"/>
      <c r="G536" s="899"/>
      <c r="H536" s="899"/>
      <c r="I536" s="1149" t="s">
        <v>658</v>
      </c>
      <c r="J536" s="898"/>
    </row>
    <row r="537" spans="1:10" s="896" customFormat="1" ht="17.149999999999999" customHeight="1">
      <c r="A537" s="1152" t="s">
        <v>1214</v>
      </c>
      <c r="B537" s="1153"/>
      <c r="C537" s="892"/>
      <c r="D537" s="897">
        <f t="shared" si="13"/>
        <v>0</v>
      </c>
      <c r="E537" s="899"/>
      <c r="F537" s="899"/>
      <c r="G537" s="899"/>
      <c r="H537" s="899"/>
      <c r="I537" s="1149" t="s">
        <v>658</v>
      </c>
      <c r="J537" s="898"/>
    </row>
    <row r="538" spans="1:10" s="896" customFormat="1" ht="17.149999999999999" customHeight="1">
      <c r="A538" s="1152" t="s">
        <v>1215</v>
      </c>
      <c r="B538" s="1153"/>
      <c r="C538" s="892"/>
      <c r="D538" s="897">
        <f t="shared" si="13"/>
        <v>0</v>
      </c>
      <c r="E538" s="899"/>
      <c r="F538" s="899"/>
      <c r="G538" s="899"/>
      <c r="H538" s="899"/>
      <c r="I538" s="1149" t="s">
        <v>658</v>
      </c>
      <c r="J538" s="898"/>
    </row>
    <row r="539" spans="1:10" s="896" customFormat="1" ht="17.149999999999999" customHeight="1">
      <c r="A539" s="1152" t="s">
        <v>1216</v>
      </c>
      <c r="B539" s="1153"/>
      <c r="C539" s="892"/>
      <c r="D539" s="897">
        <f t="shared" si="13"/>
        <v>0</v>
      </c>
      <c r="E539" s="899"/>
      <c r="F539" s="899"/>
      <c r="G539" s="899"/>
      <c r="H539" s="899"/>
      <c r="I539" s="1149" t="s">
        <v>658</v>
      </c>
      <c r="J539" s="898"/>
    </row>
    <row r="540" spans="1:10" s="896" customFormat="1" ht="17.149999999999999" customHeight="1">
      <c r="A540" s="1152" t="s">
        <v>1217</v>
      </c>
      <c r="B540" s="1153"/>
      <c r="C540" s="892"/>
      <c r="D540" s="897">
        <f t="shared" si="13"/>
        <v>0</v>
      </c>
      <c r="E540" s="899"/>
      <c r="F540" s="899"/>
      <c r="G540" s="899"/>
      <c r="H540" s="899"/>
      <c r="I540" s="1149" t="s">
        <v>658</v>
      </c>
      <c r="J540" s="898"/>
    </row>
    <row r="541" spans="1:10" s="896" customFormat="1" ht="17.149999999999999" customHeight="1">
      <c r="A541" s="1152" t="s">
        <v>1218</v>
      </c>
      <c r="B541" s="1153"/>
      <c r="C541" s="892"/>
      <c r="D541" s="897">
        <f t="shared" si="13"/>
        <v>0</v>
      </c>
      <c r="E541" s="899"/>
      <c r="F541" s="899"/>
      <c r="G541" s="899"/>
      <c r="H541" s="899"/>
      <c r="I541" s="1149" t="s">
        <v>658</v>
      </c>
      <c r="J541" s="898"/>
    </row>
    <row r="542" spans="1:10" s="896" customFormat="1" ht="17.149999999999999" customHeight="1">
      <c r="A542" s="1152" t="s">
        <v>1219</v>
      </c>
      <c r="B542" s="1153"/>
      <c r="C542" s="892"/>
      <c r="D542" s="897">
        <f t="shared" si="13"/>
        <v>0</v>
      </c>
      <c r="E542" s="899"/>
      <c r="F542" s="899"/>
      <c r="G542" s="899"/>
      <c r="H542" s="899"/>
      <c r="I542" s="1149" t="s">
        <v>658</v>
      </c>
      <c r="J542" s="898"/>
    </row>
    <row r="543" spans="1:10" s="896" customFormat="1" ht="17.149999999999999" customHeight="1">
      <c r="A543" s="1152" t="s">
        <v>1220</v>
      </c>
      <c r="B543" s="1153"/>
      <c r="C543" s="892"/>
      <c r="D543" s="897">
        <f t="shared" si="13"/>
        <v>-10593.243</v>
      </c>
      <c r="E543" s="899">
        <v>-10593.243</v>
      </c>
      <c r="F543" s="899"/>
      <c r="G543" s="899"/>
      <c r="H543" s="899"/>
      <c r="I543" s="1149" t="s">
        <v>658</v>
      </c>
      <c r="J543" s="898"/>
    </row>
    <row r="544" spans="1:10" s="896" customFormat="1" ht="17.149999999999999" customHeight="1">
      <c r="A544" s="1152" t="s">
        <v>1368</v>
      </c>
      <c r="B544" s="1153"/>
      <c r="C544" s="892"/>
      <c r="D544" s="897">
        <f t="shared" si="13"/>
        <v>0</v>
      </c>
      <c r="E544" s="899">
        <v>0</v>
      </c>
      <c r="F544" s="899"/>
      <c r="G544" s="899"/>
      <c r="H544" s="899"/>
      <c r="I544" s="1149" t="s">
        <v>658</v>
      </c>
      <c r="J544" s="898"/>
    </row>
    <row r="545" spans="1:10" s="896" customFormat="1" ht="17.149999999999999" customHeight="1">
      <c r="A545" s="1152" t="s">
        <v>1221</v>
      </c>
      <c r="B545" s="1153"/>
      <c r="C545" s="892"/>
      <c r="D545" s="897">
        <f t="shared" si="13"/>
        <v>0</v>
      </c>
      <c r="E545" s="899"/>
      <c r="F545" s="899"/>
      <c r="G545" s="899"/>
      <c r="H545" s="899"/>
      <c r="I545" s="1149" t="s">
        <v>658</v>
      </c>
      <c r="J545" s="898"/>
    </row>
    <row r="546" spans="1:10" s="896" customFormat="1" ht="17.149999999999999" customHeight="1">
      <c r="A546" s="1152" t="s">
        <v>1222</v>
      </c>
      <c r="B546" s="1153"/>
      <c r="C546" s="892"/>
      <c r="D546" s="897">
        <f t="shared" si="13"/>
        <v>0</v>
      </c>
      <c r="E546" s="899"/>
      <c r="F546" s="899"/>
      <c r="G546" s="899"/>
      <c r="H546" s="899"/>
      <c r="I546" s="1149" t="s">
        <v>658</v>
      </c>
      <c r="J546" s="898"/>
    </row>
    <row r="547" spans="1:10" s="896" customFormat="1" ht="17.149999999999999" customHeight="1">
      <c r="A547" s="1152" t="s">
        <v>1223</v>
      </c>
      <c r="B547" s="1153"/>
      <c r="C547" s="892"/>
      <c r="D547" s="897">
        <f t="shared" si="13"/>
        <v>0</v>
      </c>
      <c r="E547" s="899"/>
      <c r="F547" s="899"/>
      <c r="G547" s="899"/>
      <c r="H547" s="899"/>
      <c r="I547" s="1149" t="s">
        <v>658</v>
      </c>
      <c r="J547" s="898"/>
    </row>
    <row r="548" spans="1:10" s="896" customFormat="1" ht="17.149999999999999" customHeight="1">
      <c r="A548" s="1152" t="s">
        <v>1224</v>
      </c>
      <c r="B548" s="1153"/>
      <c r="C548" s="892"/>
      <c r="D548" s="897">
        <f t="shared" si="13"/>
        <v>0</v>
      </c>
      <c r="E548" s="899"/>
      <c r="F548" s="899"/>
      <c r="G548" s="899"/>
      <c r="H548" s="899"/>
      <c r="I548" s="1149" t="s">
        <v>658</v>
      </c>
      <c r="J548" s="898"/>
    </row>
    <row r="549" spans="1:10" s="896" customFormat="1" ht="17.149999999999999" customHeight="1">
      <c r="A549" s="1152" t="s">
        <v>1225</v>
      </c>
      <c r="B549" s="1153"/>
      <c r="C549" s="892"/>
      <c r="D549" s="897">
        <f t="shared" si="13"/>
        <v>0</v>
      </c>
      <c r="E549" s="899"/>
      <c r="F549" s="899"/>
      <c r="G549" s="899"/>
      <c r="H549" s="899"/>
      <c r="I549" s="1149" t="s">
        <v>658</v>
      </c>
      <c r="J549" s="898"/>
    </row>
    <row r="550" spans="1:10" s="896" customFormat="1" ht="17.149999999999999" customHeight="1">
      <c r="A550" s="1152" t="s">
        <v>1226</v>
      </c>
      <c r="B550" s="1153"/>
      <c r="C550" s="676"/>
      <c r="D550" s="897">
        <f t="shared" si="13"/>
        <v>0</v>
      </c>
      <c r="E550" s="899"/>
      <c r="F550" s="899"/>
      <c r="G550" s="899"/>
      <c r="H550" s="899"/>
      <c r="I550" s="1149" t="s">
        <v>658</v>
      </c>
      <c r="J550" s="898"/>
    </row>
    <row r="551" spans="1:10" s="896" customFormat="1" ht="17.149999999999999" customHeight="1">
      <c r="A551" s="1152" t="s">
        <v>1227</v>
      </c>
      <c r="B551" s="1153"/>
      <c r="C551" s="676"/>
      <c r="D551" s="897">
        <f t="shared" si="13"/>
        <v>0</v>
      </c>
      <c r="E551" s="899"/>
      <c r="F551" s="899"/>
      <c r="G551" s="899"/>
      <c r="H551" s="899"/>
      <c r="I551" s="1149" t="s">
        <v>658</v>
      </c>
      <c r="J551" s="898"/>
    </row>
    <row r="552" spans="1:10" s="896" customFormat="1" ht="17.149999999999999" customHeight="1">
      <c r="A552" s="1152" t="s">
        <v>1228</v>
      </c>
      <c r="B552" s="1153"/>
      <c r="C552" s="676"/>
      <c r="D552" s="897">
        <f t="shared" si="13"/>
        <v>0</v>
      </c>
      <c r="E552" s="899"/>
      <c r="F552" s="899"/>
      <c r="G552" s="899"/>
      <c r="H552" s="899"/>
      <c r="I552" s="1149" t="s">
        <v>658</v>
      </c>
      <c r="J552" s="898"/>
    </row>
    <row r="553" spans="1:10" s="896" customFormat="1" ht="17.149999999999999" customHeight="1">
      <c r="A553" s="1152" t="s">
        <v>1229</v>
      </c>
      <c r="B553" s="1153"/>
      <c r="C553" s="676"/>
      <c r="D553" s="897">
        <f t="shared" si="13"/>
        <v>0</v>
      </c>
      <c r="E553" s="899"/>
      <c r="F553" s="899"/>
      <c r="G553" s="899"/>
      <c r="H553" s="899"/>
      <c r="I553" s="1149" t="s">
        <v>658</v>
      </c>
      <c r="J553" s="898"/>
    </row>
    <row r="554" spans="1:10" s="896" customFormat="1" ht="17.149999999999999" customHeight="1">
      <c r="A554" s="1152" t="s">
        <v>1230</v>
      </c>
      <c r="B554" s="1153"/>
      <c r="C554" s="676"/>
      <c r="D554" s="897">
        <f t="shared" si="13"/>
        <v>0</v>
      </c>
      <c r="E554" s="899"/>
      <c r="F554" s="899"/>
      <c r="G554" s="899"/>
      <c r="H554" s="899"/>
      <c r="I554" s="1149" t="s">
        <v>658</v>
      </c>
      <c r="J554" s="898"/>
    </row>
    <row r="555" spans="1:10" s="896" customFormat="1" ht="17.149999999999999" customHeight="1">
      <c r="A555" s="1152" t="s">
        <v>1231</v>
      </c>
      <c r="B555" s="1153"/>
      <c r="C555" s="676"/>
      <c r="D555" s="897">
        <f t="shared" si="13"/>
        <v>0</v>
      </c>
      <c r="E555" s="899"/>
      <c r="F555" s="899"/>
      <c r="G555" s="899"/>
      <c r="H555" s="899"/>
      <c r="I555" s="1149" t="s">
        <v>658</v>
      </c>
      <c r="J555" s="898"/>
    </row>
    <row r="556" spans="1:10" s="896" customFormat="1" ht="17.149999999999999" customHeight="1">
      <c r="A556" s="1152" t="s">
        <v>1232</v>
      </c>
      <c r="B556" s="1153"/>
      <c r="C556" s="676"/>
      <c r="D556" s="897">
        <f t="shared" si="13"/>
        <v>0</v>
      </c>
      <c r="E556" s="899"/>
      <c r="F556" s="899"/>
      <c r="G556" s="899"/>
      <c r="H556" s="899"/>
      <c r="I556" s="1149" t="s">
        <v>658</v>
      </c>
      <c r="J556" s="898"/>
    </row>
    <row r="557" spans="1:10" s="896" customFormat="1" ht="17.149999999999999" customHeight="1">
      <c r="A557" s="1152" t="s">
        <v>1233</v>
      </c>
      <c r="B557" s="1153"/>
      <c r="C557" s="676"/>
      <c r="D557" s="897">
        <f t="shared" si="13"/>
        <v>0</v>
      </c>
      <c r="E557" s="899">
        <v>0</v>
      </c>
      <c r="F557" s="899"/>
      <c r="G557" s="899"/>
      <c r="H557" s="899"/>
      <c r="I557" s="1149" t="s">
        <v>658</v>
      </c>
      <c r="J557" s="898"/>
    </row>
    <row r="558" spans="1:10" s="896" customFormat="1" ht="17.149999999999999" customHeight="1">
      <c r="A558" s="1152" t="s">
        <v>1234</v>
      </c>
      <c r="B558" s="1153"/>
      <c r="C558" s="676"/>
      <c r="D558" s="897">
        <f t="shared" si="13"/>
        <v>0</v>
      </c>
      <c r="E558" s="899"/>
      <c r="F558" s="899"/>
      <c r="G558" s="899"/>
      <c r="H558" s="899"/>
      <c r="I558" s="1149" t="s">
        <v>658</v>
      </c>
      <c r="J558" s="898"/>
    </row>
    <row r="559" spans="1:10" s="896" customFormat="1" ht="17.149999999999999" customHeight="1">
      <c r="A559" s="1152" t="s">
        <v>1235</v>
      </c>
      <c r="B559" s="1153"/>
      <c r="C559" s="676"/>
      <c r="D559" s="897">
        <f t="shared" si="13"/>
        <v>0</v>
      </c>
      <c r="E559" s="899"/>
      <c r="F559" s="899"/>
      <c r="G559" s="899"/>
      <c r="H559" s="899"/>
      <c r="I559" s="1149" t="s">
        <v>658</v>
      </c>
      <c r="J559" s="898"/>
    </row>
    <row r="560" spans="1:10" s="896" customFormat="1" ht="17.149999999999999" customHeight="1">
      <c r="A560" s="1152" t="s">
        <v>1236</v>
      </c>
      <c r="B560" s="1153"/>
      <c r="C560" s="676"/>
      <c r="D560" s="897">
        <f t="shared" si="13"/>
        <v>0</v>
      </c>
      <c r="E560" s="899"/>
      <c r="F560" s="899"/>
      <c r="G560" s="899"/>
      <c r="H560" s="899"/>
      <c r="I560" s="1149" t="s">
        <v>658</v>
      </c>
      <c r="J560" s="898"/>
    </row>
    <row r="561" spans="1:10" s="896" customFormat="1" ht="17.149999999999999" customHeight="1">
      <c r="A561" s="1152" t="s">
        <v>1237</v>
      </c>
      <c r="B561" s="1153"/>
      <c r="C561" s="676"/>
      <c r="D561" s="897">
        <f t="shared" si="13"/>
        <v>0</v>
      </c>
      <c r="E561" s="899"/>
      <c r="F561" s="899"/>
      <c r="G561" s="899"/>
      <c r="H561" s="899"/>
      <c r="I561" s="1149" t="s">
        <v>658</v>
      </c>
      <c r="J561" s="898"/>
    </row>
    <row r="562" spans="1:10" s="896" customFormat="1" ht="17.149999999999999" customHeight="1">
      <c r="A562" s="1152" t="s">
        <v>1238</v>
      </c>
      <c r="B562" s="1153"/>
      <c r="C562" s="676"/>
      <c r="D562" s="897">
        <f t="shared" si="13"/>
        <v>0</v>
      </c>
      <c r="E562" s="899"/>
      <c r="F562" s="899"/>
      <c r="G562" s="899"/>
      <c r="H562" s="899"/>
      <c r="I562" s="1149" t="s">
        <v>658</v>
      </c>
      <c r="J562" s="898"/>
    </row>
    <row r="563" spans="1:10" s="896" customFormat="1" ht="17.149999999999999" customHeight="1">
      <c r="A563" s="1152" t="s">
        <v>1334</v>
      </c>
      <c r="B563" s="1153"/>
      <c r="C563" s="676"/>
      <c r="D563" s="897">
        <f t="shared" si="13"/>
        <v>-17.116</v>
      </c>
      <c r="E563" s="899">
        <v>-17.116</v>
      </c>
      <c r="F563" s="899"/>
      <c r="G563" s="899"/>
      <c r="H563" s="899"/>
      <c r="I563" s="1149" t="s">
        <v>658</v>
      </c>
      <c r="J563" s="898"/>
    </row>
    <row r="564" spans="1:10" s="896" customFormat="1" ht="17.149999999999999" customHeight="1">
      <c r="A564" s="1152" t="s">
        <v>1335</v>
      </c>
      <c r="B564" s="1153"/>
      <c r="C564" s="676"/>
      <c r="D564" s="897">
        <f t="shared" si="13"/>
        <v>-2145.7202594559999</v>
      </c>
      <c r="E564" s="899">
        <v>-2145.7202594559999</v>
      </c>
      <c r="F564" s="899"/>
      <c r="G564" s="899"/>
      <c r="H564" s="899"/>
      <c r="I564" s="1149" t="s">
        <v>658</v>
      </c>
      <c r="J564" s="898"/>
    </row>
    <row r="565" spans="1:10" s="896" customFormat="1" ht="17.149999999999999" customHeight="1">
      <c r="A565" s="1152" t="s">
        <v>1336</v>
      </c>
      <c r="B565" s="1153"/>
      <c r="C565" s="676"/>
      <c r="D565" s="897">
        <f t="shared" si="13"/>
        <v>-43512.832999999999</v>
      </c>
      <c r="E565" s="899">
        <v>-43512.832999999999</v>
      </c>
      <c r="F565" s="899"/>
      <c r="G565" s="899"/>
      <c r="H565" s="899"/>
      <c r="I565" s="1149" t="s">
        <v>658</v>
      </c>
      <c r="J565" s="898"/>
    </row>
    <row r="566" spans="1:10" s="896" customFormat="1" ht="17.149999999999999" customHeight="1">
      <c r="A566" s="1152" t="s">
        <v>1337</v>
      </c>
      <c r="B566" s="1153"/>
      <c r="C566" s="676"/>
      <c r="D566" s="897">
        <f t="shared" si="13"/>
        <v>-1309.33</v>
      </c>
      <c r="E566" s="899">
        <v>-1309.33</v>
      </c>
      <c r="F566" s="899"/>
      <c r="G566" s="899"/>
      <c r="H566" s="899"/>
      <c r="I566" s="1149" t="s">
        <v>658</v>
      </c>
      <c r="J566" s="898"/>
    </row>
    <row r="567" spans="1:10" s="896" customFormat="1" ht="17.149999999999999" customHeight="1">
      <c r="A567" s="1152" t="s">
        <v>1338</v>
      </c>
      <c r="B567" s="1153"/>
      <c r="C567" s="676"/>
      <c r="D567" s="897">
        <f t="shared" si="13"/>
        <v>-41.843080225999998</v>
      </c>
      <c r="E567" s="899">
        <v>-41.843080225999998</v>
      </c>
      <c r="F567" s="899"/>
      <c r="G567" s="899"/>
      <c r="H567" s="899"/>
      <c r="I567" s="1149" t="s">
        <v>658</v>
      </c>
      <c r="J567" s="898"/>
    </row>
    <row r="568" spans="1:10" s="896" customFormat="1" ht="17.149999999999999" customHeight="1">
      <c r="A568" s="1152" t="s">
        <v>1339</v>
      </c>
      <c r="B568" s="1153"/>
      <c r="C568" s="676"/>
      <c r="D568" s="897">
        <f t="shared" si="13"/>
        <v>-5110.5792815579998</v>
      </c>
      <c r="E568" s="899">
        <v>-5110.5792815579998</v>
      </c>
      <c r="F568" s="899"/>
      <c r="G568" s="899"/>
      <c r="H568" s="899"/>
      <c r="I568" s="1149" t="s">
        <v>658</v>
      </c>
      <c r="J568" s="898"/>
    </row>
    <row r="569" spans="1:10" s="896" customFormat="1" ht="17.149999999999999" customHeight="1">
      <c r="A569" s="1152" t="s">
        <v>1340</v>
      </c>
      <c r="B569" s="1153"/>
      <c r="C569" s="676"/>
      <c r="D569" s="897">
        <f t="shared" si="13"/>
        <v>-106376.83000547301</v>
      </c>
      <c r="E569" s="899">
        <v>-106376.83000547301</v>
      </c>
      <c r="F569" s="899"/>
      <c r="G569" s="899"/>
      <c r="H569" s="899"/>
      <c r="I569" s="1149" t="s">
        <v>658</v>
      </c>
      <c r="J569" s="898"/>
    </row>
    <row r="570" spans="1:10" s="896" customFormat="1" ht="17.149999999999999" customHeight="1">
      <c r="A570" s="1152" t="s">
        <v>1341</v>
      </c>
      <c r="B570" s="1153"/>
      <c r="C570" s="676"/>
      <c r="D570" s="897">
        <f t="shared" si="13"/>
        <v>-3029.5120957620002</v>
      </c>
      <c r="E570" s="899">
        <v>-3029.5120957620002</v>
      </c>
      <c r="F570" s="899"/>
      <c r="G570" s="899"/>
      <c r="H570" s="899"/>
      <c r="I570" s="1149" t="s">
        <v>658</v>
      </c>
      <c r="J570" s="898"/>
    </row>
    <row r="571" spans="1:10" s="896" customFormat="1" ht="17.149999999999999" customHeight="1">
      <c r="A571" s="1152" t="s">
        <v>1239</v>
      </c>
      <c r="B571" s="1153"/>
      <c r="C571" s="893"/>
      <c r="D571" s="897">
        <f t="shared" si="13"/>
        <v>0</v>
      </c>
      <c r="E571" s="899">
        <v>0</v>
      </c>
      <c r="F571" s="899"/>
      <c r="G571" s="899"/>
      <c r="H571" s="899"/>
      <c r="I571" s="1149" t="s">
        <v>658</v>
      </c>
      <c r="J571" s="898"/>
    </row>
    <row r="572" spans="1:10" s="896" customFormat="1" ht="17.149999999999999" customHeight="1">
      <c r="A572" s="1152" t="s">
        <v>1240</v>
      </c>
      <c r="B572" s="1153"/>
      <c r="C572" s="676"/>
      <c r="D572" s="897">
        <f t="shared" si="13"/>
        <v>-27345.929070000198</v>
      </c>
      <c r="E572" s="899">
        <v>-27345.929070000198</v>
      </c>
      <c r="F572" s="899"/>
      <c r="G572" s="899"/>
      <c r="H572" s="899"/>
      <c r="I572" s="1149" t="s">
        <v>658</v>
      </c>
      <c r="J572" s="898"/>
    </row>
    <row r="573" spans="1:10" s="896" customFormat="1" ht="17.149999999999999" customHeight="1">
      <c r="A573" s="1152" t="s">
        <v>1660</v>
      </c>
      <c r="B573" s="1153"/>
      <c r="C573" s="676"/>
      <c r="D573" s="897">
        <f t="shared" si="13"/>
        <v>-106.095</v>
      </c>
      <c r="E573" s="899">
        <v>-106.095</v>
      </c>
      <c r="F573" s="899"/>
      <c r="G573" s="899"/>
      <c r="H573" s="899"/>
      <c r="I573" s="1149" t="s">
        <v>658</v>
      </c>
      <c r="J573" s="898"/>
    </row>
    <row r="574" spans="1:10" s="896" customFormat="1" ht="34" customHeight="1">
      <c r="A574" s="1152" t="s">
        <v>1659</v>
      </c>
      <c r="B574" s="1153"/>
      <c r="C574" s="676"/>
      <c r="D574" s="897">
        <f t="shared" si="13"/>
        <v>-0.114</v>
      </c>
      <c r="E574" s="899">
        <v>-0.114</v>
      </c>
      <c r="F574" s="899"/>
      <c r="G574" s="899"/>
      <c r="H574" s="899"/>
      <c r="I574" s="1149" t="s">
        <v>658</v>
      </c>
      <c r="J574" s="898"/>
    </row>
    <row r="575" spans="1:10" s="896" customFormat="1" ht="17.149999999999999" customHeight="1">
      <c r="A575" s="1152" t="s">
        <v>1661</v>
      </c>
      <c r="B575" s="1153"/>
      <c r="C575" s="676"/>
      <c r="D575" s="897">
        <f t="shared" si="13"/>
        <v>18.704000000000001</v>
      </c>
      <c r="E575" s="899">
        <v>18.704000000000001</v>
      </c>
      <c r="F575" s="899"/>
      <c r="G575" s="899"/>
      <c r="H575" s="899"/>
      <c r="I575" s="1149" t="s">
        <v>658</v>
      </c>
      <c r="J575" s="898"/>
    </row>
    <row r="576" spans="1:10" s="896" customFormat="1" ht="34" customHeight="1">
      <c r="A576" s="1152" t="s">
        <v>1662</v>
      </c>
      <c r="B576" s="1153"/>
      <c r="C576" s="676"/>
      <c r="D576" s="897">
        <f t="shared" si="13"/>
        <v>-5.8380000000000001</v>
      </c>
      <c r="E576" s="899">
        <v>-5.8380000000000001</v>
      </c>
      <c r="F576" s="899"/>
      <c r="G576" s="899"/>
      <c r="H576" s="899"/>
      <c r="I576" s="1149" t="s">
        <v>658</v>
      </c>
      <c r="J576" s="898"/>
    </row>
    <row r="577" spans="1:10" s="896" customFormat="1" ht="17.149999999999999" customHeight="1">
      <c r="A577" s="1152" t="s">
        <v>1663</v>
      </c>
      <c r="B577" s="1153"/>
      <c r="C577" s="894"/>
      <c r="D577" s="897">
        <f t="shared" si="13"/>
        <v>0</v>
      </c>
      <c r="E577" s="899">
        <v>0</v>
      </c>
      <c r="F577" s="899"/>
      <c r="G577" s="899"/>
      <c r="H577" s="899"/>
      <c r="I577" s="1149" t="s">
        <v>658</v>
      </c>
      <c r="J577" s="898"/>
    </row>
    <row r="578" spans="1:10" s="896" customFormat="1" ht="17.149999999999999" customHeight="1">
      <c r="A578" s="1152" t="s">
        <v>1664</v>
      </c>
      <c r="B578" s="1153"/>
      <c r="C578" s="676"/>
      <c r="D578" s="897">
        <f t="shared" si="13"/>
        <v>266.91500000000002</v>
      </c>
      <c r="E578" s="899">
        <v>266.91500000000002</v>
      </c>
      <c r="F578" s="899"/>
      <c r="G578" s="899"/>
      <c r="H578" s="899"/>
      <c r="I578" s="1149" t="s">
        <v>658</v>
      </c>
      <c r="J578" s="898"/>
    </row>
    <row r="579" spans="1:10" s="896" customFormat="1" ht="34" customHeight="1">
      <c r="A579" s="1152" t="s">
        <v>1665</v>
      </c>
      <c r="B579" s="1153"/>
      <c r="C579" s="676"/>
      <c r="D579" s="897">
        <f t="shared" si="13"/>
        <v>0.56599999999999995</v>
      </c>
      <c r="E579" s="899">
        <v>0.56599999999999995</v>
      </c>
      <c r="F579" s="899"/>
      <c r="G579" s="899"/>
      <c r="H579" s="899"/>
      <c r="I579" s="1149" t="s">
        <v>658</v>
      </c>
      <c r="J579" s="898"/>
    </row>
    <row r="580" spans="1:10" s="896" customFormat="1" ht="17.149999999999999" customHeight="1">
      <c r="A580" s="1152" t="s">
        <v>1666</v>
      </c>
      <c r="B580" s="1153"/>
      <c r="C580" s="676"/>
      <c r="D580" s="897">
        <f t="shared" si="13"/>
        <v>53.076000000000001</v>
      </c>
      <c r="E580" s="899">
        <v>53.076000000000001</v>
      </c>
      <c r="F580" s="899"/>
      <c r="G580" s="899"/>
      <c r="H580" s="899"/>
      <c r="I580" s="1149" t="s">
        <v>658</v>
      </c>
      <c r="J580" s="898"/>
    </row>
    <row r="581" spans="1:10" s="896" customFormat="1" ht="17.149999999999999" customHeight="1">
      <c r="A581" s="1152" t="s">
        <v>1667</v>
      </c>
      <c r="B581" s="1153"/>
      <c r="C581" s="676"/>
      <c r="D581" s="897">
        <f t="shared" si="13"/>
        <v>3.0000000000000001E-3</v>
      </c>
      <c r="E581" s="899">
        <v>3.0000000000000001E-3</v>
      </c>
      <c r="F581" s="899"/>
      <c r="G581" s="899"/>
      <c r="H581" s="899"/>
      <c r="I581" s="1149" t="s">
        <v>658</v>
      </c>
      <c r="J581" s="898"/>
    </row>
    <row r="582" spans="1:10" s="896" customFormat="1" ht="17.149999999999999" customHeight="1">
      <c r="A582" s="1152" t="s">
        <v>1668</v>
      </c>
      <c r="B582" s="1153"/>
      <c r="C582" s="676"/>
      <c r="D582" s="897">
        <f t="shared" si="13"/>
        <v>-6.6779999999999999</v>
      </c>
      <c r="E582" s="899">
        <v>-6.6779999999999999</v>
      </c>
      <c r="F582" s="899"/>
      <c r="G582" s="899"/>
      <c r="H582" s="899"/>
      <c r="I582" s="1149" t="s">
        <v>658</v>
      </c>
      <c r="J582" s="898"/>
    </row>
    <row r="583" spans="1:10" s="896" customFormat="1" ht="34" customHeight="1">
      <c r="A583" s="1152" t="s">
        <v>1669</v>
      </c>
      <c r="B583" s="1153"/>
      <c r="C583" s="676"/>
      <c r="D583" s="897">
        <f t="shared" ref="D583:D646" si="14">SUM(E583:H583)</f>
        <v>-0.83299999999999996</v>
      </c>
      <c r="E583" s="899">
        <v>-0.83299999999999996</v>
      </c>
      <c r="F583" s="899"/>
      <c r="G583" s="899"/>
      <c r="H583" s="899"/>
      <c r="I583" s="1149" t="s">
        <v>658</v>
      </c>
      <c r="J583" s="898"/>
    </row>
    <row r="584" spans="1:10" s="896" customFormat="1" ht="17.149999999999999" customHeight="1">
      <c r="A584" s="1152" t="s">
        <v>1670</v>
      </c>
      <c r="B584" s="1153"/>
      <c r="C584" s="676"/>
      <c r="D584" s="897">
        <f t="shared" si="14"/>
        <v>-7526.223</v>
      </c>
      <c r="E584" s="899">
        <v>-7526.223</v>
      </c>
      <c r="F584" s="899"/>
      <c r="G584" s="899"/>
      <c r="H584" s="899"/>
      <c r="I584" s="1149" t="s">
        <v>658</v>
      </c>
      <c r="J584" s="898"/>
    </row>
    <row r="585" spans="1:10" s="896" customFormat="1" ht="34" customHeight="1">
      <c r="A585" s="1152" t="s">
        <v>1671</v>
      </c>
      <c r="B585" s="1153"/>
      <c r="C585" s="676"/>
      <c r="D585" s="897">
        <f t="shared" si="14"/>
        <v>-428.875</v>
      </c>
      <c r="E585" s="899">
        <v>-428.875</v>
      </c>
      <c r="F585" s="899"/>
      <c r="G585" s="899"/>
      <c r="H585" s="899"/>
      <c r="I585" s="1149" t="s">
        <v>658</v>
      </c>
      <c r="J585" s="898"/>
    </row>
    <row r="586" spans="1:10" s="896" customFormat="1" ht="17.149999999999999" customHeight="1">
      <c r="A586" s="1152" t="s">
        <v>1672</v>
      </c>
      <c r="B586" s="1153"/>
      <c r="C586" s="676"/>
      <c r="D586" s="897">
        <f t="shared" si="14"/>
        <v>-14.324999999999999</v>
      </c>
      <c r="E586" s="899">
        <v>-14.324999999999999</v>
      </c>
      <c r="F586" s="899"/>
      <c r="G586" s="899"/>
      <c r="H586" s="899"/>
      <c r="I586" s="1149" t="s">
        <v>658</v>
      </c>
      <c r="J586" s="898"/>
    </row>
    <row r="587" spans="1:10" s="896" customFormat="1" ht="17.149999999999999" customHeight="1">
      <c r="A587" s="1152" t="s">
        <v>1673</v>
      </c>
      <c r="B587" s="1153"/>
      <c r="C587" s="676"/>
      <c r="D587" s="897">
        <f t="shared" si="14"/>
        <v>58.981999999999999</v>
      </c>
      <c r="E587" s="899">
        <v>58.981999999999999</v>
      </c>
      <c r="F587" s="899"/>
      <c r="G587" s="899"/>
      <c r="H587" s="899"/>
      <c r="I587" s="1149" t="s">
        <v>658</v>
      </c>
      <c r="J587" s="898"/>
    </row>
    <row r="588" spans="1:10" s="896" customFormat="1" ht="34" customHeight="1">
      <c r="A588" s="1152" t="s">
        <v>1674</v>
      </c>
      <c r="B588" s="1153"/>
      <c r="C588" s="676"/>
      <c r="D588" s="897">
        <f t="shared" si="14"/>
        <v>-0.67</v>
      </c>
      <c r="E588" s="899">
        <v>-0.67</v>
      </c>
      <c r="F588" s="899"/>
      <c r="G588" s="899"/>
      <c r="H588" s="899"/>
      <c r="I588" s="1149" t="s">
        <v>658</v>
      </c>
      <c r="J588" s="898"/>
    </row>
    <row r="589" spans="1:10" s="896" customFormat="1" ht="17.149999999999999" customHeight="1">
      <c r="A589" s="1152" t="s">
        <v>1241</v>
      </c>
      <c r="B589" s="1153"/>
      <c r="C589" s="676"/>
      <c r="D589" s="897">
        <f t="shared" si="14"/>
        <v>-666.00300000000004</v>
      </c>
      <c r="E589" s="899">
        <v>-666.00300000000004</v>
      </c>
      <c r="F589" s="899"/>
      <c r="G589" s="899"/>
      <c r="H589" s="899"/>
      <c r="I589" s="1149" t="s">
        <v>658</v>
      </c>
      <c r="J589" s="898"/>
    </row>
    <row r="590" spans="1:10" s="896" customFormat="1" ht="34" customHeight="1">
      <c r="A590" s="1152" t="s">
        <v>1675</v>
      </c>
      <c r="B590" s="1153"/>
      <c r="C590" s="676"/>
      <c r="D590" s="897">
        <f t="shared" si="14"/>
        <v>-30.99</v>
      </c>
      <c r="E590" s="899">
        <v>-30.99</v>
      </c>
      <c r="F590" s="899"/>
      <c r="G590" s="899"/>
      <c r="H590" s="899"/>
      <c r="I590" s="1149" t="s">
        <v>658</v>
      </c>
      <c r="J590" s="898"/>
    </row>
    <row r="591" spans="1:10" s="896" customFormat="1" ht="17.149999999999999" customHeight="1">
      <c r="A591" s="1152" t="s">
        <v>1242</v>
      </c>
      <c r="B591" s="1153"/>
      <c r="C591" s="894"/>
      <c r="D591" s="897">
        <f t="shared" si="14"/>
        <v>0</v>
      </c>
      <c r="E591" s="899"/>
      <c r="F591" s="899"/>
      <c r="G591" s="899"/>
      <c r="H591" s="899"/>
      <c r="I591" s="1149" t="s">
        <v>658</v>
      </c>
      <c r="J591" s="898"/>
    </row>
    <row r="592" spans="1:10" s="896" customFormat="1" ht="17.149999999999999" customHeight="1">
      <c r="A592" s="1152" t="s">
        <v>1243</v>
      </c>
      <c r="B592" s="1153"/>
      <c r="C592" s="676"/>
      <c r="D592" s="897">
        <f t="shared" si="14"/>
        <v>0</v>
      </c>
      <c r="E592" s="899"/>
      <c r="F592" s="899"/>
      <c r="G592" s="899"/>
      <c r="H592" s="899"/>
      <c r="I592" s="1149" t="s">
        <v>658</v>
      </c>
      <c r="J592" s="898"/>
    </row>
    <row r="593" spans="1:10" s="896" customFormat="1" ht="17.149999999999999" customHeight="1">
      <c r="A593" s="1152" t="s">
        <v>1244</v>
      </c>
      <c r="B593" s="1153"/>
      <c r="C593" s="676"/>
      <c r="D593" s="897">
        <f t="shared" si="14"/>
        <v>-1480.413</v>
      </c>
      <c r="E593" s="899">
        <v>-1480.413</v>
      </c>
      <c r="F593" s="899"/>
      <c r="G593" s="899"/>
      <c r="H593" s="899"/>
      <c r="I593" s="1149" t="s">
        <v>658</v>
      </c>
      <c r="J593" s="898"/>
    </row>
    <row r="594" spans="1:10" s="896" customFormat="1" ht="34" customHeight="1">
      <c r="A594" s="1152" t="s">
        <v>1676</v>
      </c>
      <c r="B594" s="1153"/>
      <c r="C594" s="676"/>
      <c r="D594" s="897">
        <f t="shared" si="14"/>
        <v>-1.43</v>
      </c>
      <c r="E594" s="899">
        <v>-1.43</v>
      </c>
      <c r="F594" s="899"/>
      <c r="G594" s="899"/>
      <c r="H594" s="899"/>
      <c r="I594" s="1149" t="s">
        <v>658</v>
      </c>
      <c r="J594" s="898"/>
    </row>
    <row r="595" spans="1:10" s="896" customFormat="1" ht="17.149999999999999" customHeight="1">
      <c r="A595" s="1152" t="s">
        <v>1245</v>
      </c>
      <c r="B595" s="1153"/>
      <c r="C595" s="676"/>
      <c r="D595" s="897">
        <f t="shared" si="14"/>
        <v>-1.7030000000000001</v>
      </c>
      <c r="E595" s="899">
        <v>-1.7030000000000001</v>
      </c>
      <c r="F595" s="899"/>
      <c r="G595" s="899"/>
      <c r="H595" s="899"/>
      <c r="I595" s="1149" t="s">
        <v>658</v>
      </c>
      <c r="J595" s="898"/>
    </row>
    <row r="596" spans="1:10" s="896" customFormat="1" ht="17.149999999999999" customHeight="1">
      <c r="A596" s="1152" t="s">
        <v>1369</v>
      </c>
      <c r="B596" s="1153"/>
      <c r="C596" s="676"/>
      <c r="D596" s="897">
        <f t="shared" si="14"/>
        <v>-2E-3</v>
      </c>
      <c r="E596" s="899">
        <v>-2E-3</v>
      </c>
      <c r="F596" s="899"/>
      <c r="G596" s="899"/>
      <c r="H596" s="899"/>
      <c r="I596" s="1149" t="s">
        <v>658</v>
      </c>
      <c r="J596" s="898"/>
    </row>
    <row r="597" spans="1:10" s="896" customFormat="1" ht="17.149999999999999" customHeight="1">
      <c r="A597" s="1152" t="s">
        <v>1246</v>
      </c>
      <c r="B597" s="1153"/>
      <c r="C597" s="676"/>
      <c r="D597" s="897">
        <f t="shared" si="14"/>
        <v>-6.0000000000000001E-3</v>
      </c>
      <c r="E597" s="899">
        <v>-6.0000000000000001E-3</v>
      </c>
      <c r="F597" s="899"/>
      <c r="G597" s="899"/>
      <c r="H597" s="899"/>
      <c r="I597" s="1149" t="s">
        <v>658</v>
      </c>
      <c r="J597" s="898"/>
    </row>
    <row r="598" spans="1:10" s="896" customFormat="1" ht="17.149999999999999" customHeight="1">
      <c r="A598" s="1152" t="s">
        <v>1370</v>
      </c>
      <c r="B598" s="1153"/>
      <c r="C598" s="676"/>
      <c r="D598" s="897">
        <f t="shared" si="14"/>
        <v>0</v>
      </c>
      <c r="E598" s="899">
        <v>0</v>
      </c>
      <c r="F598" s="899"/>
      <c r="G598" s="899"/>
      <c r="H598" s="899"/>
      <c r="I598" s="1149" t="s">
        <v>658</v>
      </c>
      <c r="J598" s="898"/>
    </row>
    <row r="599" spans="1:10" s="896" customFormat="1" ht="17.149999999999999" customHeight="1">
      <c r="A599" s="1152" t="s">
        <v>1460</v>
      </c>
      <c r="B599" s="1153"/>
      <c r="C599" s="676"/>
      <c r="D599" s="897">
        <f t="shared" si="14"/>
        <v>2.5999999999999999E-2</v>
      </c>
      <c r="E599" s="899">
        <v>2.5999999999999999E-2</v>
      </c>
      <c r="F599" s="899"/>
      <c r="G599" s="899"/>
      <c r="H599" s="899"/>
      <c r="I599" s="1149" t="s">
        <v>658</v>
      </c>
      <c r="J599" s="898"/>
    </row>
    <row r="600" spans="1:10" s="896" customFormat="1" ht="17.149999999999999" customHeight="1">
      <c r="A600" s="1152" t="s">
        <v>1371</v>
      </c>
      <c r="B600" s="1153"/>
      <c r="C600" s="676"/>
      <c r="D600" s="897">
        <f t="shared" si="14"/>
        <v>0</v>
      </c>
      <c r="E600" s="899">
        <v>0</v>
      </c>
      <c r="F600" s="899"/>
      <c r="G600" s="899"/>
      <c r="H600" s="899"/>
      <c r="I600" s="1149" t="s">
        <v>658</v>
      </c>
      <c r="J600" s="898"/>
    </row>
    <row r="601" spans="1:10" s="896" customFormat="1" ht="17.149999999999999" customHeight="1">
      <c r="A601" s="1152" t="s">
        <v>1372</v>
      </c>
      <c r="B601" s="1153"/>
      <c r="C601" s="676"/>
      <c r="D601" s="897">
        <f t="shared" si="14"/>
        <v>1E-3</v>
      </c>
      <c r="E601" s="899">
        <v>1E-3</v>
      </c>
      <c r="F601" s="899"/>
      <c r="G601" s="899"/>
      <c r="H601" s="899"/>
      <c r="I601" s="1149" t="s">
        <v>658</v>
      </c>
      <c r="J601" s="898"/>
    </row>
    <row r="602" spans="1:10" s="896" customFormat="1" ht="17.149999999999999" customHeight="1">
      <c r="A602" s="1152" t="s">
        <v>1247</v>
      </c>
      <c r="B602" s="1153"/>
      <c r="C602" s="676"/>
      <c r="D602" s="897">
        <f t="shared" si="14"/>
        <v>-0.26700000000000002</v>
      </c>
      <c r="E602" s="899">
        <v>-0.26700000000000002</v>
      </c>
      <c r="F602" s="899"/>
      <c r="G602" s="899"/>
      <c r="H602" s="899"/>
      <c r="I602" s="1149" t="s">
        <v>658</v>
      </c>
      <c r="J602" s="898"/>
    </row>
    <row r="603" spans="1:10" s="896" customFormat="1" ht="17.149999999999999" customHeight="1">
      <c r="A603" s="1152" t="s">
        <v>1373</v>
      </c>
      <c r="B603" s="1153"/>
      <c r="C603" s="676"/>
      <c r="D603" s="897">
        <f t="shared" si="14"/>
        <v>-1E-3</v>
      </c>
      <c r="E603" s="899">
        <v>-1E-3</v>
      </c>
      <c r="F603" s="899"/>
      <c r="G603" s="899"/>
      <c r="H603" s="899"/>
      <c r="I603" s="1149" t="s">
        <v>658</v>
      </c>
      <c r="J603" s="898"/>
    </row>
    <row r="604" spans="1:10" s="896" customFormat="1" ht="17.149999999999999" customHeight="1">
      <c r="A604" s="1152" t="s">
        <v>1374</v>
      </c>
      <c r="B604" s="1153"/>
      <c r="C604" s="676"/>
      <c r="D604" s="897">
        <f t="shared" si="14"/>
        <v>-1E-3</v>
      </c>
      <c r="E604" s="899">
        <v>-1E-3</v>
      </c>
      <c r="F604" s="899"/>
      <c r="G604" s="899"/>
      <c r="H604" s="899"/>
      <c r="I604" s="1149" t="s">
        <v>658</v>
      </c>
      <c r="J604" s="898"/>
    </row>
    <row r="605" spans="1:10" s="896" customFormat="1" ht="17.149999999999999" customHeight="1">
      <c r="A605" s="1152" t="s">
        <v>1248</v>
      </c>
      <c r="B605" s="1153"/>
      <c r="C605" s="676"/>
      <c r="D605" s="897">
        <f t="shared" si="14"/>
        <v>-7.5999999999999998E-2</v>
      </c>
      <c r="E605" s="899">
        <v>-7.5999999999999998E-2</v>
      </c>
      <c r="F605" s="899"/>
      <c r="G605" s="899"/>
      <c r="H605" s="899"/>
      <c r="I605" s="1149" t="s">
        <v>658</v>
      </c>
      <c r="J605" s="898"/>
    </row>
    <row r="606" spans="1:10" s="896" customFormat="1" ht="17.149999999999999" customHeight="1">
      <c r="A606" s="1152" t="s">
        <v>1249</v>
      </c>
      <c r="B606" s="1153"/>
      <c r="C606" s="676"/>
      <c r="D606" s="897">
        <f t="shared" si="14"/>
        <v>0</v>
      </c>
      <c r="E606" s="899"/>
      <c r="F606" s="899"/>
      <c r="G606" s="899"/>
      <c r="H606" s="899"/>
      <c r="I606" s="1149" t="s">
        <v>658</v>
      </c>
      <c r="J606" s="898"/>
    </row>
    <row r="607" spans="1:10" s="896" customFormat="1" ht="17.149999999999999" customHeight="1">
      <c r="A607" s="1152" t="s">
        <v>1250</v>
      </c>
      <c r="B607" s="1153"/>
      <c r="C607" s="676"/>
      <c r="D607" s="897">
        <f t="shared" si="14"/>
        <v>-1.7999999999999999E-2</v>
      </c>
      <c r="E607" s="899">
        <v>-1.7999999999999999E-2</v>
      </c>
      <c r="F607" s="899"/>
      <c r="G607" s="899"/>
      <c r="H607" s="899"/>
      <c r="I607" s="1149" t="s">
        <v>658</v>
      </c>
      <c r="J607" s="898"/>
    </row>
    <row r="608" spans="1:10" s="896" customFormat="1" ht="17.149999999999999" customHeight="1">
      <c r="A608" s="1152" t="s">
        <v>1251</v>
      </c>
      <c r="B608" s="1153"/>
      <c r="C608" s="676"/>
      <c r="D608" s="897">
        <f t="shared" si="14"/>
        <v>-226.541</v>
      </c>
      <c r="E608" s="899">
        <v>-226.541</v>
      </c>
      <c r="F608" s="899"/>
      <c r="G608" s="899"/>
      <c r="H608" s="899"/>
      <c r="I608" s="1149" t="s">
        <v>658</v>
      </c>
      <c r="J608" s="898"/>
    </row>
    <row r="609" spans="1:10" s="896" customFormat="1" ht="17.149999999999999" customHeight="1">
      <c r="A609" s="1152" t="s">
        <v>1375</v>
      </c>
      <c r="B609" s="1153"/>
      <c r="C609" s="676"/>
      <c r="D609" s="897">
        <f t="shared" si="14"/>
        <v>-1.089</v>
      </c>
      <c r="E609" s="899">
        <v>-1.089</v>
      </c>
      <c r="F609" s="899"/>
      <c r="G609" s="899"/>
      <c r="H609" s="899"/>
      <c r="I609" s="1149" t="s">
        <v>658</v>
      </c>
      <c r="J609" s="898"/>
    </row>
    <row r="610" spans="1:10" s="896" customFormat="1" ht="17.149999999999999" customHeight="1">
      <c r="A610" s="1152" t="s">
        <v>1252</v>
      </c>
      <c r="B610" s="1153"/>
      <c r="C610" s="676"/>
      <c r="D610" s="897">
        <f t="shared" si="14"/>
        <v>6.3E-2</v>
      </c>
      <c r="E610" s="899">
        <v>6.3E-2</v>
      </c>
      <c r="F610" s="899"/>
      <c r="G610" s="899"/>
      <c r="H610" s="899"/>
      <c r="I610" s="1149" t="s">
        <v>658</v>
      </c>
      <c r="J610" s="898"/>
    </row>
    <row r="611" spans="1:10" s="896" customFormat="1" ht="17.149999999999999" customHeight="1">
      <c r="A611" s="1152" t="s">
        <v>1253</v>
      </c>
      <c r="B611" s="1153"/>
      <c r="C611" s="676"/>
      <c r="D611" s="897">
        <f t="shared" si="14"/>
        <v>0</v>
      </c>
      <c r="E611" s="899">
        <v>0</v>
      </c>
      <c r="F611" s="899"/>
      <c r="G611" s="899"/>
      <c r="H611" s="899"/>
      <c r="I611" s="1149" t="s">
        <v>658</v>
      </c>
      <c r="J611" s="898"/>
    </row>
    <row r="612" spans="1:10" s="896" customFormat="1" ht="17.149999999999999" customHeight="1">
      <c r="A612" s="1152" t="s">
        <v>1376</v>
      </c>
      <c r="B612" s="1153"/>
      <c r="C612" s="676"/>
      <c r="D612" s="897">
        <f t="shared" si="14"/>
        <v>0.627</v>
      </c>
      <c r="E612" s="899">
        <v>0.627</v>
      </c>
      <c r="F612" s="899"/>
      <c r="G612" s="899"/>
      <c r="H612" s="899"/>
      <c r="I612" s="1149" t="s">
        <v>658</v>
      </c>
      <c r="J612" s="898"/>
    </row>
    <row r="613" spans="1:10" s="896" customFormat="1" ht="17.149999999999999" customHeight="1">
      <c r="A613" s="1152" t="s">
        <v>1254</v>
      </c>
      <c r="B613" s="1153"/>
      <c r="C613" s="676"/>
      <c r="D613" s="897">
        <f t="shared" si="14"/>
        <v>0</v>
      </c>
      <c r="E613" s="899">
        <v>0</v>
      </c>
      <c r="F613" s="899"/>
      <c r="G613" s="899"/>
      <c r="H613" s="899"/>
      <c r="I613" s="1149" t="s">
        <v>658</v>
      </c>
      <c r="J613" s="898"/>
    </row>
    <row r="614" spans="1:10" s="896" customFormat="1" ht="17.149999999999999" customHeight="1">
      <c r="A614" s="1152" t="s">
        <v>1377</v>
      </c>
      <c r="B614" s="1153"/>
      <c r="C614" s="676"/>
      <c r="D614" s="897">
        <f t="shared" si="14"/>
        <v>-0.12</v>
      </c>
      <c r="E614" s="899">
        <v>-0.12</v>
      </c>
      <c r="F614" s="899"/>
      <c r="G614" s="899"/>
      <c r="H614" s="899"/>
      <c r="I614" s="1149" t="s">
        <v>658</v>
      </c>
      <c r="J614" s="898"/>
    </row>
    <row r="615" spans="1:10" s="896" customFormat="1" ht="17.149999999999999" customHeight="1">
      <c r="A615" s="1152" t="s">
        <v>1255</v>
      </c>
      <c r="B615" s="1153"/>
      <c r="C615" s="676"/>
      <c r="D615" s="897">
        <f t="shared" si="14"/>
        <v>-63.643999999999998</v>
      </c>
      <c r="E615" s="899">
        <v>-63.643999999999998</v>
      </c>
      <c r="F615" s="899"/>
      <c r="G615" s="899"/>
      <c r="H615" s="899"/>
      <c r="I615" s="1149" t="s">
        <v>658</v>
      </c>
      <c r="J615" s="898"/>
    </row>
    <row r="616" spans="1:10" s="896" customFormat="1" ht="17.149999999999999" customHeight="1">
      <c r="A616" s="1152" t="s">
        <v>1256</v>
      </c>
      <c r="B616" s="1153"/>
      <c r="C616" s="676"/>
      <c r="D616" s="897">
        <f t="shared" si="14"/>
        <v>-0.104</v>
      </c>
      <c r="E616" s="899">
        <v>-0.104</v>
      </c>
      <c r="F616" s="899"/>
      <c r="G616" s="899"/>
      <c r="H616" s="899"/>
      <c r="I616" s="1149" t="s">
        <v>658</v>
      </c>
      <c r="J616" s="898"/>
    </row>
    <row r="617" spans="1:10" s="896" customFormat="1" ht="17.149999999999999" customHeight="1">
      <c r="A617" s="1152" t="s">
        <v>1378</v>
      </c>
      <c r="B617" s="1153"/>
      <c r="C617" s="676"/>
      <c r="D617" s="897">
        <f t="shared" si="14"/>
        <v>0.315</v>
      </c>
      <c r="E617" s="899">
        <v>0.315</v>
      </c>
      <c r="F617" s="899"/>
      <c r="G617" s="899"/>
      <c r="H617" s="899"/>
      <c r="I617" s="1149" t="s">
        <v>658</v>
      </c>
      <c r="J617" s="898"/>
    </row>
    <row r="618" spans="1:10" s="896" customFormat="1" ht="17.149999999999999" customHeight="1">
      <c r="A618" s="1152" t="s">
        <v>1257</v>
      </c>
      <c r="B618" s="1153"/>
      <c r="C618" s="895"/>
      <c r="D618" s="897">
        <f t="shared" si="14"/>
        <v>-5.6779999999999999</v>
      </c>
      <c r="E618" s="899">
        <v>-5.6779999999999999</v>
      </c>
      <c r="F618" s="899"/>
      <c r="G618" s="899"/>
      <c r="H618" s="899"/>
      <c r="I618" s="1149" t="s">
        <v>658</v>
      </c>
      <c r="J618" s="898"/>
    </row>
    <row r="619" spans="1:10" s="896" customFormat="1" ht="17.149999999999999" customHeight="1">
      <c r="A619" s="1152" t="s">
        <v>1258</v>
      </c>
      <c r="B619" s="1153"/>
      <c r="C619" s="676"/>
      <c r="D619" s="897">
        <f t="shared" si="14"/>
        <v>0</v>
      </c>
      <c r="E619" s="899"/>
      <c r="F619" s="899"/>
      <c r="G619" s="899"/>
      <c r="H619" s="899"/>
      <c r="I619" s="1149" t="s">
        <v>658</v>
      </c>
      <c r="J619" s="898"/>
    </row>
    <row r="620" spans="1:10" s="896" customFormat="1" ht="17.149999999999999" customHeight="1">
      <c r="A620" s="1152" t="s">
        <v>1259</v>
      </c>
      <c r="B620" s="1153"/>
      <c r="C620" s="676"/>
      <c r="D620" s="897">
        <f t="shared" si="14"/>
        <v>0</v>
      </c>
      <c r="E620" s="899"/>
      <c r="F620" s="899"/>
      <c r="G620" s="899"/>
      <c r="H620" s="899"/>
      <c r="I620" s="1149" t="s">
        <v>658</v>
      </c>
      <c r="J620" s="898"/>
    </row>
    <row r="621" spans="1:10" s="896" customFormat="1" ht="17.149999999999999" customHeight="1">
      <c r="A621" s="1152" t="s">
        <v>1260</v>
      </c>
      <c r="B621" s="1153"/>
      <c r="C621" s="676"/>
      <c r="D621" s="897">
        <f t="shared" si="14"/>
        <v>-13.763</v>
      </c>
      <c r="E621" s="899">
        <v>-13.763</v>
      </c>
      <c r="F621" s="899"/>
      <c r="G621" s="899"/>
      <c r="H621" s="899"/>
      <c r="I621" s="1149" t="s">
        <v>658</v>
      </c>
      <c r="J621" s="898"/>
    </row>
    <row r="622" spans="1:10" s="896" customFormat="1" ht="17.149999999999999" customHeight="1">
      <c r="A622" s="1152" t="s">
        <v>1261</v>
      </c>
      <c r="B622" s="1153"/>
      <c r="C622" s="676"/>
      <c r="D622" s="897">
        <f t="shared" si="14"/>
        <v>-4642.5069999999996</v>
      </c>
      <c r="E622" s="899">
        <v>-4642.5069999999996</v>
      </c>
      <c r="F622" s="899"/>
      <c r="G622" s="899"/>
      <c r="H622" s="899"/>
      <c r="I622" s="1149" t="s">
        <v>658</v>
      </c>
      <c r="J622" s="898"/>
    </row>
    <row r="623" spans="1:10" s="896" customFormat="1" ht="17.149999999999999" customHeight="1">
      <c r="A623" s="1152" t="s">
        <v>1379</v>
      </c>
      <c r="B623" s="1153"/>
      <c r="C623" s="676"/>
      <c r="D623" s="897">
        <f t="shared" si="14"/>
        <v>-18.123999999999999</v>
      </c>
      <c r="E623" s="899">
        <v>-18.123999999999999</v>
      </c>
      <c r="F623" s="899"/>
      <c r="G623" s="899"/>
      <c r="H623" s="899"/>
      <c r="I623" s="1149" t="s">
        <v>658</v>
      </c>
      <c r="J623" s="898"/>
    </row>
    <row r="624" spans="1:10" s="896" customFormat="1" ht="17.149999999999999" customHeight="1">
      <c r="A624" s="1152" t="s">
        <v>1262</v>
      </c>
      <c r="B624" s="1153"/>
      <c r="C624" s="676"/>
      <c r="D624" s="897">
        <f t="shared" si="14"/>
        <v>2.2429999999999999</v>
      </c>
      <c r="E624" s="899">
        <v>2.2429999999999999</v>
      </c>
      <c r="F624" s="899"/>
      <c r="G624" s="899"/>
      <c r="H624" s="899"/>
      <c r="I624" s="1149" t="s">
        <v>658</v>
      </c>
      <c r="J624" s="898"/>
    </row>
    <row r="625" spans="1:10" s="896" customFormat="1" ht="17.149999999999999" customHeight="1">
      <c r="A625" s="1152" t="s">
        <v>1263</v>
      </c>
      <c r="B625" s="1153"/>
      <c r="C625" s="676"/>
      <c r="D625" s="897">
        <f t="shared" si="14"/>
        <v>0</v>
      </c>
      <c r="E625" s="899">
        <v>0</v>
      </c>
      <c r="F625" s="899"/>
      <c r="G625" s="899"/>
      <c r="H625" s="899"/>
      <c r="I625" s="1149" t="s">
        <v>658</v>
      </c>
      <c r="J625" s="898"/>
    </row>
    <row r="626" spans="1:10" s="896" customFormat="1" ht="17.149999999999999" customHeight="1">
      <c r="A626" s="1152" t="s">
        <v>1461</v>
      </c>
      <c r="B626" s="1153"/>
      <c r="C626" s="676"/>
      <c r="D626" s="897">
        <f t="shared" si="14"/>
        <v>45.316000000000003</v>
      </c>
      <c r="E626" s="899">
        <v>45.316000000000003</v>
      </c>
      <c r="F626" s="899"/>
      <c r="G626" s="899"/>
      <c r="H626" s="899"/>
      <c r="I626" s="1149" t="s">
        <v>658</v>
      </c>
      <c r="J626" s="898"/>
    </row>
    <row r="627" spans="1:10" s="896" customFormat="1" ht="17.149999999999999" customHeight="1">
      <c r="A627" s="1152" t="s">
        <v>1264</v>
      </c>
      <c r="B627" s="1153"/>
      <c r="C627" s="676"/>
      <c r="D627" s="897">
        <f t="shared" si="14"/>
        <v>0</v>
      </c>
      <c r="E627" s="899"/>
      <c r="F627" s="899"/>
      <c r="G627" s="899"/>
      <c r="H627" s="899"/>
      <c r="I627" s="1149" t="s">
        <v>658</v>
      </c>
      <c r="J627" s="898"/>
    </row>
    <row r="628" spans="1:10" s="896" customFormat="1" ht="17.149999999999999" customHeight="1">
      <c r="A628" s="1152" t="s">
        <v>1265</v>
      </c>
      <c r="B628" s="1153"/>
      <c r="C628" s="676"/>
      <c r="D628" s="897">
        <f t="shared" si="14"/>
        <v>0</v>
      </c>
      <c r="E628" s="899">
        <v>0</v>
      </c>
      <c r="F628" s="899"/>
      <c r="G628" s="899"/>
      <c r="H628" s="899"/>
      <c r="I628" s="1149" t="s">
        <v>658</v>
      </c>
      <c r="J628" s="898"/>
    </row>
    <row r="629" spans="1:10" s="896" customFormat="1" ht="17.149999999999999" customHeight="1">
      <c r="A629" s="1152" t="s">
        <v>1380</v>
      </c>
      <c r="B629" s="1153"/>
      <c r="C629" s="676"/>
      <c r="D629" s="897">
        <f t="shared" si="14"/>
        <v>-1.2889999999999999</v>
      </c>
      <c r="E629" s="899">
        <v>-1.2889999999999999</v>
      </c>
      <c r="F629" s="899"/>
      <c r="G629" s="899"/>
      <c r="H629" s="899"/>
      <c r="I629" s="1149" t="s">
        <v>658</v>
      </c>
      <c r="J629" s="898"/>
    </row>
    <row r="630" spans="1:10" s="896" customFormat="1" ht="17.149999999999999" customHeight="1">
      <c r="A630" s="1152" t="s">
        <v>1266</v>
      </c>
      <c r="B630" s="1153"/>
      <c r="C630" s="676"/>
      <c r="D630" s="897">
        <f t="shared" si="14"/>
        <v>-1355.125</v>
      </c>
      <c r="E630" s="899">
        <v>-1355.125</v>
      </c>
      <c r="F630" s="899"/>
      <c r="G630" s="899"/>
      <c r="H630" s="899"/>
      <c r="I630" s="1149" t="s">
        <v>658</v>
      </c>
      <c r="J630" s="898"/>
    </row>
    <row r="631" spans="1:10" s="896" customFormat="1" ht="17.149999999999999" customHeight="1">
      <c r="A631" s="1152" t="s">
        <v>1267</v>
      </c>
      <c r="B631" s="1153"/>
      <c r="C631" s="676"/>
      <c r="D631" s="897">
        <f t="shared" si="14"/>
        <v>-2.4319999999999999</v>
      </c>
      <c r="E631" s="899">
        <v>-2.4319999999999999</v>
      </c>
      <c r="F631" s="899"/>
      <c r="G631" s="899"/>
      <c r="H631" s="899"/>
      <c r="I631" s="1149" t="s">
        <v>658</v>
      </c>
      <c r="J631" s="898"/>
    </row>
    <row r="632" spans="1:10" s="896" customFormat="1" ht="17.149999999999999" customHeight="1">
      <c r="A632" s="1152" t="s">
        <v>1381</v>
      </c>
      <c r="B632" s="1153"/>
      <c r="C632" s="676"/>
      <c r="D632" s="897">
        <f t="shared" si="14"/>
        <v>9.9329999999999998</v>
      </c>
      <c r="E632" s="899">
        <v>9.9329999999999998</v>
      </c>
      <c r="F632" s="899"/>
      <c r="G632" s="899"/>
      <c r="H632" s="899"/>
      <c r="I632" s="1149" t="s">
        <v>658</v>
      </c>
      <c r="J632" s="898"/>
    </row>
    <row r="633" spans="1:10" s="896" customFormat="1" ht="17.149999999999999" customHeight="1">
      <c r="A633" s="1152" t="s">
        <v>1268</v>
      </c>
      <c r="B633" s="1153"/>
      <c r="C633" s="676"/>
      <c r="D633" s="897">
        <f t="shared" si="14"/>
        <v>-118.291</v>
      </c>
      <c r="E633" s="899">
        <v>-118.291</v>
      </c>
      <c r="F633" s="899"/>
      <c r="G633" s="899"/>
      <c r="H633" s="899"/>
      <c r="I633" s="1149" t="s">
        <v>658</v>
      </c>
      <c r="J633" s="898"/>
    </row>
    <row r="634" spans="1:10" s="896" customFormat="1" ht="17.149999999999999" customHeight="1">
      <c r="A634" s="1152" t="s">
        <v>1269</v>
      </c>
      <c r="B634" s="1153"/>
      <c r="C634" s="676"/>
      <c r="D634" s="897">
        <f t="shared" si="14"/>
        <v>0</v>
      </c>
      <c r="E634" s="899"/>
      <c r="F634" s="899"/>
      <c r="G634" s="899"/>
      <c r="H634" s="899"/>
      <c r="I634" s="1149" t="s">
        <v>658</v>
      </c>
      <c r="J634" s="898"/>
    </row>
    <row r="635" spans="1:10" s="896" customFormat="1" ht="17.149999999999999" customHeight="1">
      <c r="A635" s="1152" t="s">
        <v>1270</v>
      </c>
      <c r="B635" s="1153"/>
      <c r="C635" s="676"/>
      <c r="D635" s="897">
        <f t="shared" si="14"/>
        <v>0</v>
      </c>
      <c r="E635" s="899"/>
      <c r="F635" s="899"/>
      <c r="G635" s="899"/>
      <c r="H635" s="899"/>
      <c r="I635" s="1149" t="s">
        <v>658</v>
      </c>
      <c r="J635" s="898"/>
    </row>
    <row r="636" spans="1:10" s="896" customFormat="1" ht="17.149999999999999" customHeight="1">
      <c r="A636" s="1152" t="s">
        <v>1271</v>
      </c>
      <c r="B636" s="1153"/>
      <c r="C636" s="676"/>
      <c r="D636" s="897">
        <f t="shared" si="14"/>
        <v>-252.834</v>
      </c>
      <c r="E636" s="899">
        <v>-252.834</v>
      </c>
      <c r="F636" s="899"/>
      <c r="G636" s="899"/>
      <c r="H636" s="899"/>
      <c r="I636" s="1149" t="s">
        <v>658</v>
      </c>
      <c r="J636" s="898"/>
    </row>
    <row r="637" spans="1:10" s="896" customFormat="1" ht="17.149999999999999" customHeight="1">
      <c r="A637" s="1152" t="s">
        <v>1272</v>
      </c>
      <c r="B637" s="1153"/>
      <c r="C637" s="676"/>
      <c r="D637" s="897">
        <f t="shared" si="14"/>
        <v>-139.92599999999999</v>
      </c>
      <c r="E637" s="899">
        <v>-139.92599999999999</v>
      </c>
      <c r="F637" s="899"/>
      <c r="G637" s="899"/>
      <c r="H637" s="899"/>
      <c r="I637" s="1149" t="s">
        <v>658</v>
      </c>
      <c r="J637" s="898"/>
    </row>
    <row r="638" spans="1:10" s="896" customFormat="1" ht="17.149999999999999" customHeight="1">
      <c r="A638" s="1152" t="s">
        <v>1382</v>
      </c>
      <c r="B638" s="1153"/>
      <c r="C638" s="676"/>
      <c r="D638" s="897">
        <f t="shared" si="14"/>
        <v>-0.56000000000000005</v>
      </c>
      <c r="E638" s="899">
        <v>-0.56000000000000005</v>
      </c>
      <c r="F638" s="899"/>
      <c r="G638" s="899"/>
      <c r="H638" s="899"/>
      <c r="I638" s="1149" t="s">
        <v>658</v>
      </c>
      <c r="J638" s="898"/>
    </row>
    <row r="639" spans="1:10" s="896" customFormat="1" ht="17.149999999999999" customHeight="1">
      <c r="A639" s="1152" t="s">
        <v>1273</v>
      </c>
      <c r="B639" s="1153"/>
      <c r="C639" s="676"/>
      <c r="D639" s="897">
        <f t="shared" si="14"/>
        <v>8.3000000000000004E-2</v>
      </c>
      <c r="E639" s="899">
        <v>8.3000000000000004E-2</v>
      </c>
      <c r="F639" s="899"/>
      <c r="G639" s="899"/>
      <c r="H639" s="899"/>
      <c r="I639" s="1149" t="s">
        <v>658</v>
      </c>
      <c r="J639" s="898"/>
    </row>
    <row r="640" spans="1:10" s="896" customFormat="1" ht="17.149999999999999" customHeight="1">
      <c r="A640" s="1152" t="s">
        <v>1274</v>
      </c>
      <c r="B640" s="1153"/>
      <c r="C640" s="676"/>
      <c r="D640" s="897">
        <f t="shared" si="14"/>
        <v>0</v>
      </c>
      <c r="E640" s="899">
        <v>0</v>
      </c>
      <c r="F640" s="899"/>
      <c r="G640" s="899"/>
      <c r="H640" s="899"/>
      <c r="I640" s="1149" t="s">
        <v>658</v>
      </c>
      <c r="J640" s="898"/>
    </row>
    <row r="641" spans="1:10" s="896" customFormat="1" ht="17.149999999999999" customHeight="1">
      <c r="A641" s="1152" t="s">
        <v>1383</v>
      </c>
      <c r="B641" s="1153"/>
      <c r="C641" s="676"/>
      <c r="D641" s="897">
        <f t="shared" si="14"/>
        <v>1.3420000000000001</v>
      </c>
      <c r="E641" s="899">
        <v>1.3420000000000001</v>
      </c>
      <c r="F641" s="899"/>
      <c r="G641" s="899"/>
      <c r="H641" s="899"/>
      <c r="I641" s="1149" t="s">
        <v>658</v>
      </c>
      <c r="J641" s="898"/>
    </row>
    <row r="642" spans="1:10" s="896" customFormat="1" ht="17.149999999999999" customHeight="1">
      <c r="A642" s="1152" t="s">
        <v>1275</v>
      </c>
      <c r="B642" s="1153"/>
      <c r="C642" s="676"/>
      <c r="D642" s="897">
        <f t="shared" si="14"/>
        <v>0</v>
      </c>
      <c r="E642" s="899">
        <v>0</v>
      </c>
      <c r="F642" s="899"/>
      <c r="G642" s="899"/>
      <c r="H642" s="899"/>
      <c r="I642" s="1149" t="s">
        <v>658</v>
      </c>
      <c r="J642" s="898"/>
    </row>
    <row r="643" spans="1:10" s="896" customFormat="1" ht="17.149999999999999" customHeight="1">
      <c r="A643" s="1152" t="s">
        <v>1384</v>
      </c>
      <c r="B643" s="1153"/>
      <c r="C643" s="677"/>
      <c r="D643" s="897">
        <f t="shared" si="14"/>
        <v>-3.7999999999999999E-2</v>
      </c>
      <c r="E643" s="899">
        <v>-3.7999999999999999E-2</v>
      </c>
      <c r="F643" s="899"/>
      <c r="G643" s="899"/>
      <c r="H643" s="899"/>
      <c r="I643" s="1149" t="s">
        <v>658</v>
      </c>
      <c r="J643" s="898"/>
    </row>
    <row r="644" spans="1:10" s="896" customFormat="1" ht="17.149999999999999" customHeight="1">
      <c r="A644" s="1152" t="s">
        <v>1276</v>
      </c>
      <c r="B644" s="1153"/>
      <c r="C644" s="676"/>
      <c r="D644" s="897">
        <f t="shared" si="14"/>
        <v>-41.456000000000003</v>
      </c>
      <c r="E644" s="899">
        <v>-41.456000000000003</v>
      </c>
      <c r="F644" s="899"/>
      <c r="G644" s="899"/>
      <c r="H644" s="899"/>
      <c r="I644" s="1149" t="s">
        <v>658</v>
      </c>
      <c r="J644" s="898"/>
    </row>
    <row r="645" spans="1:10" s="896" customFormat="1" ht="17.149999999999999" customHeight="1">
      <c r="A645" s="1152" t="s">
        <v>1277</v>
      </c>
      <c r="B645" s="1153"/>
      <c r="C645" s="676"/>
      <c r="D645" s="897">
        <f t="shared" si="14"/>
        <v>-7.2999999999999995E-2</v>
      </c>
      <c r="E645" s="899">
        <v>-7.2999999999999995E-2</v>
      </c>
      <c r="F645" s="899"/>
      <c r="G645" s="899"/>
      <c r="H645" s="899"/>
      <c r="I645" s="1149" t="s">
        <v>658</v>
      </c>
      <c r="J645" s="898"/>
    </row>
    <row r="646" spans="1:10" s="896" customFormat="1" ht="17.149999999999999" customHeight="1">
      <c r="A646" s="1152" t="s">
        <v>1385</v>
      </c>
      <c r="B646" s="1153"/>
      <c r="C646" s="676"/>
      <c r="D646" s="897">
        <f t="shared" si="14"/>
        <v>0.307</v>
      </c>
      <c r="E646" s="899">
        <v>0.307</v>
      </c>
      <c r="F646" s="899"/>
      <c r="G646" s="899"/>
      <c r="H646" s="899"/>
      <c r="I646" s="1149" t="s">
        <v>658</v>
      </c>
      <c r="J646" s="898"/>
    </row>
    <row r="647" spans="1:10" s="896" customFormat="1" ht="17.149999999999999" customHeight="1">
      <c r="A647" s="1152" t="s">
        <v>1278</v>
      </c>
      <c r="B647" s="1153"/>
      <c r="C647" s="676"/>
      <c r="D647" s="897">
        <f t="shared" ref="D647:D710" si="15">SUM(E647:H647)</f>
        <v>-3.4910000000000001</v>
      </c>
      <c r="E647" s="899">
        <v>-3.4910000000000001</v>
      </c>
      <c r="F647" s="899"/>
      <c r="G647" s="899"/>
      <c r="H647" s="899"/>
      <c r="I647" s="1149" t="s">
        <v>658</v>
      </c>
      <c r="J647" s="898"/>
    </row>
    <row r="648" spans="1:10" s="896" customFormat="1" ht="17.149999999999999" customHeight="1">
      <c r="A648" s="1152" t="s">
        <v>1279</v>
      </c>
      <c r="B648" s="1153"/>
      <c r="C648" s="676"/>
      <c r="D648" s="897">
        <f t="shared" si="15"/>
        <v>0</v>
      </c>
      <c r="E648" s="899"/>
      <c r="F648" s="899"/>
      <c r="G648" s="899"/>
      <c r="H648" s="899"/>
      <c r="I648" s="1149" t="s">
        <v>658</v>
      </c>
      <c r="J648" s="898"/>
    </row>
    <row r="649" spans="1:10" s="896" customFormat="1" ht="17.149999999999999" customHeight="1">
      <c r="A649" s="1152" t="s">
        <v>1280</v>
      </c>
      <c r="B649" s="1153"/>
      <c r="C649" s="676"/>
      <c r="D649" s="897">
        <f t="shared" si="15"/>
        <v>0</v>
      </c>
      <c r="E649" s="899"/>
      <c r="F649" s="899"/>
      <c r="G649" s="899"/>
      <c r="H649" s="899"/>
      <c r="I649" s="1149" t="s">
        <v>658</v>
      </c>
      <c r="J649" s="898"/>
    </row>
    <row r="650" spans="1:10" s="896" customFormat="1" ht="17.149999999999999" customHeight="1">
      <c r="A650" s="1152" t="s">
        <v>1281</v>
      </c>
      <c r="B650" s="1153"/>
      <c r="C650" s="676"/>
      <c r="D650" s="897">
        <f t="shared" si="15"/>
        <v>-7.8209999999999997</v>
      </c>
      <c r="E650" s="899">
        <v>-7.8209999999999997</v>
      </c>
      <c r="F650" s="899"/>
      <c r="G650" s="899"/>
      <c r="H650" s="899"/>
      <c r="I650" s="1149" t="s">
        <v>658</v>
      </c>
      <c r="J650" s="898"/>
    </row>
    <row r="651" spans="1:10" s="896" customFormat="1" ht="17.149999999999999" customHeight="1">
      <c r="A651" s="1152" t="s">
        <v>1282</v>
      </c>
      <c r="B651" s="1153"/>
      <c r="C651" s="677"/>
      <c r="D651" s="897">
        <f t="shared" si="15"/>
        <v>-2.3690000000000002</v>
      </c>
      <c r="E651" s="899">
        <v>-2.3690000000000002</v>
      </c>
      <c r="F651" s="899"/>
      <c r="G651" s="899"/>
      <c r="H651" s="899"/>
      <c r="I651" s="1149" t="s">
        <v>658</v>
      </c>
      <c r="J651" s="898"/>
    </row>
    <row r="652" spans="1:10" s="896" customFormat="1" ht="17.149999999999999" customHeight="1">
      <c r="A652" s="1152" t="s">
        <v>1283</v>
      </c>
      <c r="B652" s="1153"/>
      <c r="C652" s="676"/>
      <c r="D652" s="897">
        <f t="shared" si="15"/>
        <v>0</v>
      </c>
      <c r="E652" s="899"/>
      <c r="F652" s="899"/>
      <c r="G652" s="899"/>
      <c r="H652" s="899"/>
      <c r="I652" s="1149" t="s">
        <v>658</v>
      </c>
      <c r="J652" s="898"/>
    </row>
    <row r="653" spans="1:10" s="896" customFormat="1" ht="17.149999999999999" customHeight="1">
      <c r="A653" s="1152" t="s">
        <v>1284</v>
      </c>
      <c r="B653" s="1153"/>
      <c r="C653" s="676"/>
      <c r="D653" s="897">
        <f t="shared" si="15"/>
        <v>0</v>
      </c>
      <c r="E653" s="899"/>
      <c r="F653" s="899"/>
      <c r="G653" s="899"/>
      <c r="H653" s="899"/>
      <c r="I653" s="1149" t="s">
        <v>658</v>
      </c>
      <c r="J653" s="898"/>
    </row>
    <row r="654" spans="1:10" s="896" customFormat="1" ht="17.149999999999999" customHeight="1">
      <c r="A654" s="1152" t="s">
        <v>1285</v>
      </c>
      <c r="B654" s="1153"/>
      <c r="C654" s="676"/>
      <c r="D654" s="897">
        <f t="shared" si="15"/>
        <v>0</v>
      </c>
      <c r="E654" s="899">
        <v>0</v>
      </c>
      <c r="F654" s="899"/>
      <c r="G654" s="899"/>
      <c r="H654" s="899"/>
      <c r="I654" s="1149" t="s">
        <v>658</v>
      </c>
      <c r="J654" s="898"/>
    </row>
    <row r="655" spans="1:10" s="896" customFormat="1" ht="17.149999999999999" customHeight="1">
      <c r="A655" s="1152" t="s">
        <v>1286</v>
      </c>
      <c r="B655" s="1153"/>
      <c r="C655" s="676"/>
      <c r="D655" s="897">
        <f t="shared" si="15"/>
        <v>-51.463000000000001</v>
      </c>
      <c r="E655" s="899">
        <v>-51.463000000000001</v>
      </c>
      <c r="F655" s="899"/>
      <c r="G655" s="899"/>
      <c r="H655" s="899"/>
      <c r="I655" s="1149" t="s">
        <v>658</v>
      </c>
      <c r="J655" s="898"/>
    </row>
    <row r="656" spans="1:10" s="896" customFormat="1" ht="17.149999999999999" customHeight="1">
      <c r="A656" s="1152" t="s">
        <v>1287</v>
      </c>
      <c r="B656" s="1153"/>
      <c r="C656" s="676"/>
      <c r="D656" s="897">
        <f t="shared" si="15"/>
        <v>-4.702</v>
      </c>
      <c r="E656" s="899">
        <v>-4.702</v>
      </c>
      <c r="F656" s="899"/>
      <c r="G656" s="899"/>
      <c r="H656" s="899"/>
      <c r="I656" s="1149" t="s">
        <v>658</v>
      </c>
      <c r="J656" s="898"/>
    </row>
    <row r="657" spans="1:10" s="896" customFormat="1" ht="17.149999999999999" customHeight="1">
      <c r="A657" s="1152" t="s">
        <v>1288</v>
      </c>
      <c r="B657" s="1153"/>
      <c r="C657" s="676"/>
      <c r="D657" s="897">
        <f t="shared" si="15"/>
        <v>-339.47199999999998</v>
      </c>
      <c r="E657" s="899">
        <v>-339.47199999999998</v>
      </c>
      <c r="F657" s="899"/>
      <c r="G657" s="899"/>
      <c r="H657" s="899"/>
      <c r="I657" s="1149" t="s">
        <v>658</v>
      </c>
      <c r="J657" s="898"/>
    </row>
    <row r="658" spans="1:10" s="896" customFormat="1" ht="17.149999999999999" customHeight="1">
      <c r="A658" s="1152" t="s">
        <v>1677</v>
      </c>
      <c r="B658" s="1153"/>
      <c r="C658" s="676"/>
      <c r="D658" s="897">
        <f t="shared" si="15"/>
        <v>1E-3</v>
      </c>
      <c r="E658" s="899">
        <v>1E-3</v>
      </c>
      <c r="F658" s="899"/>
      <c r="G658" s="899"/>
      <c r="H658" s="899"/>
      <c r="I658" s="1149" t="s">
        <v>658</v>
      </c>
      <c r="J658" s="898"/>
    </row>
    <row r="659" spans="1:10" s="896" customFormat="1" ht="17.149999999999999" customHeight="1">
      <c r="A659" s="1152" t="s">
        <v>1289</v>
      </c>
      <c r="B659" s="1153"/>
      <c r="C659" s="676"/>
      <c r="D659" s="897">
        <f t="shared" si="15"/>
        <v>-1E-3</v>
      </c>
      <c r="E659" s="899">
        <v>-1E-3</v>
      </c>
      <c r="F659" s="899"/>
      <c r="G659" s="899"/>
      <c r="H659" s="899"/>
      <c r="I659" s="1149" t="s">
        <v>658</v>
      </c>
      <c r="J659" s="898"/>
    </row>
    <row r="660" spans="1:10" s="896" customFormat="1" ht="17.149999999999999" customHeight="1">
      <c r="A660" s="1152" t="s">
        <v>1290</v>
      </c>
      <c r="B660" s="1153"/>
      <c r="C660" s="676"/>
      <c r="D660" s="897">
        <f t="shared" si="15"/>
        <v>-2019.501</v>
      </c>
      <c r="E660" s="899">
        <v>-2019.501</v>
      </c>
      <c r="F660" s="899"/>
      <c r="G660" s="899"/>
      <c r="H660" s="899"/>
      <c r="I660" s="1149" t="s">
        <v>658</v>
      </c>
      <c r="J660" s="898"/>
    </row>
    <row r="661" spans="1:10" s="896" customFormat="1" ht="17.149999999999999" customHeight="1">
      <c r="A661" s="1152" t="s">
        <v>1344</v>
      </c>
      <c r="B661" s="1153"/>
      <c r="C661" s="676"/>
      <c r="D661" s="897">
        <f t="shared" si="15"/>
        <v>-33160.324000000001</v>
      </c>
      <c r="E661" s="899">
        <v>-33160.324000000001</v>
      </c>
      <c r="F661" s="899"/>
      <c r="G661" s="899"/>
      <c r="H661" s="899"/>
      <c r="I661" s="1149" t="s">
        <v>658</v>
      </c>
      <c r="J661" s="898"/>
    </row>
    <row r="662" spans="1:10" s="896" customFormat="1" ht="17.149999999999999" customHeight="1">
      <c r="A662" s="1152" t="s">
        <v>1345</v>
      </c>
      <c r="B662" s="1153"/>
      <c r="C662" s="676"/>
      <c r="D662" s="897">
        <f t="shared" si="15"/>
        <v>7476.3980000000001</v>
      </c>
      <c r="E662" s="899">
        <v>7476.3980000000001</v>
      </c>
      <c r="F662" s="899"/>
      <c r="G662" s="899"/>
      <c r="H662" s="899"/>
      <c r="I662" s="1149" t="s">
        <v>658</v>
      </c>
      <c r="J662" s="898"/>
    </row>
    <row r="663" spans="1:10" s="896" customFormat="1" ht="17.149999999999999" customHeight="1">
      <c r="A663" s="1152" t="s">
        <v>1291</v>
      </c>
      <c r="B663" s="1153"/>
      <c r="C663" s="676"/>
      <c r="D663" s="897">
        <f t="shared" si="15"/>
        <v>-712.423</v>
      </c>
      <c r="E663" s="899">
        <v>-712.423</v>
      </c>
      <c r="F663" s="899"/>
      <c r="G663" s="899"/>
      <c r="H663" s="899"/>
      <c r="I663" s="1149" t="s">
        <v>658</v>
      </c>
      <c r="J663" s="898"/>
    </row>
    <row r="664" spans="1:10" s="896" customFormat="1" ht="17.149999999999999" customHeight="1">
      <c r="A664" s="1152" t="s">
        <v>1292</v>
      </c>
      <c r="B664" s="1153"/>
      <c r="C664" s="676"/>
      <c r="D664" s="897">
        <f t="shared" si="15"/>
        <v>107.54600000000001</v>
      </c>
      <c r="E664" s="899">
        <v>107.54600000000001</v>
      </c>
      <c r="F664" s="899"/>
      <c r="G664" s="899"/>
      <c r="H664" s="899"/>
      <c r="I664" s="1149" t="s">
        <v>658</v>
      </c>
      <c r="J664" s="898"/>
    </row>
    <row r="665" spans="1:10" s="896" customFormat="1" ht="17.149999999999999" customHeight="1">
      <c r="A665" s="1152" t="s">
        <v>1347</v>
      </c>
      <c r="B665" s="1153"/>
      <c r="C665" s="676"/>
      <c r="D665" s="897">
        <f t="shared" si="15"/>
        <v>0</v>
      </c>
      <c r="E665" s="899"/>
      <c r="F665" s="899"/>
      <c r="G665" s="899"/>
      <c r="H665" s="899"/>
      <c r="I665" s="1149" t="s">
        <v>658</v>
      </c>
      <c r="J665" s="898"/>
    </row>
    <row r="666" spans="1:10" s="896" customFormat="1" ht="17.149999999999999" customHeight="1">
      <c r="A666" s="1152" t="s">
        <v>1293</v>
      </c>
      <c r="B666" s="1153"/>
      <c r="C666" s="676"/>
      <c r="D666" s="897">
        <f t="shared" si="15"/>
        <v>-282.226</v>
      </c>
      <c r="E666" s="899">
        <v>-282.226</v>
      </c>
      <c r="F666" s="899"/>
      <c r="G666" s="899"/>
      <c r="H666" s="899"/>
      <c r="I666" s="1149" t="s">
        <v>658</v>
      </c>
      <c r="J666" s="898"/>
    </row>
    <row r="667" spans="1:10" s="896" customFormat="1" ht="17.149999999999999" customHeight="1">
      <c r="A667" s="1152" t="s">
        <v>1294</v>
      </c>
      <c r="B667" s="1153"/>
      <c r="C667" s="676"/>
      <c r="D667" s="897">
        <f t="shared" si="15"/>
        <v>0</v>
      </c>
      <c r="E667" s="899"/>
      <c r="F667" s="899"/>
      <c r="G667" s="899"/>
      <c r="H667" s="899"/>
      <c r="I667" s="1149" t="s">
        <v>658</v>
      </c>
      <c r="J667" s="898"/>
    </row>
    <row r="668" spans="1:10" s="896" customFormat="1" ht="17.149999999999999" customHeight="1">
      <c r="A668" s="1152" t="s">
        <v>1534</v>
      </c>
      <c r="B668" s="1153"/>
      <c r="C668" s="676"/>
      <c r="D668" s="897">
        <f t="shared" si="15"/>
        <v>-38817.934999999998</v>
      </c>
      <c r="E668" s="899">
        <v>-38817.934999999998</v>
      </c>
      <c r="F668" s="899"/>
      <c r="G668" s="899"/>
      <c r="H668" s="899"/>
      <c r="I668" s="1149" t="s">
        <v>658</v>
      </c>
      <c r="J668" s="898"/>
    </row>
    <row r="669" spans="1:10" s="896" customFormat="1" ht="17.149999999999999" customHeight="1">
      <c r="A669" s="1152" t="s">
        <v>1295</v>
      </c>
      <c r="B669" s="1153"/>
      <c r="C669" s="676"/>
      <c r="D669" s="897">
        <f t="shared" si="15"/>
        <v>-4765.5</v>
      </c>
      <c r="E669" s="899">
        <v>-4765.5</v>
      </c>
      <c r="F669" s="899"/>
      <c r="G669" s="899"/>
      <c r="H669" s="899"/>
      <c r="I669" s="1149" t="s">
        <v>658</v>
      </c>
      <c r="J669" s="898"/>
    </row>
    <row r="670" spans="1:10" s="896" customFormat="1" ht="17.149999999999999" customHeight="1">
      <c r="A670" s="1152" t="s">
        <v>1296</v>
      </c>
      <c r="B670" s="1153"/>
      <c r="C670" s="676"/>
      <c r="D670" s="897">
        <f t="shared" si="15"/>
        <v>-34.024999999999999</v>
      </c>
      <c r="E670" s="899">
        <v>-34.024999999999999</v>
      </c>
      <c r="F670" s="899"/>
      <c r="G670" s="899"/>
      <c r="H670" s="899"/>
      <c r="I670" s="1149" t="s">
        <v>658</v>
      </c>
      <c r="J670" s="898"/>
    </row>
    <row r="671" spans="1:10" s="896" customFormat="1" ht="17.149999999999999" customHeight="1">
      <c r="A671" s="1152" t="s">
        <v>1297</v>
      </c>
      <c r="B671" s="1153"/>
      <c r="C671" s="676"/>
      <c r="D671" s="897">
        <f t="shared" si="15"/>
        <v>-509.72399999999999</v>
      </c>
      <c r="E671" s="899">
        <v>-509.72399999999999</v>
      </c>
      <c r="F671" s="899"/>
      <c r="G671" s="899"/>
      <c r="H671" s="899"/>
      <c r="I671" s="1149" t="s">
        <v>658</v>
      </c>
      <c r="J671" s="898"/>
    </row>
    <row r="672" spans="1:10" s="896" customFormat="1" ht="17.149999999999999" customHeight="1">
      <c r="A672" s="1152" t="s">
        <v>1149</v>
      </c>
      <c r="B672" s="1153"/>
      <c r="C672" s="676"/>
      <c r="D672" s="897">
        <f t="shared" si="15"/>
        <v>0</v>
      </c>
      <c r="E672" s="899"/>
      <c r="F672" s="899"/>
      <c r="G672" s="899"/>
      <c r="H672" s="899"/>
      <c r="I672" s="1149" t="s">
        <v>658</v>
      </c>
      <c r="J672" s="898"/>
    </row>
    <row r="673" spans="1:10" s="896" customFormat="1" ht="17.149999999999999" customHeight="1">
      <c r="A673" s="1152" t="s">
        <v>1148</v>
      </c>
      <c r="B673" s="1153"/>
      <c r="C673" s="676"/>
      <c r="D673" s="897">
        <f t="shared" si="15"/>
        <v>-3008.9279999999999</v>
      </c>
      <c r="E673" s="899">
        <v>-3008.9279999999999</v>
      </c>
      <c r="F673" s="899"/>
      <c r="G673" s="899"/>
      <c r="H673" s="899"/>
      <c r="I673" s="1149" t="s">
        <v>658</v>
      </c>
      <c r="J673" s="898"/>
    </row>
    <row r="674" spans="1:10" s="896" customFormat="1" ht="17.149999999999999" customHeight="1">
      <c r="A674" s="1152" t="s">
        <v>1086</v>
      </c>
      <c r="B674" s="1153"/>
      <c r="C674" s="676"/>
      <c r="D674" s="897">
        <f t="shared" si="15"/>
        <v>-23731.654999999999</v>
      </c>
      <c r="E674" s="899">
        <v>-23731.654999999999</v>
      </c>
      <c r="F674" s="899"/>
      <c r="G674" s="899"/>
      <c r="H674" s="899"/>
      <c r="I674" s="1149" t="s">
        <v>658</v>
      </c>
      <c r="J674" s="898"/>
    </row>
    <row r="675" spans="1:10" s="896" customFormat="1" ht="17.149999999999999" customHeight="1">
      <c r="A675" s="1152" t="s">
        <v>1474</v>
      </c>
      <c r="B675" s="1153"/>
      <c r="C675" s="676"/>
      <c r="D675" s="897">
        <f t="shared" si="15"/>
        <v>0</v>
      </c>
      <c r="E675" s="899">
        <v>0</v>
      </c>
      <c r="F675" s="899"/>
      <c r="G675" s="899"/>
      <c r="H675" s="899"/>
      <c r="I675" s="1149" t="s">
        <v>658</v>
      </c>
      <c r="J675" s="898"/>
    </row>
    <row r="676" spans="1:10" s="896" customFormat="1" ht="17.149999999999999" customHeight="1">
      <c r="A676" s="1152" t="s">
        <v>1415</v>
      </c>
      <c r="B676" s="1153"/>
      <c r="C676" s="676"/>
      <c r="D676" s="897">
        <f t="shared" si="15"/>
        <v>-2530.2730000000001</v>
      </c>
      <c r="E676" s="899">
        <v>-2530.2730000000001</v>
      </c>
      <c r="F676" s="899"/>
      <c r="G676" s="899"/>
      <c r="H676" s="899"/>
      <c r="I676" s="1149" t="s">
        <v>658</v>
      </c>
      <c r="J676" s="898"/>
    </row>
    <row r="677" spans="1:10" s="896" customFormat="1" ht="17.149999999999999" customHeight="1">
      <c r="A677" s="1152" t="s">
        <v>1150</v>
      </c>
      <c r="B677" s="1153"/>
      <c r="C677" s="676"/>
      <c r="D677" s="897">
        <f t="shared" si="15"/>
        <v>0</v>
      </c>
      <c r="E677" s="899"/>
      <c r="F677" s="899"/>
      <c r="G677" s="899"/>
      <c r="H677" s="899"/>
      <c r="I677" s="1149" t="s">
        <v>658</v>
      </c>
      <c r="J677" s="898"/>
    </row>
    <row r="678" spans="1:10" s="896" customFormat="1" ht="17.149999999999999" customHeight="1">
      <c r="A678" s="1152" t="s">
        <v>1316</v>
      </c>
      <c r="B678" s="1153"/>
      <c r="C678" s="676"/>
      <c r="D678" s="897">
        <f t="shared" si="15"/>
        <v>0</v>
      </c>
      <c r="E678" s="899"/>
      <c r="F678" s="899"/>
      <c r="G678" s="899"/>
      <c r="H678" s="899"/>
      <c r="I678" s="1149" t="s">
        <v>658</v>
      </c>
      <c r="J678" s="898"/>
    </row>
    <row r="679" spans="1:10" s="896" customFormat="1" ht="17.149999999999999" customHeight="1">
      <c r="A679" s="1152" t="s">
        <v>1120</v>
      </c>
      <c r="B679" s="1153"/>
      <c r="C679" s="676"/>
      <c r="D679" s="897">
        <f t="shared" si="15"/>
        <v>0</v>
      </c>
      <c r="E679" s="899"/>
      <c r="F679" s="899"/>
      <c r="G679" s="899"/>
      <c r="H679" s="899"/>
      <c r="I679" s="1149" t="s">
        <v>658</v>
      </c>
      <c r="J679" s="898"/>
    </row>
    <row r="680" spans="1:10" s="896" customFormat="1" ht="17.149999999999999" customHeight="1">
      <c r="A680" s="1152" t="s">
        <v>1151</v>
      </c>
      <c r="B680" s="1153"/>
      <c r="C680" s="676"/>
      <c r="D680" s="897">
        <f t="shared" si="15"/>
        <v>0</v>
      </c>
      <c r="E680" s="899"/>
      <c r="F680" s="899"/>
      <c r="G680" s="899"/>
      <c r="H680" s="899"/>
      <c r="I680" s="1149" t="s">
        <v>658</v>
      </c>
      <c r="J680" s="898"/>
    </row>
    <row r="681" spans="1:10" s="896" customFormat="1" ht="17.149999999999999" customHeight="1">
      <c r="A681" s="1152" t="s">
        <v>1152</v>
      </c>
      <c r="B681" s="1153"/>
      <c r="C681" s="676"/>
      <c r="D681" s="897">
        <f t="shared" si="15"/>
        <v>0</v>
      </c>
      <c r="E681" s="899"/>
      <c r="F681" s="899"/>
      <c r="G681" s="899"/>
      <c r="H681" s="899"/>
      <c r="I681" s="1149" t="s">
        <v>658</v>
      </c>
      <c r="J681" s="898"/>
    </row>
    <row r="682" spans="1:10" s="896" customFormat="1" ht="17.149999999999999" customHeight="1">
      <c r="A682" s="1152" t="s">
        <v>1153</v>
      </c>
      <c r="B682" s="1153"/>
      <c r="C682" s="676"/>
      <c r="D682" s="897">
        <f t="shared" si="15"/>
        <v>0</v>
      </c>
      <c r="E682" s="899"/>
      <c r="F682" s="899"/>
      <c r="G682" s="899"/>
      <c r="H682" s="899"/>
      <c r="I682" s="1149" t="s">
        <v>658</v>
      </c>
      <c r="J682" s="898"/>
    </row>
    <row r="683" spans="1:10" s="896" customFormat="1" ht="17.149999999999999" customHeight="1">
      <c r="A683" s="1152" t="s">
        <v>1154</v>
      </c>
      <c r="B683" s="1153"/>
      <c r="C683" s="676"/>
      <c r="D683" s="897">
        <f t="shared" si="15"/>
        <v>0</v>
      </c>
      <c r="E683" s="899"/>
      <c r="F683" s="899"/>
      <c r="G683" s="899"/>
      <c r="H683" s="899"/>
      <c r="I683" s="1149" t="s">
        <v>658</v>
      </c>
      <c r="J683" s="898"/>
    </row>
    <row r="684" spans="1:10" s="896" customFormat="1" ht="17.149999999999999" customHeight="1">
      <c r="A684" s="1152" t="s">
        <v>1155</v>
      </c>
      <c r="B684" s="1153"/>
      <c r="C684" s="676"/>
      <c r="D684" s="897">
        <f t="shared" si="15"/>
        <v>0</v>
      </c>
      <c r="E684" s="899"/>
      <c r="F684" s="899"/>
      <c r="G684" s="899"/>
      <c r="H684" s="899"/>
      <c r="I684" s="1149" t="s">
        <v>658</v>
      </c>
      <c r="J684" s="898"/>
    </row>
    <row r="685" spans="1:10" s="896" customFormat="1" ht="17.149999999999999" customHeight="1">
      <c r="A685" s="1152" t="s">
        <v>1678</v>
      </c>
      <c r="B685" s="1153"/>
      <c r="C685" s="676"/>
      <c r="D685" s="897">
        <f t="shared" si="15"/>
        <v>-1639.5740000000001</v>
      </c>
      <c r="E685" s="899">
        <v>-1639.5740000000001</v>
      </c>
      <c r="F685" s="899"/>
      <c r="G685" s="899"/>
      <c r="H685" s="899"/>
      <c r="I685" s="1149" t="s">
        <v>658</v>
      </c>
      <c r="J685" s="898"/>
    </row>
    <row r="686" spans="1:10" s="896" customFormat="1" ht="17.149999999999999" customHeight="1">
      <c r="A686" s="1152" t="s">
        <v>1317</v>
      </c>
      <c r="B686" s="1153"/>
      <c r="C686" s="676"/>
      <c r="D686" s="897">
        <f t="shared" si="15"/>
        <v>0</v>
      </c>
      <c r="E686" s="899"/>
      <c r="F686" s="899"/>
      <c r="G686" s="899"/>
      <c r="H686" s="899"/>
      <c r="I686" s="1149" t="s">
        <v>658</v>
      </c>
      <c r="J686" s="898"/>
    </row>
    <row r="687" spans="1:10" s="896" customFormat="1" ht="17.149999999999999" customHeight="1">
      <c r="A687" s="1152" t="s">
        <v>1315</v>
      </c>
      <c r="B687" s="1153"/>
      <c r="C687" s="676"/>
      <c r="D687" s="897">
        <f t="shared" si="15"/>
        <v>1E-3</v>
      </c>
      <c r="E687" s="899">
        <v>1E-3</v>
      </c>
      <c r="F687" s="899"/>
      <c r="G687" s="899"/>
      <c r="H687" s="899"/>
      <c r="I687" s="1149" t="s">
        <v>658</v>
      </c>
      <c r="J687" s="898"/>
    </row>
    <row r="688" spans="1:10" s="896" customFormat="1" ht="17.149999999999999" customHeight="1">
      <c r="A688" s="1152" t="s">
        <v>1679</v>
      </c>
      <c r="B688" s="1153"/>
      <c r="C688" s="676"/>
      <c r="D688" s="897">
        <f t="shared" si="15"/>
        <v>1E-3</v>
      </c>
      <c r="E688" s="899">
        <v>1E-3</v>
      </c>
      <c r="F688" s="899"/>
      <c r="G688" s="899"/>
      <c r="H688" s="899"/>
      <c r="I688" s="1149" t="s">
        <v>658</v>
      </c>
      <c r="J688" s="898"/>
    </row>
    <row r="689" spans="1:10" s="896" customFormat="1" ht="17.149999999999999" customHeight="1">
      <c r="A689" s="1152" t="s">
        <v>1156</v>
      </c>
      <c r="B689" s="1153"/>
      <c r="C689" s="676"/>
      <c r="D689" s="897">
        <f t="shared" si="15"/>
        <v>0</v>
      </c>
      <c r="E689" s="899"/>
      <c r="F689" s="899"/>
      <c r="G689" s="899"/>
      <c r="H689" s="899"/>
      <c r="I689" s="1149" t="s">
        <v>658</v>
      </c>
      <c r="J689" s="898"/>
    </row>
    <row r="690" spans="1:10" s="896" customFormat="1" ht="17.149999999999999" customHeight="1">
      <c r="A690" s="1152" t="s">
        <v>1535</v>
      </c>
      <c r="B690" s="1153"/>
      <c r="C690" s="676"/>
      <c r="D690" s="897">
        <f t="shared" si="15"/>
        <v>1E-3</v>
      </c>
      <c r="E690" s="899">
        <v>1E-3</v>
      </c>
      <c r="F690" s="899"/>
      <c r="G690" s="899"/>
      <c r="H690" s="899"/>
      <c r="I690" s="1149" t="s">
        <v>658</v>
      </c>
      <c r="J690" s="898"/>
    </row>
    <row r="691" spans="1:10" s="896" customFormat="1" ht="17.149999999999999" customHeight="1">
      <c r="A691" s="1152" t="s">
        <v>1462</v>
      </c>
      <c r="B691" s="1153"/>
      <c r="C691" s="676"/>
      <c r="D691" s="897">
        <f t="shared" si="15"/>
        <v>-3683.9490000000001</v>
      </c>
      <c r="E691" s="899">
        <v>-3683.9490000000001</v>
      </c>
      <c r="F691" s="899"/>
      <c r="G691" s="899"/>
      <c r="H691" s="899"/>
      <c r="I691" s="1149" t="s">
        <v>658</v>
      </c>
      <c r="J691" s="898"/>
    </row>
    <row r="692" spans="1:10" s="896" customFormat="1" ht="17.149999999999999" customHeight="1">
      <c r="A692" s="1152" t="s">
        <v>1463</v>
      </c>
      <c r="B692" s="1153"/>
      <c r="C692" s="676"/>
      <c r="D692" s="897">
        <f t="shared" si="15"/>
        <v>-1745.288</v>
      </c>
      <c r="E692" s="899">
        <v>-1745.288</v>
      </c>
      <c r="F692" s="899"/>
      <c r="G692" s="899"/>
      <c r="H692" s="899"/>
      <c r="I692" s="1149" t="s">
        <v>658</v>
      </c>
      <c r="J692" s="898"/>
    </row>
    <row r="693" spans="1:10" s="896" customFormat="1" ht="17.149999999999999" customHeight="1">
      <c r="A693" s="1152" t="s">
        <v>1350</v>
      </c>
      <c r="B693" s="1153"/>
      <c r="C693" s="676"/>
      <c r="D693" s="897">
        <f t="shared" si="15"/>
        <v>0</v>
      </c>
      <c r="E693" s="899">
        <v>0</v>
      </c>
      <c r="F693" s="899"/>
      <c r="G693" s="899"/>
      <c r="H693" s="899"/>
      <c r="I693" s="1149" t="s">
        <v>658</v>
      </c>
      <c r="J693" s="898"/>
    </row>
    <row r="694" spans="1:10" s="896" customFormat="1" ht="17.149999999999999" customHeight="1">
      <c r="A694" s="1152" t="s">
        <v>1386</v>
      </c>
      <c r="B694" s="1153"/>
      <c r="C694" s="676"/>
      <c r="D694" s="897">
        <f t="shared" si="15"/>
        <v>-2E-3</v>
      </c>
      <c r="E694" s="899">
        <v>-2E-3</v>
      </c>
      <c r="F694" s="899"/>
      <c r="G694" s="899"/>
      <c r="H694" s="899"/>
      <c r="I694" s="1149" t="s">
        <v>658</v>
      </c>
      <c r="J694" s="898"/>
    </row>
    <row r="695" spans="1:10" s="896" customFormat="1" ht="17.149999999999999" customHeight="1">
      <c r="A695" s="1152" t="s">
        <v>1464</v>
      </c>
      <c r="B695" s="1153"/>
      <c r="C695" s="676"/>
      <c r="D695" s="897">
        <f t="shared" si="15"/>
        <v>-405.505</v>
      </c>
      <c r="E695" s="899">
        <v>-405.505</v>
      </c>
      <c r="F695" s="899"/>
      <c r="G695" s="899"/>
      <c r="H695" s="899"/>
      <c r="I695" s="1149" t="s">
        <v>658</v>
      </c>
      <c r="J695" s="898"/>
    </row>
    <row r="696" spans="1:10" s="896" customFormat="1" ht="17.149999999999999" customHeight="1">
      <c r="A696" s="1152" t="s">
        <v>1465</v>
      </c>
      <c r="B696" s="1153"/>
      <c r="C696" s="676"/>
      <c r="D696" s="897">
        <f t="shared" si="15"/>
        <v>-2723.6419999999998</v>
      </c>
      <c r="E696" s="899">
        <v>-2723.6419999999998</v>
      </c>
      <c r="F696" s="899"/>
      <c r="G696" s="899"/>
      <c r="H696" s="899"/>
      <c r="I696" s="1149" t="s">
        <v>658</v>
      </c>
      <c r="J696" s="898"/>
    </row>
    <row r="697" spans="1:10" s="896" customFormat="1" ht="17.149999999999999" customHeight="1">
      <c r="A697" s="1152" t="s">
        <v>1536</v>
      </c>
      <c r="B697" s="1153"/>
      <c r="C697" s="676"/>
      <c r="D697" s="897">
        <f t="shared" si="15"/>
        <v>-85.843000000000004</v>
      </c>
      <c r="E697" s="899">
        <v>-85.843000000000004</v>
      </c>
      <c r="F697" s="899"/>
      <c r="G697" s="899"/>
      <c r="H697" s="899"/>
      <c r="I697" s="1149" t="s">
        <v>658</v>
      </c>
      <c r="J697" s="898"/>
    </row>
    <row r="698" spans="1:10" s="896" customFormat="1" ht="17.149999999999999" customHeight="1">
      <c r="A698" s="1152" t="s">
        <v>1537</v>
      </c>
      <c r="B698" s="1153"/>
      <c r="C698" s="676"/>
      <c r="D698" s="897">
        <f t="shared" si="15"/>
        <v>-440.65800000000002</v>
      </c>
      <c r="E698" s="899">
        <v>-440.65800000000002</v>
      </c>
      <c r="F698" s="899"/>
      <c r="G698" s="899"/>
      <c r="H698" s="899"/>
      <c r="I698" s="1149" t="s">
        <v>658</v>
      </c>
      <c r="J698" s="898"/>
    </row>
    <row r="699" spans="1:10" s="896" customFormat="1" ht="17.149999999999999" customHeight="1">
      <c r="A699" s="1152" t="s">
        <v>1298</v>
      </c>
      <c r="B699" s="1153"/>
      <c r="C699" s="676"/>
      <c r="D699" s="897">
        <f t="shared" si="15"/>
        <v>-584.87599999999998</v>
      </c>
      <c r="E699" s="899">
        <v>-584.87599999999998</v>
      </c>
      <c r="F699" s="899"/>
      <c r="G699" s="899"/>
      <c r="H699" s="899"/>
      <c r="I699" s="1149" t="s">
        <v>658</v>
      </c>
      <c r="J699" s="898"/>
    </row>
    <row r="700" spans="1:10" s="896" customFormat="1" ht="17.149999999999999" customHeight="1">
      <c r="A700" s="1152" t="s">
        <v>1299</v>
      </c>
      <c r="B700" s="1153"/>
      <c r="C700" s="676"/>
      <c r="D700" s="897">
        <f t="shared" si="15"/>
        <v>-2E-3</v>
      </c>
      <c r="E700" s="899">
        <v>-2E-3</v>
      </c>
      <c r="F700" s="899"/>
      <c r="G700" s="899"/>
      <c r="H700" s="899"/>
      <c r="I700" s="1149" t="s">
        <v>658</v>
      </c>
      <c r="J700" s="898"/>
    </row>
    <row r="701" spans="1:10" s="896" customFormat="1" ht="17.149999999999999" customHeight="1">
      <c r="A701" s="1152" t="s">
        <v>1387</v>
      </c>
      <c r="B701" s="1153"/>
      <c r="C701" s="676"/>
      <c r="D701" s="897">
        <f t="shared" si="15"/>
        <v>2.5419999999999998</v>
      </c>
      <c r="E701" s="899">
        <v>2.5419999999999998</v>
      </c>
      <c r="F701" s="899"/>
      <c r="G701" s="899"/>
      <c r="H701" s="899"/>
      <c r="I701" s="1149" t="s">
        <v>658</v>
      </c>
      <c r="J701" s="898"/>
    </row>
    <row r="702" spans="1:10" s="896" customFormat="1" ht="17.149999999999999" customHeight="1">
      <c r="A702" s="1152" t="s">
        <v>1538</v>
      </c>
      <c r="B702" s="1153"/>
      <c r="C702" s="676"/>
      <c r="D702" s="897">
        <f t="shared" si="15"/>
        <v>-79.997</v>
      </c>
      <c r="E702" s="899">
        <v>-79.997</v>
      </c>
      <c r="F702" s="899"/>
      <c r="G702" s="899"/>
      <c r="H702" s="899"/>
      <c r="I702" s="1149" t="s">
        <v>658</v>
      </c>
      <c r="J702" s="898"/>
    </row>
    <row r="703" spans="1:10" s="896" customFormat="1" ht="17.149999999999999" customHeight="1">
      <c r="A703" s="1152" t="s">
        <v>1300</v>
      </c>
      <c r="B703" s="1153"/>
      <c r="C703" s="676"/>
      <c r="D703" s="897">
        <f t="shared" si="15"/>
        <v>-281.58600000000001</v>
      </c>
      <c r="E703" s="899">
        <v>-281.58600000000001</v>
      </c>
      <c r="F703" s="899"/>
      <c r="G703" s="899"/>
      <c r="H703" s="899"/>
      <c r="I703" s="1149" t="s">
        <v>658</v>
      </c>
      <c r="J703" s="898"/>
    </row>
    <row r="704" spans="1:10" s="896" customFormat="1" ht="17.149999999999999" customHeight="1">
      <c r="A704" s="1152" t="s">
        <v>1301</v>
      </c>
      <c r="B704" s="1153"/>
      <c r="C704" s="676"/>
      <c r="D704" s="897">
        <f t="shared" si="15"/>
        <v>0</v>
      </c>
      <c r="E704" s="899">
        <v>0</v>
      </c>
      <c r="F704" s="899"/>
      <c r="G704" s="899"/>
      <c r="H704" s="899"/>
      <c r="I704" s="1149" t="s">
        <v>658</v>
      </c>
      <c r="J704" s="898"/>
    </row>
    <row r="705" spans="1:10" s="896" customFormat="1" ht="17.149999999999999" customHeight="1">
      <c r="A705" s="1152" t="s">
        <v>1680</v>
      </c>
      <c r="B705" s="1153"/>
      <c r="C705" s="676"/>
      <c r="D705" s="897">
        <f t="shared" si="15"/>
        <v>1.756</v>
      </c>
      <c r="E705" s="899">
        <v>1.756</v>
      </c>
      <c r="F705" s="899"/>
      <c r="G705" s="899"/>
      <c r="H705" s="899"/>
      <c r="I705" s="1149" t="s">
        <v>658</v>
      </c>
      <c r="J705" s="898"/>
    </row>
    <row r="706" spans="1:10" s="896" customFormat="1" ht="17.149999999999999" customHeight="1">
      <c r="A706" s="1152" t="s">
        <v>1539</v>
      </c>
      <c r="B706" s="1153"/>
      <c r="C706" s="676"/>
      <c r="D706" s="897">
        <f t="shared" si="15"/>
        <v>-326.78500000000003</v>
      </c>
      <c r="E706" s="899">
        <v>-326.78500000000003</v>
      </c>
      <c r="F706" s="899"/>
      <c r="G706" s="899"/>
      <c r="H706" s="899"/>
      <c r="I706" s="1149" t="s">
        <v>658</v>
      </c>
      <c r="J706" s="898"/>
    </row>
    <row r="707" spans="1:10" s="896" customFormat="1" ht="17.149999999999999" customHeight="1">
      <c r="A707" s="1152" t="s">
        <v>1388</v>
      </c>
      <c r="B707" s="1153"/>
      <c r="C707" s="676"/>
      <c r="D707" s="897">
        <f t="shared" si="15"/>
        <v>0</v>
      </c>
      <c r="E707" s="899">
        <v>0</v>
      </c>
      <c r="F707" s="899"/>
      <c r="G707" s="899"/>
      <c r="H707" s="899"/>
      <c r="I707" s="1149" t="s">
        <v>658</v>
      </c>
      <c r="J707" s="898"/>
    </row>
    <row r="708" spans="1:10" s="896" customFormat="1" ht="17.149999999999999" customHeight="1">
      <c r="A708" s="1152" t="s">
        <v>1540</v>
      </c>
      <c r="B708" s="1153"/>
      <c r="C708" s="676"/>
      <c r="D708" s="897">
        <f t="shared" si="15"/>
        <v>0</v>
      </c>
      <c r="E708" s="899">
        <v>0</v>
      </c>
      <c r="F708" s="899"/>
      <c r="G708" s="899"/>
      <c r="H708" s="899"/>
      <c r="I708" s="1149" t="s">
        <v>658</v>
      </c>
      <c r="J708" s="898"/>
    </row>
    <row r="709" spans="1:10" s="896" customFormat="1" ht="17.149999999999999" customHeight="1">
      <c r="A709" s="1152" t="s">
        <v>1389</v>
      </c>
      <c r="B709" s="1153"/>
      <c r="C709" s="676"/>
      <c r="D709" s="897">
        <f t="shared" si="15"/>
        <v>0</v>
      </c>
      <c r="E709" s="899">
        <v>0</v>
      </c>
      <c r="F709" s="899"/>
      <c r="G709" s="899"/>
      <c r="H709" s="899"/>
      <c r="I709" s="1149" t="s">
        <v>658</v>
      </c>
      <c r="J709" s="898"/>
    </row>
    <row r="710" spans="1:10" s="896" customFormat="1" ht="17.149999999999999" customHeight="1">
      <c r="A710" s="1152" t="s">
        <v>1541</v>
      </c>
      <c r="B710" s="1153"/>
      <c r="C710" s="676"/>
      <c r="D710" s="897">
        <f t="shared" si="15"/>
        <v>0</v>
      </c>
      <c r="E710" s="899">
        <v>0</v>
      </c>
      <c r="F710" s="899"/>
      <c r="G710" s="899"/>
      <c r="H710" s="899"/>
      <c r="I710" s="1149" t="s">
        <v>658</v>
      </c>
      <c r="J710" s="898"/>
    </row>
    <row r="711" spans="1:10" s="896" customFormat="1" ht="17.149999999999999" customHeight="1">
      <c r="A711" s="1152" t="s">
        <v>1302</v>
      </c>
      <c r="B711" s="1153"/>
      <c r="C711" s="676"/>
      <c r="D711" s="897">
        <f t="shared" ref="D711:D774" si="16">SUM(E711:H711)</f>
        <v>0</v>
      </c>
      <c r="E711" s="899"/>
      <c r="F711" s="899"/>
      <c r="G711" s="899"/>
      <c r="H711" s="899"/>
      <c r="I711" s="1149" t="s">
        <v>658</v>
      </c>
      <c r="J711" s="898"/>
    </row>
    <row r="712" spans="1:10" s="896" customFormat="1" ht="17.149999999999999" customHeight="1">
      <c r="A712" s="1152" t="s">
        <v>1303</v>
      </c>
      <c r="B712" s="1153"/>
      <c r="C712" s="676"/>
      <c r="D712" s="897">
        <f t="shared" si="16"/>
        <v>-68.460999999999999</v>
      </c>
      <c r="E712" s="899">
        <v>-68.460999999999999</v>
      </c>
      <c r="F712" s="899"/>
      <c r="G712" s="899"/>
      <c r="H712" s="899"/>
      <c r="I712" s="1149" t="s">
        <v>658</v>
      </c>
      <c r="J712" s="898"/>
    </row>
    <row r="713" spans="1:10" s="896" customFormat="1" ht="17.149999999999999" customHeight="1">
      <c r="A713" s="1152" t="s">
        <v>1304</v>
      </c>
      <c r="B713" s="1153"/>
      <c r="C713" s="676"/>
      <c r="D713" s="897">
        <f t="shared" si="16"/>
        <v>-3993.2020000000002</v>
      </c>
      <c r="E713" s="899">
        <v>-3993.2020000000002</v>
      </c>
      <c r="F713" s="899"/>
      <c r="G713" s="899"/>
      <c r="H713" s="899"/>
      <c r="I713" s="1149" t="s">
        <v>658</v>
      </c>
      <c r="J713" s="898"/>
    </row>
    <row r="714" spans="1:10" s="896" customFormat="1" ht="17.149999999999999" customHeight="1">
      <c r="A714" s="1152" t="s">
        <v>1390</v>
      </c>
      <c r="B714" s="1153"/>
      <c r="C714" s="676"/>
      <c r="D714" s="897">
        <f t="shared" si="16"/>
        <v>-143.06</v>
      </c>
      <c r="E714" s="899">
        <v>-143.06</v>
      </c>
      <c r="F714" s="899"/>
      <c r="G714" s="899"/>
      <c r="H714" s="899"/>
      <c r="I714" s="1149" t="s">
        <v>658</v>
      </c>
      <c r="J714" s="898"/>
    </row>
    <row r="715" spans="1:10" s="896" customFormat="1" ht="17.149999999999999" customHeight="1">
      <c r="A715" s="1152" t="s">
        <v>1542</v>
      </c>
      <c r="B715" s="1153"/>
      <c r="C715" s="676"/>
      <c r="D715" s="897">
        <f t="shared" si="16"/>
        <v>0</v>
      </c>
      <c r="E715" s="899">
        <v>0</v>
      </c>
      <c r="F715" s="883"/>
      <c r="G715" s="899"/>
      <c r="H715" s="899"/>
      <c r="I715" s="1149" t="s">
        <v>658</v>
      </c>
      <c r="J715" s="898"/>
    </row>
    <row r="716" spans="1:10" s="896" customFormat="1" ht="17.149999999999999" customHeight="1">
      <c r="A716" s="1152" t="s">
        <v>1305</v>
      </c>
      <c r="B716" s="1153"/>
      <c r="C716" s="676"/>
      <c r="D716" s="897">
        <f t="shared" si="16"/>
        <v>-17190.295999999998</v>
      </c>
      <c r="E716" s="899">
        <v>-17190.295999999998</v>
      </c>
      <c r="F716" s="899"/>
      <c r="G716" s="899"/>
      <c r="H716" s="899"/>
      <c r="I716" s="1149" t="s">
        <v>658</v>
      </c>
      <c r="J716" s="898"/>
    </row>
    <row r="717" spans="1:10" s="896" customFormat="1" ht="17.149999999999999" customHeight="1">
      <c r="A717" s="1152" t="s">
        <v>1306</v>
      </c>
      <c r="B717" s="1153"/>
      <c r="C717" s="676"/>
      <c r="D717" s="897">
        <f t="shared" si="16"/>
        <v>0</v>
      </c>
      <c r="E717" s="899">
        <v>0</v>
      </c>
      <c r="F717" s="899"/>
      <c r="G717" s="899"/>
      <c r="H717" s="899"/>
      <c r="I717" s="1149" t="s">
        <v>658</v>
      </c>
      <c r="J717" s="898"/>
    </row>
    <row r="718" spans="1:10" s="896" customFormat="1" ht="17.149999999999999" customHeight="1">
      <c r="A718" s="1152" t="s">
        <v>1543</v>
      </c>
      <c r="B718" s="1153"/>
      <c r="C718" s="676"/>
      <c r="D718" s="897">
        <f t="shared" si="16"/>
        <v>-212.48500000000001</v>
      </c>
      <c r="E718" s="899">
        <v>-212.48500000000001</v>
      </c>
      <c r="F718" s="899"/>
      <c r="G718" s="899"/>
      <c r="H718" s="899"/>
      <c r="I718" s="1149" t="s">
        <v>658</v>
      </c>
      <c r="J718" s="898"/>
    </row>
    <row r="719" spans="1:10" s="896" customFormat="1" ht="17.149999999999999" customHeight="1">
      <c r="A719" s="1152" t="s">
        <v>1544</v>
      </c>
      <c r="B719" s="1153"/>
      <c r="C719" s="676"/>
      <c r="D719" s="897">
        <f t="shared" si="16"/>
        <v>1177.876</v>
      </c>
      <c r="E719" s="899">
        <v>1177.876</v>
      </c>
      <c r="F719" s="899"/>
      <c r="G719" s="899"/>
      <c r="H719" s="899"/>
      <c r="I719" s="1149" t="s">
        <v>658</v>
      </c>
      <c r="J719" s="898"/>
    </row>
    <row r="720" spans="1:10" s="896" customFormat="1" ht="17.149999999999999" customHeight="1">
      <c r="A720" s="1152" t="s">
        <v>1466</v>
      </c>
      <c r="B720" s="1153"/>
      <c r="C720" s="676"/>
      <c r="D720" s="897">
        <f t="shared" si="16"/>
        <v>-475.52800000000002</v>
      </c>
      <c r="E720" s="899">
        <v>-475.52800000000002</v>
      </c>
      <c r="F720" s="899"/>
      <c r="G720" s="899"/>
      <c r="H720" s="899"/>
      <c r="I720" s="1149" t="s">
        <v>658</v>
      </c>
      <c r="J720" s="898"/>
    </row>
    <row r="721" spans="1:10" s="896" customFormat="1" ht="17.149999999999999" customHeight="1">
      <c r="A721" s="1152" t="s">
        <v>1467</v>
      </c>
      <c r="B721" s="1153"/>
      <c r="C721" s="676"/>
      <c r="D721" s="897">
        <f t="shared" si="16"/>
        <v>-554.78700000000003</v>
      </c>
      <c r="E721" s="899">
        <v>-554.78700000000003</v>
      </c>
      <c r="F721" s="899"/>
      <c r="G721" s="899"/>
      <c r="H721" s="899"/>
      <c r="I721" s="1149" t="s">
        <v>658</v>
      </c>
      <c r="J721" s="898"/>
    </row>
    <row r="722" spans="1:10" s="896" customFormat="1" ht="17.149999999999999" customHeight="1">
      <c r="A722" s="1152" t="s">
        <v>1391</v>
      </c>
      <c r="B722" s="1153"/>
      <c r="C722" s="676"/>
      <c r="D722" s="897">
        <f t="shared" si="16"/>
        <v>-65.927999999999997</v>
      </c>
      <c r="E722" s="899">
        <v>-65.927999999999997</v>
      </c>
      <c r="F722" s="899"/>
      <c r="G722" s="899"/>
      <c r="H722" s="899"/>
      <c r="I722" s="1149" t="s">
        <v>658</v>
      </c>
      <c r="J722" s="898"/>
    </row>
    <row r="723" spans="1:10" s="896" customFormat="1" ht="17.149999999999999" customHeight="1">
      <c r="A723" s="1152" t="s">
        <v>1468</v>
      </c>
      <c r="B723" s="1153"/>
      <c r="C723" s="676"/>
      <c r="D723" s="897">
        <f t="shared" si="16"/>
        <v>-215.44499999999999</v>
      </c>
      <c r="E723" s="899">
        <v>-215.44499999999999</v>
      </c>
      <c r="F723" s="899"/>
      <c r="G723" s="899"/>
      <c r="H723" s="899"/>
      <c r="I723" s="1149" t="s">
        <v>658</v>
      </c>
      <c r="J723" s="898"/>
    </row>
    <row r="724" spans="1:10" s="896" customFormat="1" ht="17.149999999999999" customHeight="1">
      <c r="A724" s="1152" t="s">
        <v>1307</v>
      </c>
      <c r="B724" s="1153"/>
      <c r="C724" s="676"/>
      <c r="D724" s="897">
        <f t="shared" si="16"/>
        <v>-331.16800000000001</v>
      </c>
      <c r="E724" s="899">
        <v>-331.16800000000001</v>
      </c>
      <c r="F724" s="899"/>
      <c r="G724" s="899"/>
      <c r="H724" s="899"/>
      <c r="I724" s="1149" t="s">
        <v>658</v>
      </c>
      <c r="J724" s="898"/>
    </row>
    <row r="725" spans="1:10" s="896" customFormat="1" ht="17.149999999999999" customHeight="1">
      <c r="A725" s="1152" t="s">
        <v>1308</v>
      </c>
      <c r="B725" s="1153"/>
      <c r="C725" s="676"/>
      <c r="D725" s="897">
        <f t="shared" si="16"/>
        <v>-6319.42</v>
      </c>
      <c r="E725" s="899">
        <v>-6319.42</v>
      </c>
      <c r="F725" s="899"/>
      <c r="G725" s="899"/>
      <c r="H725" s="899"/>
      <c r="I725" s="1149" t="s">
        <v>658</v>
      </c>
      <c r="J725" s="898"/>
    </row>
    <row r="726" spans="1:10" s="896" customFormat="1" ht="17.149999999999999" customHeight="1">
      <c r="A726" s="1152" t="s">
        <v>1392</v>
      </c>
      <c r="B726" s="1153"/>
      <c r="C726" s="676"/>
      <c r="D726" s="897">
        <f t="shared" si="16"/>
        <v>54.261000000000003</v>
      </c>
      <c r="E726" s="899">
        <v>54.261000000000003</v>
      </c>
      <c r="F726" s="899"/>
      <c r="G726" s="899"/>
      <c r="H726" s="899"/>
      <c r="I726" s="1149" t="s">
        <v>658</v>
      </c>
      <c r="J726" s="898"/>
    </row>
    <row r="727" spans="1:10" s="896" customFormat="1" ht="17.149999999999999" customHeight="1">
      <c r="A727" s="1152" t="s">
        <v>1545</v>
      </c>
      <c r="B727" s="1153"/>
      <c r="C727" s="676"/>
      <c r="D727" s="897">
        <f t="shared" si="16"/>
        <v>1547.5540000000001</v>
      </c>
      <c r="E727" s="899">
        <v>1547.5540000000001</v>
      </c>
      <c r="F727" s="899"/>
      <c r="G727" s="899"/>
      <c r="H727" s="899"/>
      <c r="I727" s="1149" t="s">
        <v>658</v>
      </c>
      <c r="J727" s="898"/>
    </row>
    <row r="728" spans="1:10" s="896" customFormat="1" ht="17.149999999999999" customHeight="1">
      <c r="A728" s="1152" t="s">
        <v>1309</v>
      </c>
      <c r="B728" s="1153"/>
      <c r="C728" s="676"/>
      <c r="D728" s="897">
        <f t="shared" si="16"/>
        <v>-3.0000000000000001E-3</v>
      </c>
      <c r="E728" s="899">
        <v>-3.0000000000000001E-3</v>
      </c>
      <c r="F728" s="899"/>
      <c r="G728" s="899"/>
      <c r="H728" s="899"/>
      <c r="I728" s="1149" t="s">
        <v>658</v>
      </c>
      <c r="J728" s="898"/>
    </row>
    <row r="729" spans="1:10" s="896" customFormat="1" ht="17.149999999999999" customHeight="1">
      <c r="A729" s="1152" t="s">
        <v>1393</v>
      </c>
      <c r="B729" s="1153"/>
      <c r="C729" s="676"/>
      <c r="D729" s="897">
        <f t="shared" si="16"/>
        <v>-11.275</v>
      </c>
      <c r="E729" s="899">
        <v>-11.275</v>
      </c>
      <c r="F729" s="899"/>
      <c r="G729" s="899"/>
      <c r="H729" s="899"/>
      <c r="I729" s="1149" t="s">
        <v>658</v>
      </c>
      <c r="J729" s="898"/>
    </row>
    <row r="730" spans="1:10" s="896" customFormat="1" ht="17.149999999999999" customHeight="1">
      <c r="A730" s="1152" t="s">
        <v>1546</v>
      </c>
      <c r="B730" s="1153"/>
      <c r="C730" s="676"/>
      <c r="D730" s="897">
        <f t="shared" si="16"/>
        <v>207.637</v>
      </c>
      <c r="E730" s="899">
        <v>207.637</v>
      </c>
      <c r="F730" s="899"/>
      <c r="G730" s="899"/>
      <c r="H730" s="899"/>
      <c r="I730" s="1149" t="s">
        <v>658</v>
      </c>
      <c r="J730" s="898"/>
    </row>
    <row r="731" spans="1:10" s="896" customFormat="1" ht="17.149999999999999" customHeight="1">
      <c r="A731" s="1152" t="s">
        <v>1310</v>
      </c>
      <c r="B731" s="1153"/>
      <c r="C731" s="676"/>
      <c r="D731" s="897">
        <f t="shared" si="16"/>
        <v>-4593.9809999999998</v>
      </c>
      <c r="E731" s="899">
        <v>-4593.9809999999998</v>
      </c>
      <c r="F731" s="899"/>
      <c r="G731" s="899"/>
      <c r="H731" s="899"/>
      <c r="I731" s="1149" t="s">
        <v>658</v>
      </c>
      <c r="J731" s="898"/>
    </row>
    <row r="732" spans="1:10" s="896" customFormat="1" ht="17.149999999999999" customHeight="1">
      <c r="A732" s="1152" t="s">
        <v>1394</v>
      </c>
      <c r="B732" s="1153"/>
      <c r="C732" s="676"/>
      <c r="D732" s="897">
        <f t="shared" si="16"/>
        <v>481.99700000000001</v>
      </c>
      <c r="E732" s="899">
        <v>481.99700000000001</v>
      </c>
      <c r="F732" s="899"/>
      <c r="G732" s="899"/>
      <c r="H732" s="899"/>
      <c r="I732" s="1149" t="s">
        <v>658</v>
      </c>
      <c r="J732" s="898"/>
    </row>
    <row r="733" spans="1:10" s="896" customFormat="1" ht="17.149999999999999" customHeight="1">
      <c r="A733" s="1152" t="s">
        <v>1311</v>
      </c>
      <c r="B733" s="1153"/>
      <c r="C733" s="676"/>
      <c r="D733" s="897">
        <f t="shared" si="16"/>
        <v>-9.61</v>
      </c>
      <c r="E733" s="899">
        <v>-9.61</v>
      </c>
      <c r="F733" s="899"/>
      <c r="G733" s="899"/>
      <c r="H733" s="899"/>
      <c r="I733" s="1149" t="s">
        <v>658</v>
      </c>
      <c r="J733" s="898"/>
    </row>
    <row r="734" spans="1:10" s="896" customFormat="1" ht="17.149999999999999" customHeight="1">
      <c r="A734" s="1152" t="s">
        <v>1395</v>
      </c>
      <c r="B734" s="1153"/>
      <c r="C734" s="676"/>
      <c r="D734" s="897">
        <f t="shared" si="16"/>
        <v>19.434999999999999</v>
      </c>
      <c r="E734" s="899">
        <v>19.434999999999999</v>
      </c>
      <c r="F734" s="899"/>
      <c r="G734" s="899"/>
      <c r="H734" s="899"/>
      <c r="I734" s="1149" t="s">
        <v>658</v>
      </c>
      <c r="J734" s="898"/>
    </row>
    <row r="735" spans="1:10" s="896" customFormat="1" ht="17.149999999999999" customHeight="1">
      <c r="A735" s="1152" t="s">
        <v>1469</v>
      </c>
      <c r="B735" s="1153"/>
      <c r="C735" s="676"/>
      <c r="D735" s="897">
        <f t="shared" si="16"/>
        <v>-280.54899999999998</v>
      </c>
      <c r="E735" s="899">
        <v>-280.54899999999998</v>
      </c>
      <c r="F735" s="899"/>
      <c r="G735" s="899"/>
      <c r="H735" s="899"/>
      <c r="I735" s="1149" t="s">
        <v>658</v>
      </c>
      <c r="J735" s="898"/>
    </row>
    <row r="736" spans="1:10" s="896" customFormat="1" ht="17.149999999999999" customHeight="1">
      <c r="A736" s="1152" t="s">
        <v>1312</v>
      </c>
      <c r="B736" s="1153"/>
      <c r="C736" s="676"/>
      <c r="D736" s="897">
        <f t="shared" si="16"/>
        <v>-913.09</v>
      </c>
      <c r="E736" s="899">
        <v>-913.09</v>
      </c>
      <c r="F736" s="899"/>
      <c r="G736" s="899"/>
      <c r="H736" s="899"/>
      <c r="I736" s="1149" t="s">
        <v>658</v>
      </c>
      <c r="J736" s="898"/>
    </row>
    <row r="737" spans="1:10" s="896" customFormat="1" ht="17.149999999999999" customHeight="1">
      <c r="A737" s="1152" t="s">
        <v>1313</v>
      </c>
      <c r="B737" s="1153"/>
      <c r="C737" s="676"/>
      <c r="D737" s="897">
        <f t="shared" si="16"/>
        <v>-10019.86</v>
      </c>
      <c r="E737" s="899">
        <v>-10019.86</v>
      </c>
      <c r="F737" s="899"/>
      <c r="G737" s="899"/>
      <c r="H737" s="899"/>
      <c r="I737" s="1149" t="s">
        <v>658</v>
      </c>
      <c r="J737" s="898"/>
    </row>
    <row r="738" spans="1:10" s="896" customFormat="1" ht="17.149999999999999" customHeight="1">
      <c r="A738" s="1152" t="s">
        <v>1314</v>
      </c>
      <c r="B738" s="1153"/>
      <c r="C738" s="676"/>
      <c r="D738" s="897">
        <f t="shared" si="16"/>
        <v>-602.83799999999997</v>
      </c>
      <c r="E738" s="899">
        <v>-602.83799999999997</v>
      </c>
      <c r="F738" s="899"/>
      <c r="G738" s="899"/>
      <c r="H738" s="899"/>
      <c r="I738" s="1149" t="s">
        <v>658</v>
      </c>
      <c r="J738" s="898"/>
    </row>
    <row r="739" spans="1:10" s="896" customFormat="1" ht="17.149999999999999" customHeight="1">
      <c r="A739" s="1152" t="s">
        <v>1396</v>
      </c>
      <c r="B739" s="1153"/>
      <c r="C739" s="676"/>
      <c r="D739" s="897">
        <f t="shared" si="16"/>
        <v>-407.92200000000003</v>
      </c>
      <c r="E739" s="899">
        <v>-407.92200000000003</v>
      </c>
      <c r="F739" s="899"/>
      <c r="G739" s="899"/>
      <c r="H739" s="899"/>
      <c r="I739" s="1149" t="s">
        <v>658</v>
      </c>
      <c r="J739" s="898"/>
    </row>
    <row r="740" spans="1:10" s="896" customFormat="1" ht="17.149999999999999" customHeight="1">
      <c r="A740" s="1152" t="s">
        <v>1681</v>
      </c>
      <c r="B740" s="1153"/>
      <c r="C740" s="676"/>
      <c r="D740" s="897">
        <f t="shared" si="16"/>
        <v>-11573.083000000001</v>
      </c>
      <c r="E740" s="899">
        <v>-11573.083000000001</v>
      </c>
      <c r="F740" s="899"/>
      <c r="G740" s="899"/>
      <c r="H740" s="899"/>
      <c r="I740" s="1149" t="s">
        <v>658</v>
      </c>
      <c r="J740" s="898"/>
    </row>
    <row r="741" spans="1:10" s="896" customFormat="1" ht="17.149999999999999" customHeight="1">
      <c r="A741" s="1152" t="s">
        <v>1470</v>
      </c>
      <c r="B741" s="1153"/>
      <c r="C741" s="676"/>
      <c r="D741" s="897">
        <f t="shared" si="16"/>
        <v>-37.44</v>
      </c>
      <c r="E741" s="899">
        <v>-37.44</v>
      </c>
      <c r="F741" s="899"/>
      <c r="G741" s="899"/>
      <c r="H741" s="899"/>
      <c r="I741" s="1149" t="s">
        <v>658</v>
      </c>
      <c r="J741" s="898"/>
    </row>
    <row r="742" spans="1:10" s="896" customFormat="1" ht="17.149999999999999" customHeight="1">
      <c r="A742" s="1152" t="s">
        <v>1471</v>
      </c>
      <c r="B742" s="1153"/>
      <c r="C742" s="676"/>
      <c r="D742" s="897">
        <f t="shared" si="16"/>
        <v>-347.25799999999998</v>
      </c>
      <c r="E742" s="899">
        <v>-347.25799999999998</v>
      </c>
      <c r="F742" s="899"/>
      <c r="G742" s="899"/>
      <c r="H742" s="899"/>
      <c r="I742" s="1149" t="s">
        <v>658</v>
      </c>
      <c r="J742" s="898"/>
    </row>
    <row r="743" spans="1:10" s="896" customFormat="1" ht="17.149999999999999" customHeight="1">
      <c r="A743" s="1152" t="s">
        <v>1472</v>
      </c>
      <c r="B743" s="1153"/>
      <c r="C743" s="676"/>
      <c r="D743" s="897">
        <f t="shared" si="16"/>
        <v>-207.69</v>
      </c>
      <c r="E743" s="899">
        <v>-207.69</v>
      </c>
      <c r="F743" s="899"/>
      <c r="G743" s="899"/>
      <c r="H743" s="899"/>
      <c r="I743" s="1149" t="s">
        <v>658</v>
      </c>
      <c r="J743" s="898"/>
    </row>
    <row r="744" spans="1:10" s="896" customFormat="1" ht="17.149999999999999" customHeight="1">
      <c r="A744" s="1152" t="s">
        <v>1473</v>
      </c>
      <c r="B744" s="1153"/>
      <c r="C744" s="676"/>
      <c r="D744" s="897">
        <f t="shared" si="16"/>
        <v>-484.60399999999998</v>
      </c>
      <c r="E744" s="899">
        <v>-484.60399999999998</v>
      </c>
      <c r="F744" s="899"/>
      <c r="G744" s="899"/>
      <c r="H744" s="899"/>
      <c r="I744" s="1149" t="s">
        <v>658</v>
      </c>
      <c r="J744" s="898"/>
    </row>
    <row r="745" spans="1:10" s="896" customFormat="1" ht="17.149999999999999" customHeight="1">
      <c r="A745" s="1152" t="s">
        <v>1087</v>
      </c>
      <c r="B745" s="1153"/>
      <c r="C745" s="676"/>
      <c r="D745" s="897">
        <f t="shared" si="16"/>
        <v>-13835.621999999999</v>
      </c>
      <c r="E745" s="899">
        <v>-13835.621999999999</v>
      </c>
      <c r="F745" s="899"/>
      <c r="G745" s="899"/>
      <c r="H745" s="899"/>
      <c r="I745" s="1149" t="s">
        <v>658</v>
      </c>
      <c r="J745" s="898"/>
    </row>
    <row r="746" spans="1:10" s="896" customFormat="1" ht="17.149999999999999" customHeight="1">
      <c r="A746" s="1152" t="s">
        <v>1089</v>
      </c>
      <c r="B746" s="1153"/>
      <c r="C746" s="676"/>
      <c r="D746" s="897">
        <f t="shared" si="16"/>
        <v>-1957.4690000000001</v>
      </c>
      <c r="E746" s="899">
        <v>-1957.4690000000001</v>
      </c>
      <c r="F746" s="899"/>
      <c r="G746" s="899"/>
      <c r="H746" s="899"/>
      <c r="I746" s="1149" t="s">
        <v>658</v>
      </c>
      <c r="J746" s="898"/>
    </row>
    <row r="747" spans="1:10" s="896" customFormat="1" ht="17.149999999999999" customHeight="1">
      <c r="A747" s="1152" t="s">
        <v>1088</v>
      </c>
      <c r="B747" s="1153"/>
      <c r="C747" s="676"/>
      <c r="D747" s="897">
        <f t="shared" si="16"/>
        <v>0</v>
      </c>
      <c r="E747" s="899"/>
      <c r="F747" s="899"/>
      <c r="G747" s="899"/>
      <c r="H747" s="899"/>
      <c r="I747" s="1149" t="s">
        <v>658</v>
      </c>
      <c r="J747" s="898"/>
    </row>
    <row r="748" spans="1:10" s="896" customFormat="1" ht="17.149999999999999" customHeight="1">
      <c r="A748" s="1152" t="s">
        <v>1090</v>
      </c>
      <c r="B748" s="1153"/>
      <c r="C748" s="676"/>
      <c r="D748" s="897">
        <f t="shared" si="16"/>
        <v>0</v>
      </c>
      <c r="E748" s="899"/>
      <c r="F748" s="899"/>
      <c r="G748" s="899"/>
      <c r="H748" s="899"/>
      <c r="I748" s="1149" t="s">
        <v>658</v>
      </c>
      <c r="J748" s="898"/>
    </row>
    <row r="749" spans="1:10" s="896" customFormat="1" ht="17.149999999999999" customHeight="1">
      <c r="A749" s="1152" t="s">
        <v>1091</v>
      </c>
      <c r="B749" s="1153"/>
      <c r="C749" s="676"/>
      <c r="D749" s="897">
        <f t="shared" si="16"/>
        <v>0</v>
      </c>
      <c r="E749" s="899"/>
      <c r="F749" s="899"/>
      <c r="G749" s="899"/>
      <c r="H749" s="899"/>
      <c r="I749" s="1149" t="s">
        <v>658</v>
      </c>
      <c r="J749" s="898"/>
    </row>
    <row r="750" spans="1:10" s="896" customFormat="1" ht="34" customHeight="1">
      <c r="A750" s="1152" t="s">
        <v>593</v>
      </c>
      <c r="B750" s="1153"/>
      <c r="C750" s="676"/>
      <c r="D750" s="897">
        <f t="shared" si="16"/>
        <v>0</v>
      </c>
      <c r="E750" s="899"/>
      <c r="F750" s="899"/>
      <c r="G750" s="899"/>
      <c r="H750" s="899"/>
      <c r="I750" s="1149" t="s">
        <v>16</v>
      </c>
      <c r="J750" s="898"/>
    </row>
    <row r="751" spans="1:10" s="896" customFormat="1" ht="34" customHeight="1">
      <c r="A751" s="1152" t="s">
        <v>594</v>
      </c>
      <c r="B751" s="1153"/>
      <c r="C751" s="676"/>
      <c r="D751" s="897">
        <f t="shared" si="16"/>
        <v>-1567.376</v>
      </c>
      <c r="E751" s="899"/>
      <c r="F751" s="899"/>
      <c r="G751" s="899"/>
      <c r="H751" s="899">
        <v>-1567.376</v>
      </c>
      <c r="I751" s="1149" t="s">
        <v>16</v>
      </c>
      <c r="J751" s="898"/>
    </row>
    <row r="752" spans="1:10" s="896" customFormat="1" ht="34" customHeight="1">
      <c r="A752" s="1152" t="s">
        <v>595</v>
      </c>
      <c r="B752" s="1153"/>
      <c r="C752" s="676"/>
      <c r="D752" s="897">
        <f t="shared" si="16"/>
        <v>0</v>
      </c>
      <c r="E752" s="899"/>
      <c r="F752" s="899"/>
      <c r="G752" s="899"/>
      <c r="H752" s="899"/>
      <c r="I752" s="1149" t="s">
        <v>16</v>
      </c>
      <c r="J752" s="898"/>
    </row>
    <row r="753" spans="1:10" s="896" customFormat="1" ht="34" customHeight="1">
      <c r="A753" s="1152" t="s">
        <v>596</v>
      </c>
      <c r="B753" s="1153"/>
      <c r="C753" s="676"/>
      <c r="D753" s="897">
        <f t="shared" si="16"/>
        <v>-2092.7020000000002</v>
      </c>
      <c r="E753" s="899">
        <v>-2092.7020000000002</v>
      </c>
      <c r="F753" s="899"/>
      <c r="G753" s="899"/>
      <c r="H753" s="899"/>
      <c r="I753" s="1149" t="s">
        <v>16</v>
      </c>
      <c r="J753" s="898"/>
    </row>
    <row r="754" spans="1:10" s="896" customFormat="1" ht="34" customHeight="1">
      <c r="A754" s="1152" t="s">
        <v>1093</v>
      </c>
      <c r="B754" s="1153"/>
      <c r="C754" s="676"/>
      <c r="D754" s="897">
        <f t="shared" si="16"/>
        <v>0</v>
      </c>
      <c r="E754" s="899"/>
      <c r="F754" s="899"/>
      <c r="G754" s="899"/>
      <c r="H754" s="899"/>
      <c r="I754" s="1149" t="s">
        <v>16</v>
      </c>
      <c r="J754" s="898"/>
    </row>
    <row r="755" spans="1:10" s="896" customFormat="1" ht="34" customHeight="1">
      <c r="A755" s="1152" t="s">
        <v>1157</v>
      </c>
      <c r="B755" s="1153"/>
      <c r="C755" s="676"/>
      <c r="D755" s="897">
        <f t="shared" si="16"/>
        <v>-2811.4670000000001</v>
      </c>
      <c r="E755" s="899">
        <v>-2811.4670000000001</v>
      </c>
      <c r="F755" s="899"/>
      <c r="G755" s="899"/>
      <c r="H755" s="899"/>
      <c r="I755" s="1149" t="s">
        <v>16</v>
      </c>
      <c r="J755" s="898"/>
    </row>
    <row r="756" spans="1:10" s="896" customFormat="1" ht="34" customHeight="1">
      <c r="A756" s="1152" t="s">
        <v>1092</v>
      </c>
      <c r="B756" s="1153"/>
      <c r="C756" s="676"/>
      <c r="D756" s="897">
        <f t="shared" si="16"/>
        <v>-14284.205</v>
      </c>
      <c r="E756" s="899">
        <v>-14284.205</v>
      </c>
      <c r="F756" s="899"/>
      <c r="G756" s="899"/>
      <c r="H756" s="899"/>
      <c r="I756" s="1149" t="s">
        <v>16</v>
      </c>
      <c r="J756" s="898"/>
    </row>
    <row r="757" spans="1:10" s="896" customFormat="1" ht="17.149999999999999" customHeight="1">
      <c r="A757" s="1152" t="s">
        <v>741</v>
      </c>
      <c r="B757" s="1153"/>
      <c r="C757" s="676"/>
      <c r="D757" s="897">
        <f t="shared" si="16"/>
        <v>-332.721</v>
      </c>
      <c r="E757" s="899">
        <v>-332.721</v>
      </c>
      <c r="F757" s="899"/>
      <c r="G757" s="899"/>
      <c r="H757" s="899"/>
      <c r="I757" s="1149" t="s">
        <v>658</v>
      </c>
      <c r="J757" s="898"/>
    </row>
    <row r="758" spans="1:10" s="896" customFormat="1" ht="34" customHeight="1">
      <c r="A758" s="1152" t="s">
        <v>598</v>
      </c>
      <c r="B758" s="1153"/>
      <c r="C758" s="676"/>
      <c r="D758" s="897">
        <f t="shared" si="16"/>
        <v>0</v>
      </c>
      <c r="E758" s="899"/>
      <c r="F758" s="899"/>
      <c r="G758" s="899"/>
      <c r="H758" s="899"/>
      <c r="I758" s="1149" t="s">
        <v>239</v>
      </c>
      <c r="J758" s="898"/>
    </row>
    <row r="759" spans="1:10" s="896" customFormat="1" ht="34" customHeight="1">
      <c r="A759" s="1152" t="s">
        <v>599</v>
      </c>
      <c r="B759" s="1153"/>
      <c r="C759" s="676"/>
      <c r="D759" s="897">
        <f t="shared" si="16"/>
        <v>0</v>
      </c>
      <c r="E759" s="899"/>
      <c r="F759" s="899"/>
      <c r="G759" s="899"/>
      <c r="H759" s="899"/>
      <c r="I759" s="1149" t="s">
        <v>591</v>
      </c>
      <c r="J759" s="898"/>
    </row>
    <row r="760" spans="1:10" s="896" customFormat="1" ht="34" customHeight="1">
      <c r="A760" s="1152" t="s">
        <v>600</v>
      </c>
      <c r="B760" s="1153"/>
      <c r="C760" s="676"/>
      <c r="D760" s="897">
        <f t="shared" si="16"/>
        <v>-4593.0010000000002</v>
      </c>
      <c r="E760" s="899"/>
      <c r="F760" s="899"/>
      <c r="G760" s="899">
        <v>-4593.0010000000002</v>
      </c>
      <c r="H760" s="899"/>
      <c r="I760" s="1149" t="s">
        <v>136</v>
      </c>
      <c r="J760" s="898"/>
    </row>
    <row r="761" spans="1:10" s="896" customFormat="1" ht="17.149999999999999" customHeight="1">
      <c r="A761" s="1152" t="s">
        <v>1201</v>
      </c>
      <c r="B761" s="1153"/>
      <c r="C761" s="676"/>
      <c r="D761" s="897">
        <f t="shared" si="16"/>
        <v>-29555.893</v>
      </c>
      <c r="E761" s="899">
        <v>-29555.893</v>
      </c>
      <c r="F761" s="899"/>
      <c r="G761" s="899"/>
      <c r="H761" s="899"/>
      <c r="I761" s="1149" t="s">
        <v>658</v>
      </c>
      <c r="J761" s="898"/>
    </row>
    <row r="762" spans="1:10" s="896" customFormat="1" ht="17.149999999999999" customHeight="1">
      <c r="A762" s="1152" t="s">
        <v>547</v>
      </c>
      <c r="B762" s="1153"/>
      <c r="C762" s="676"/>
      <c r="D762" s="897">
        <f t="shared" si="16"/>
        <v>-546.53099999999995</v>
      </c>
      <c r="E762" s="899">
        <v>-546.53099999999995</v>
      </c>
      <c r="F762" s="899"/>
      <c r="G762" s="899"/>
      <c r="H762" s="899"/>
      <c r="I762" s="1149" t="s">
        <v>658</v>
      </c>
      <c r="J762" s="898"/>
    </row>
    <row r="763" spans="1:10" s="896" customFormat="1" ht="17.149999999999999" customHeight="1">
      <c r="A763" s="1152" t="s">
        <v>1211</v>
      </c>
      <c r="B763" s="1153"/>
      <c r="C763" s="676"/>
      <c r="D763" s="897">
        <f t="shared" si="16"/>
        <v>-5574.0420000000004</v>
      </c>
      <c r="E763" s="899">
        <v>-5574.0420000000004</v>
      </c>
      <c r="F763" s="899"/>
      <c r="G763" s="899"/>
      <c r="H763" s="899"/>
      <c r="I763" s="1149" t="s">
        <v>658</v>
      </c>
      <c r="J763" s="898"/>
    </row>
    <row r="764" spans="1:10" s="896" customFormat="1" ht="17.149999999999999" customHeight="1">
      <c r="A764" s="1152" t="s">
        <v>1219</v>
      </c>
      <c r="B764" s="1153"/>
      <c r="C764" s="676"/>
      <c r="D764" s="897">
        <f t="shared" si="16"/>
        <v>-2.4009999999999998</v>
      </c>
      <c r="E764" s="899">
        <v>-2.4009999999999998</v>
      </c>
      <c r="F764" s="899"/>
      <c r="G764" s="899"/>
      <c r="H764" s="899"/>
      <c r="I764" s="1149" t="s">
        <v>658</v>
      </c>
      <c r="J764" s="898"/>
    </row>
    <row r="765" spans="1:10" s="896" customFormat="1" ht="17.149999999999999" customHeight="1">
      <c r="A765" s="1152" t="s">
        <v>772</v>
      </c>
      <c r="B765" s="1153"/>
      <c r="C765" s="676"/>
      <c r="D765" s="897">
        <f t="shared" si="16"/>
        <v>-825.07500000000005</v>
      </c>
      <c r="E765" s="899">
        <v>-825.07500000000005</v>
      </c>
      <c r="F765" s="899"/>
      <c r="G765" s="899"/>
      <c r="H765" s="899"/>
      <c r="I765" s="1149" t="s">
        <v>658</v>
      </c>
      <c r="J765" s="898"/>
    </row>
    <row r="766" spans="1:10" s="896" customFormat="1" ht="17.149999999999999" customHeight="1">
      <c r="A766" s="1152" t="s">
        <v>1397</v>
      </c>
      <c r="B766" s="1153"/>
      <c r="C766" s="676"/>
      <c r="D766" s="897">
        <f t="shared" si="16"/>
        <v>-498.63400000000001</v>
      </c>
      <c r="E766" s="899">
        <v>-498.63400000000001</v>
      </c>
      <c r="F766" s="899"/>
      <c r="G766" s="899"/>
      <c r="H766" s="899"/>
      <c r="I766" s="1149" t="s">
        <v>658</v>
      </c>
      <c r="J766" s="898"/>
    </row>
    <row r="767" spans="1:10" s="896" customFormat="1" ht="17.149999999999999" customHeight="1">
      <c r="A767" s="1152" t="s">
        <v>1547</v>
      </c>
      <c r="B767" s="1153"/>
      <c r="C767" s="676"/>
      <c r="D767" s="897">
        <f t="shared" si="16"/>
        <v>0</v>
      </c>
      <c r="E767" s="899"/>
      <c r="F767" s="899"/>
      <c r="G767" s="899"/>
      <c r="H767" s="899"/>
      <c r="I767" s="1149" t="s">
        <v>658</v>
      </c>
      <c r="J767" s="898"/>
    </row>
    <row r="768" spans="1:10" s="896" customFormat="1" ht="17.149999999999999" customHeight="1">
      <c r="A768" s="1152" t="s">
        <v>1548</v>
      </c>
      <c r="B768" s="1153"/>
      <c r="C768" s="676"/>
      <c r="D768" s="897">
        <f t="shared" si="16"/>
        <v>0</v>
      </c>
      <c r="E768" s="899"/>
      <c r="F768" s="899"/>
      <c r="G768" s="899"/>
      <c r="H768" s="899"/>
      <c r="I768" s="1149" t="s">
        <v>658</v>
      </c>
      <c r="J768" s="898"/>
    </row>
    <row r="769" spans="1:10" s="896" customFormat="1" ht="17.149999999999999" customHeight="1">
      <c r="A769" s="1152" t="s">
        <v>1497</v>
      </c>
      <c r="B769" s="1153"/>
      <c r="C769" s="676"/>
      <c r="D769" s="897">
        <f t="shared" si="16"/>
        <v>0</v>
      </c>
      <c r="E769" s="899"/>
      <c r="F769" s="899"/>
      <c r="G769" s="899"/>
      <c r="H769" s="899"/>
      <c r="I769" s="1149" t="s">
        <v>658</v>
      </c>
      <c r="J769" s="898"/>
    </row>
    <row r="770" spans="1:10" s="896" customFormat="1" ht="17.149999999999999" customHeight="1">
      <c r="A770" s="1152" t="s">
        <v>1518</v>
      </c>
      <c r="B770" s="1153"/>
      <c r="C770" s="676"/>
      <c r="D770" s="897">
        <f t="shared" si="16"/>
        <v>0</v>
      </c>
      <c r="E770" s="899"/>
      <c r="F770" s="899"/>
      <c r="G770" s="899"/>
      <c r="H770" s="899"/>
      <c r="I770" s="1149" t="s">
        <v>658</v>
      </c>
      <c r="J770" s="898"/>
    </row>
    <row r="771" spans="1:10" s="896" customFormat="1" ht="17.149999999999999" customHeight="1">
      <c r="A771" s="1152" t="s">
        <v>1102</v>
      </c>
      <c r="B771" s="1153"/>
      <c r="C771" s="676"/>
      <c r="D771" s="897">
        <f t="shared" si="16"/>
        <v>-8900.4920000000002</v>
      </c>
      <c r="E771" s="899">
        <v>-8900.4920000000002</v>
      </c>
      <c r="F771" s="899"/>
      <c r="G771" s="899"/>
      <c r="H771" s="899"/>
      <c r="I771" s="1149" t="s">
        <v>658</v>
      </c>
      <c r="J771" s="898"/>
    </row>
    <row r="772" spans="1:10" s="896" customFormat="1" ht="17.149999999999999" customHeight="1">
      <c r="A772" s="1152" t="s">
        <v>1105</v>
      </c>
      <c r="B772" s="1153"/>
      <c r="C772" s="676"/>
      <c r="D772" s="897">
        <f t="shared" si="16"/>
        <v>0</v>
      </c>
      <c r="E772" s="899"/>
      <c r="F772" s="899"/>
      <c r="G772" s="899"/>
      <c r="H772" s="899"/>
      <c r="I772" s="1149" t="s">
        <v>658</v>
      </c>
      <c r="J772" s="898"/>
    </row>
    <row r="773" spans="1:10" s="896" customFormat="1" ht="17.149999999999999" customHeight="1">
      <c r="A773" s="1152" t="s">
        <v>1113</v>
      </c>
      <c r="B773" s="1153"/>
      <c r="C773" s="676"/>
      <c r="D773" s="897">
        <f t="shared" si="16"/>
        <v>-173.15199999999999</v>
      </c>
      <c r="E773" s="899">
        <v>-173.15199999999999</v>
      </c>
      <c r="F773" s="899"/>
      <c r="G773" s="899"/>
      <c r="H773" s="899"/>
      <c r="I773" s="1149" t="s">
        <v>658</v>
      </c>
      <c r="J773" s="898"/>
    </row>
    <row r="774" spans="1:10" s="896" customFormat="1" ht="17.149999999999999" customHeight="1">
      <c r="A774" s="1152" t="s">
        <v>1549</v>
      </c>
      <c r="B774" s="1153"/>
      <c r="C774" s="676"/>
      <c r="D774" s="897">
        <f t="shared" si="16"/>
        <v>-288.47899999999998</v>
      </c>
      <c r="E774" s="899">
        <v>-288.47899999999998</v>
      </c>
      <c r="F774" s="899"/>
      <c r="G774" s="899"/>
      <c r="H774" s="899"/>
      <c r="I774" s="1149" t="s">
        <v>658</v>
      </c>
      <c r="J774" s="898"/>
    </row>
    <row r="775" spans="1:10" s="896" customFormat="1" ht="17.149999999999999" customHeight="1">
      <c r="A775" s="1152" t="s">
        <v>1550</v>
      </c>
      <c r="B775" s="1153"/>
      <c r="C775" s="676"/>
      <c r="D775" s="897">
        <f t="shared" ref="D775:D805" si="17">SUM(E775:H775)</f>
        <v>0</v>
      </c>
      <c r="E775" s="899">
        <v>0</v>
      </c>
      <c r="F775" s="899"/>
      <c r="G775" s="899"/>
      <c r="H775" s="899"/>
      <c r="I775" s="1149" t="s">
        <v>658</v>
      </c>
      <c r="J775" s="898"/>
    </row>
    <row r="776" spans="1:10" s="896" customFormat="1" ht="17.149999999999999" customHeight="1">
      <c r="A776" s="1152" t="s">
        <v>1551</v>
      </c>
      <c r="B776" s="1153"/>
      <c r="C776" s="676"/>
      <c r="D776" s="897">
        <f t="shared" si="17"/>
        <v>0</v>
      </c>
      <c r="E776" s="899">
        <v>0</v>
      </c>
      <c r="F776" s="899"/>
      <c r="G776" s="899"/>
      <c r="H776" s="899"/>
      <c r="I776" s="1149" t="s">
        <v>658</v>
      </c>
      <c r="J776" s="898"/>
    </row>
    <row r="777" spans="1:10" s="896" customFormat="1" ht="17.149999999999999" customHeight="1">
      <c r="A777" s="1152" t="s">
        <v>1499</v>
      </c>
      <c r="B777" s="1153"/>
      <c r="C777" s="676"/>
      <c r="D777" s="897">
        <f t="shared" si="17"/>
        <v>0</v>
      </c>
      <c r="E777" s="899"/>
      <c r="F777" s="899"/>
      <c r="G777" s="899"/>
      <c r="H777" s="899"/>
      <c r="I777" s="1149" t="s">
        <v>658</v>
      </c>
      <c r="J777" s="898"/>
    </row>
    <row r="778" spans="1:10" s="896" customFormat="1" ht="17.149999999999999" customHeight="1">
      <c r="A778" s="1152" t="s">
        <v>1398</v>
      </c>
      <c r="B778" s="1153"/>
      <c r="C778" s="676"/>
      <c r="D778" s="897">
        <f t="shared" si="17"/>
        <v>0</v>
      </c>
      <c r="E778" s="899"/>
      <c r="F778" s="899"/>
      <c r="G778" s="899"/>
      <c r="H778" s="899"/>
      <c r="I778" s="1149" t="s">
        <v>658</v>
      </c>
      <c r="J778" s="898"/>
    </row>
    <row r="779" spans="1:10" s="896" customFormat="1" ht="17.149999999999999" customHeight="1">
      <c r="A779" s="1152" t="s">
        <v>1552</v>
      </c>
      <c r="B779" s="1153"/>
      <c r="C779" s="676"/>
      <c r="D779" s="897">
        <f t="shared" si="17"/>
        <v>0</v>
      </c>
      <c r="E779" s="899"/>
      <c r="F779" s="899"/>
      <c r="G779" s="899"/>
      <c r="H779" s="899"/>
      <c r="I779" s="1149" t="s">
        <v>658</v>
      </c>
      <c r="J779" s="898"/>
    </row>
    <row r="780" spans="1:10" s="896" customFormat="1" ht="17.149999999999999" customHeight="1">
      <c r="A780" s="1152" t="s">
        <v>1400</v>
      </c>
      <c r="B780" s="1153"/>
      <c r="C780" s="676"/>
      <c r="D780" s="897">
        <f t="shared" si="17"/>
        <v>-520.81100000000004</v>
      </c>
      <c r="E780" s="899">
        <v>-520.81100000000004</v>
      </c>
      <c r="F780" s="899"/>
      <c r="G780" s="899"/>
      <c r="H780" s="899"/>
      <c r="I780" s="1149" t="s">
        <v>658</v>
      </c>
      <c r="J780" s="898"/>
    </row>
    <row r="781" spans="1:10" s="896" customFormat="1" ht="17.149999999999999" customHeight="1">
      <c r="A781" s="1152" t="s">
        <v>1553</v>
      </c>
      <c r="B781" s="1153"/>
      <c r="C781" s="676"/>
      <c r="D781" s="897">
        <f t="shared" si="17"/>
        <v>-94.828999999999994</v>
      </c>
      <c r="E781" s="899">
        <v>-94.828999999999994</v>
      </c>
      <c r="F781" s="899"/>
      <c r="G781" s="899"/>
      <c r="H781" s="899"/>
      <c r="I781" s="1149" t="s">
        <v>658</v>
      </c>
      <c r="J781" s="898"/>
    </row>
    <row r="782" spans="1:10" s="896" customFormat="1" ht="17.149999999999999" customHeight="1">
      <c r="A782" s="1152" t="s">
        <v>1501</v>
      </c>
      <c r="B782" s="1153"/>
      <c r="C782" s="676"/>
      <c r="D782" s="897">
        <f t="shared" si="17"/>
        <v>0</v>
      </c>
      <c r="E782" s="899"/>
      <c r="F782" s="899"/>
      <c r="G782" s="899"/>
      <c r="H782" s="899"/>
      <c r="I782" s="1149" t="s">
        <v>658</v>
      </c>
      <c r="J782" s="898"/>
    </row>
    <row r="783" spans="1:10" s="896" customFormat="1" ht="17.149999999999999" customHeight="1">
      <c r="A783" s="1152" t="s">
        <v>739</v>
      </c>
      <c r="B783" s="1153"/>
      <c r="C783" s="676"/>
      <c r="D783" s="897">
        <f t="shared" si="17"/>
        <v>0</v>
      </c>
      <c r="E783" s="899">
        <v>0</v>
      </c>
      <c r="F783" s="899"/>
      <c r="G783" s="899"/>
      <c r="H783" s="899"/>
      <c r="I783" s="1149" t="s">
        <v>658</v>
      </c>
      <c r="J783" s="898"/>
    </row>
    <row r="784" spans="1:10" s="896" customFormat="1" ht="17.149999999999999" customHeight="1">
      <c r="A784" s="1152" t="s">
        <v>1502</v>
      </c>
      <c r="B784" s="1153"/>
      <c r="C784" s="676"/>
      <c r="D784" s="897">
        <f t="shared" si="17"/>
        <v>0</v>
      </c>
      <c r="E784" s="899">
        <v>0</v>
      </c>
      <c r="F784" s="899"/>
      <c r="G784" s="899"/>
      <c r="H784" s="899"/>
      <c r="I784" s="1149" t="s">
        <v>658</v>
      </c>
      <c r="J784" s="898"/>
    </row>
    <row r="785" spans="1:10" s="896" customFormat="1" ht="17.149999999999999" customHeight="1">
      <c r="A785" s="1152" t="s">
        <v>1554</v>
      </c>
      <c r="B785" s="1153"/>
      <c r="C785" s="676"/>
      <c r="D785" s="897">
        <f t="shared" si="17"/>
        <v>0</v>
      </c>
      <c r="E785" s="899"/>
      <c r="F785" s="899"/>
      <c r="G785" s="899"/>
      <c r="H785" s="899"/>
      <c r="I785" s="1149" t="s">
        <v>658</v>
      </c>
      <c r="J785" s="898"/>
    </row>
    <row r="786" spans="1:10" s="896" customFormat="1" ht="17.149999999999999" customHeight="1">
      <c r="A786" s="1152" t="s">
        <v>1555</v>
      </c>
      <c r="B786" s="1153"/>
      <c r="C786" s="676"/>
      <c r="D786" s="897">
        <f t="shared" si="17"/>
        <v>0</v>
      </c>
      <c r="E786" s="899"/>
      <c r="F786" s="899"/>
      <c r="G786" s="899"/>
      <c r="H786" s="899"/>
      <c r="I786" s="1149" t="s">
        <v>658</v>
      </c>
      <c r="J786" s="898"/>
    </row>
    <row r="787" spans="1:10" s="896" customFormat="1" ht="17.149999999999999" customHeight="1">
      <c r="A787" s="1152" t="s">
        <v>1556</v>
      </c>
      <c r="B787" s="1153"/>
      <c r="C787" s="676"/>
      <c r="D787" s="897">
        <f t="shared" si="17"/>
        <v>0</v>
      </c>
      <c r="E787" s="899"/>
      <c r="F787" s="899"/>
      <c r="G787" s="899"/>
      <c r="H787" s="899"/>
      <c r="I787" s="1149" t="s">
        <v>658</v>
      </c>
      <c r="J787" s="898"/>
    </row>
    <row r="788" spans="1:10" s="896" customFormat="1" ht="17.149999999999999" customHeight="1">
      <c r="A788" s="1152" t="s">
        <v>1557</v>
      </c>
      <c r="B788" s="1153"/>
      <c r="C788" s="676"/>
      <c r="D788" s="897">
        <f t="shared" si="17"/>
        <v>0</v>
      </c>
      <c r="E788" s="899"/>
      <c r="F788" s="899"/>
      <c r="G788" s="899"/>
      <c r="H788" s="899"/>
      <c r="I788" s="1149" t="s">
        <v>658</v>
      </c>
      <c r="J788" s="898"/>
    </row>
    <row r="789" spans="1:10" s="896" customFormat="1" ht="17.149999999999999" customHeight="1">
      <c r="A789" s="1152" t="s">
        <v>1503</v>
      </c>
      <c r="B789" s="1153"/>
      <c r="C789" s="676"/>
      <c r="D789" s="897">
        <f t="shared" si="17"/>
        <v>-107.54600000000001</v>
      </c>
      <c r="E789" s="899">
        <v>-107.54600000000001</v>
      </c>
      <c r="F789" s="899"/>
      <c r="G789" s="899"/>
      <c r="H789" s="899"/>
      <c r="I789" s="1149" t="s">
        <v>658</v>
      </c>
      <c r="J789" s="898"/>
    </row>
    <row r="790" spans="1:10" s="896" customFormat="1" ht="17.149999999999999" customHeight="1">
      <c r="A790" s="1152" t="s">
        <v>1558</v>
      </c>
      <c r="B790" s="1153"/>
      <c r="C790" s="676"/>
      <c r="D790" s="897">
        <f t="shared" si="17"/>
        <v>0</v>
      </c>
      <c r="E790" s="899"/>
      <c r="F790" s="899"/>
      <c r="G790" s="899"/>
      <c r="H790" s="899"/>
      <c r="I790" s="1149" t="s">
        <v>658</v>
      </c>
      <c r="J790" s="898"/>
    </row>
    <row r="791" spans="1:10" s="896" customFormat="1" ht="17.149999999999999" customHeight="1">
      <c r="A791" s="1152" t="s">
        <v>1504</v>
      </c>
      <c r="B791" s="1153"/>
      <c r="C791" s="676"/>
      <c r="D791" s="897">
        <f t="shared" si="17"/>
        <v>-1177.876</v>
      </c>
      <c r="E791" s="899">
        <v>-1177.876</v>
      </c>
      <c r="F791" s="899"/>
      <c r="G791" s="899"/>
      <c r="H791" s="899"/>
      <c r="I791" s="1149" t="s">
        <v>658</v>
      </c>
      <c r="J791" s="898"/>
    </row>
    <row r="792" spans="1:10" s="896" customFormat="1" ht="17.149999999999999" customHeight="1">
      <c r="A792" s="1152" t="s">
        <v>1505</v>
      </c>
      <c r="B792" s="1153"/>
      <c r="C792" s="676"/>
      <c r="D792" s="897">
        <f t="shared" si="17"/>
        <v>0</v>
      </c>
      <c r="E792" s="899">
        <v>0</v>
      </c>
      <c r="F792" s="899"/>
      <c r="G792" s="899"/>
      <c r="H792" s="899"/>
      <c r="I792" s="1149" t="s">
        <v>658</v>
      </c>
      <c r="J792" s="898"/>
    </row>
    <row r="793" spans="1:10" s="896" customFormat="1" ht="17.149999999999999" customHeight="1">
      <c r="A793" s="1152" t="s">
        <v>1506</v>
      </c>
      <c r="B793" s="1153"/>
      <c r="C793" s="676"/>
      <c r="D793" s="897">
        <f t="shared" si="17"/>
        <v>-54.261000000000003</v>
      </c>
      <c r="E793" s="899">
        <v>-54.261000000000003</v>
      </c>
      <c r="F793" s="899"/>
      <c r="G793" s="899"/>
      <c r="H793" s="899"/>
      <c r="I793" s="1149" t="s">
        <v>658</v>
      </c>
      <c r="J793" s="898"/>
    </row>
    <row r="794" spans="1:10" s="896" customFormat="1" ht="17.149999999999999" customHeight="1">
      <c r="A794" s="1152" t="s">
        <v>1507</v>
      </c>
      <c r="B794" s="1153"/>
      <c r="C794" s="676"/>
      <c r="D794" s="897">
        <f t="shared" si="17"/>
        <v>-1547.5540000000001</v>
      </c>
      <c r="E794" s="899">
        <v>-1547.5540000000001</v>
      </c>
      <c r="F794" s="899"/>
      <c r="G794" s="899"/>
      <c r="H794" s="899"/>
      <c r="I794" s="1149" t="s">
        <v>658</v>
      </c>
      <c r="J794" s="898"/>
    </row>
    <row r="795" spans="1:10" s="896" customFormat="1" ht="17.149999999999999" customHeight="1">
      <c r="A795" s="1152" t="s">
        <v>1508</v>
      </c>
      <c r="B795" s="1153"/>
      <c r="C795" s="676"/>
      <c r="D795" s="897">
        <f t="shared" si="17"/>
        <v>-207.637</v>
      </c>
      <c r="E795" s="899">
        <v>-207.637</v>
      </c>
      <c r="F795" s="899"/>
      <c r="G795" s="899"/>
      <c r="H795" s="899"/>
      <c r="I795" s="1149" t="s">
        <v>658</v>
      </c>
      <c r="J795" s="898"/>
    </row>
    <row r="796" spans="1:10" s="896" customFormat="1" ht="17.149999999999999" customHeight="1">
      <c r="A796" s="1152" t="s">
        <v>1509</v>
      </c>
      <c r="B796" s="1153"/>
      <c r="C796" s="676"/>
      <c r="D796" s="897">
        <f t="shared" si="17"/>
        <v>0</v>
      </c>
      <c r="E796" s="899">
        <v>0</v>
      </c>
      <c r="F796" s="899"/>
      <c r="G796" s="899"/>
      <c r="H796" s="899"/>
      <c r="I796" s="1149" t="s">
        <v>658</v>
      </c>
      <c r="J796" s="898"/>
    </row>
    <row r="797" spans="1:10" s="896" customFormat="1" ht="17.149999999999999" customHeight="1">
      <c r="A797" s="1152" t="s">
        <v>1510</v>
      </c>
      <c r="B797" s="1153"/>
      <c r="C797" s="676"/>
      <c r="D797" s="897">
        <f t="shared" si="17"/>
        <v>0</v>
      </c>
      <c r="E797" s="899">
        <v>0</v>
      </c>
      <c r="F797" s="899"/>
      <c r="G797" s="899"/>
      <c r="H797" s="899"/>
      <c r="I797" s="1149" t="s">
        <v>658</v>
      </c>
      <c r="J797" s="898"/>
    </row>
    <row r="798" spans="1:10" s="896" customFormat="1" ht="17.149999999999999" customHeight="1">
      <c r="A798" s="1152" t="s">
        <v>1559</v>
      </c>
      <c r="B798" s="1153"/>
      <c r="C798" s="676"/>
      <c r="D798" s="897">
        <f t="shared" si="17"/>
        <v>0</v>
      </c>
      <c r="E798" s="899"/>
      <c r="F798" s="899"/>
      <c r="G798" s="899"/>
      <c r="H798" s="899"/>
      <c r="I798" s="1149" t="s">
        <v>658</v>
      </c>
      <c r="J798" s="898"/>
    </row>
    <row r="799" spans="1:10" s="896" customFormat="1" ht="17.149999999999999" customHeight="1">
      <c r="A799" s="1152" t="s">
        <v>1511</v>
      </c>
      <c r="B799" s="1153"/>
      <c r="C799" s="676"/>
      <c r="D799" s="897">
        <f t="shared" si="17"/>
        <v>0</v>
      </c>
      <c r="E799" s="899"/>
      <c r="F799" s="899"/>
      <c r="G799" s="899"/>
      <c r="H799" s="899"/>
      <c r="I799" s="1149" t="s">
        <v>658</v>
      </c>
      <c r="J799" s="898"/>
    </row>
    <row r="800" spans="1:10" s="896" customFormat="1" ht="17.149999999999999" customHeight="1">
      <c r="A800" s="1152" t="s">
        <v>1512</v>
      </c>
      <c r="B800" s="1153"/>
      <c r="C800" s="676"/>
      <c r="D800" s="897">
        <f t="shared" si="17"/>
        <v>0</v>
      </c>
      <c r="E800" s="899">
        <v>0</v>
      </c>
      <c r="F800" s="899"/>
      <c r="G800" s="899"/>
      <c r="H800" s="899"/>
      <c r="I800" s="1149" t="s">
        <v>658</v>
      </c>
      <c r="J800" s="898"/>
    </row>
    <row r="801" spans="1:10" s="896" customFormat="1" ht="17.149999999999999" customHeight="1">
      <c r="A801" s="1152" t="s">
        <v>1399</v>
      </c>
      <c r="B801" s="1153"/>
      <c r="C801" s="676"/>
      <c r="D801" s="897">
        <f t="shared" si="17"/>
        <v>0</v>
      </c>
      <c r="E801" s="899"/>
      <c r="F801" s="899"/>
      <c r="G801" s="899"/>
      <c r="H801" s="899"/>
      <c r="I801" s="1149" t="s">
        <v>658</v>
      </c>
      <c r="J801" s="898"/>
    </row>
    <row r="802" spans="1:10" s="896" customFormat="1" ht="17.149999999999999" customHeight="1">
      <c r="A802" s="1152" t="s">
        <v>1517</v>
      </c>
      <c r="B802" s="1153"/>
      <c r="C802" s="676"/>
      <c r="D802" s="897">
        <f t="shared" si="17"/>
        <v>0</v>
      </c>
      <c r="E802" s="899"/>
      <c r="F802" s="899"/>
      <c r="G802" s="899"/>
      <c r="H802" s="899"/>
      <c r="I802" s="1149" t="s">
        <v>658</v>
      </c>
      <c r="J802" s="898"/>
    </row>
    <row r="803" spans="1:10" s="896" customFormat="1" ht="17.149999999999999" customHeight="1">
      <c r="A803" s="1152" t="s">
        <v>569</v>
      </c>
      <c r="B803" s="1153"/>
      <c r="C803" s="676"/>
      <c r="D803" s="897">
        <f t="shared" si="17"/>
        <v>-8453.1939999999995</v>
      </c>
      <c r="E803" s="899"/>
      <c r="F803" s="899"/>
      <c r="G803" s="899"/>
      <c r="H803" s="899">
        <v>-8453.1939999999995</v>
      </c>
      <c r="I803" s="1149" t="s">
        <v>270</v>
      </c>
      <c r="J803" s="898"/>
    </row>
    <row r="804" spans="1:10" s="896" customFormat="1" ht="17.149999999999999" customHeight="1">
      <c r="A804" s="1152" t="s">
        <v>1682</v>
      </c>
      <c r="B804" s="1153"/>
      <c r="C804" s="676"/>
      <c r="D804" s="897">
        <f t="shared" si="17"/>
        <v>-32.786000000000001</v>
      </c>
      <c r="E804" s="899">
        <v>-32.786000000000001</v>
      </c>
      <c r="F804" s="899"/>
      <c r="G804" s="899"/>
      <c r="H804" s="899"/>
      <c r="I804" s="1149" t="s">
        <v>658</v>
      </c>
      <c r="J804" s="898"/>
    </row>
    <row r="805" spans="1:10" s="896" customFormat="1" ht="17.149999999999999" customHeight="1">
      <c r="A805" s="1152" t="s">
        <v>1367</v>
      </c>
      <c r="B805" s="1153"/>
      <c r="C805" s="676"/>
      <c r="D805" s="897">
        <f t="shared" si="17"/>
        <v>-7.1999999999999995E-2</v>
      </c>
      <c r="E805" s="899">
        <v>-7.1999999999999995E-2</v>
      </c>
      <c r="F805" s="899"/>
      <c r="G805" s="899"/>
      <c r="H805" s="899"/>
      <c r="I805" s="1149" t="s">
        <v>658</v>
      </c>
      <c r="J805" s="898"/>
    </row>
    <row r="806" spans="1:10" s="896" customFormat="1" ht="14.3">
      <c r="A806" s="726" t="s">
        <v>509</v>
      </c>
      <c r="B806" s="683"/>
      <c r="C806" s="683"/>
      <c r="D806" s="887">
        <f>SUM(D519:D805)</f>
        <v>-1168672.8697924747</v>
      </c>
      <c r="E806" s="887">
        <f>SUM(E519:E805)</f>
        <v>-1154059.2987924749</v>
      </c>
      <c r="F806" s="887">
        <f t="shared" ref="F806:H806" si="18">SUM(F521:F805)</f>
        <v>0</v>
      </c>
      <c r="G806" s="887">
        <f t="shared" si="18"/>
        <v>-4593.0010000000002</v>
      </c>
      <c r="H806" s="887">
        <f t="shared" si="18"/>
        <v>-10020.57</v>
      </c>
      <c r="I806" s="728"/>
      <c r="J806" s="898"/>
    </row>
    <row r="807" spans="1:10" s="896" customFormat="1" ht="14.3">
      <c r="A807" s="688" t="s">
        <v>479</v>
      </c>
      <c r="B807" s="683"/>
      <c r="C807" s="683"/>
      <c r="D807" s="727">
        <f>SUM(E807:H807)</f>
        <v>-16654.430999999997</v>
      </c>
      <c r="E807" s="729">
        <f>SUM(E573:E643)</f>
        <v>-16654.430999999997</v>
      </c>
      <c r="F807" s="729">
        <f t="shared" ref="F807:H807" si="19">SUM(F573:F642)</f>
        <v>0</v>
      </c>
      <c r="G807" s="729">
        <f t="shared" si="19"/>
        <v>0</v>
      </c>
      <c r="H807" s="729">
        <f t="shared" si="19"/>
        <v>0</v>
      </c>
      <c r="I807" s="889"/>
      <c r="J807" s="898"/>
    </row>
    <row r="808" spans="1:10" s="896" customFormat="1" ht="14.3">
      <c r="A808" s="688" t="s">
        <v>505</v>
      </c>
      <c r="B808" s="683"/>
      <c r="C808" s="683"/>
      <c r="D808" s="727">
        <f>SUM(E808:H808)</f>
        <v>-8453.1939999999995</v>
      </c>
      <c r="E808" s="729">
        <f>E803</f>
        <v>0</v>
      </c>
      <c r="F808" s="729">
        <f t="shared" ref="F808:H808" si="20">F803</f>
        <v>0</v>
      </c>
      <c r="G808" s="729">
        <f t="shared" si="20"/>
        <v>0</v>
      </c>
      <c r="H808" s="729">
        <f t="shared" si="20"/>
        <v>-8453.1939999999995</v>
      </c>
      <c r="I808" s="900"/>
      <c r="J808" s="898"/>
    </row>
    <row r="809" spans="1:10" s="896" customFormat="1" ht="14.3">
      <c r="A809" s="730" t="s">
        <v>813</v>
      </c>
      <c r="B809" s="685"/>
      <c r="C809" s="685"/>
      <c r="D809" s="727">
        <f>+D806-D807-D808</f>
        <v>-1143565.2447924747</v>
      </c>
      <c r="E809" s="727">
        <f>+E806-E807-E808</f>
        <v>-1137404.8677924748</v>
      </c>
      <c r="F809" s="727">
        <f>+F806-F807-F808</f>
        <v>0</v>
      </c>
      <c r="G809" s="727">
        <f>+G806-G807-G808</f>
        <v>-4593.0010000000002</v>
      </c>
      <c r="H809" s="727">
        <f>+H806-H807-H808</f>
        <v>-1567.3760000000002</v>
      </c>
      <c r="I809" s="888"/>
      <c r="J809" s="898"/>
    </row>
    <row r="810" spans="1:10" s="896" customFormat="1" ht="14.3">
      <c r="A810" s="689"/>
      <c r="B810" s="690"/>
      <c r="C810" s="690"/>
      <c r="D810" s="898"/>
      <c r="E810" s="692"/>
      <c r="F810" s="692"/>
      <c r="G810" s="692"/>
      <c r="H810" s="692"/>
      <c r="I810" s="694"/>
      <c r="J810" s="898"/>
    </row>
    <row r="811" spans="1:10" s="896" customFormat="1" ht="14.3">
      <c r="A811" s="689"/>
      <c r="B811" s="695" t="s">
        <v>323</v>
      </c>
      <c r="C811" s="881"/>
      <c r="D811" s="697"/>
      <c r="E811" s="696"/>
      <c r="F811" s="696"/>
      <c r="G811" s="722"/>
      <c r="H811" s="700"/>
      <c r="I811" s="731"/>
      <c r="J811" s="898"/>
    </row>
    <row r="812" spans="1:10" s="896" customFormat="1" ht="14.95" customHeight="1">
      <c r="A812" s="689"/>
      <c r="B812" s="1157" t="s">
        <v>429</v>
      </c>
      <c r="C812" s="1158"/>
      <c r="D812" s="1158"/>
      <c r="E812" s="1158"/>
      <c r="F812" s="1158"/>
      <c r="G812" s="1158"/>
      <c r="H812" s="1159"/>
      <c r="I812" s="694"/>
      <c r="J812" s="898"/>
    </row>
    <row r="813" spans="1:10" s="896" customFormat="1" ht="14.3">
      <c r="A813" s="689"/>
      <c r="B813" s="702" t="s">
        <v>430</v>
      </c>
      <c r="C813" s="732"/>
      <c r="D813" s="898"/>
      <c r="E813" s="691"/>
      <c r="F813" s="691"/>
      <c r="G813" s="675"/>
      <c r="H813" s="703"/>
      <c r="I813" s="731"/>
      <c r="J813" s="898"/>
    </row>
    <row r="814" spans="1:10" s="896" customFormat="1" ht="14.3">
      <c r="A814" s="689"/>
      <c r="B814" s="702" t="s">
        <v>57</v>
      </c>
      <c r="C814" s="732"/>
      <c r="D814" s="898"/>
      <c r="E814" s="691"/>
      <c r="F814" s="691"/>
      <c r="G814" s="675"/>
      <c r="H814" s="703"/>
      <c r="I814" s="694"/>
      <c r="J814" s="898"/>
    </row>
    <row r="815" spans="1:10" s="896" customFormat="1" ht="14.3">
      <c r="A815" s="689"/>
      <c r="B815" s="702" t="s">
        <v>58</v>
      </c>
      <c r="C815" s="732"/>
      <c r="D815" s="898"/>
      <c r="E815" s="898"/>
      <c r="F815" s="898"/>
      <c r="G815" s="898"/>
      <c r="H815" s="687"/>
      <c r="I815" s="704"/>
      <c r="J815" s="898"/>
    </row>
    <row r="816" spans="1:10" s="896" customFormat="1" ht="14.95" customHeight="1">
      <c r="A816" s="689"/>
      <c r="B816" s="1154" t="str">
        <f>+B498</f>
        <v>5. Deferred income taxes arise when items are included in taxable income in different periods than they are included in rates, therefore if the item giving rise to the ADIT is not included in the formula, the associated ADIT amount shall be excluded</v>
      </c>
      <c r="C816" s="1155"/>
      <c r="D816" s="1155"/>
      <c r="E816" s="1155"/>
      <c r="F816" s="1155"/>
      <c r="G816" s="1155"/>
      <c r="H816" s="1156"/>
      <c r="I816" s="694"/>
      <c r="J816" s="898"/>
    </row>
    <row r="817" spans="1:10" s="896" customFormat="1" ht="14.3">
      <c r="A817" s="689"/>
      <c r="B817" s="705" t="s">
        <v>507</v>
      </c>
      <c r="C817" s="882"/>
      <c r="D817" s="707"/>
      <c r="E817" s="707"/>
      <c r="F817" s="707"/>
      <c r="G817" s="707"/>
      <c r="H817" s="685"/>
      <c r="I817" s="694"/>
      <c r="J817" s="898"/>
    </row>
    <row r="818" spans="1:10" s="896" customFormat="1" ht="13.6">
      <c r="A818" s="689"/>
      <c r="B818" s="898"/>
      <c r="C818" s="898"/>
      <c r="D818" s="898"/>
      <c r="E818" s="898"/>
      <c r="F818" s="898"/>
      <c r="G818" s="898"/>
      <c r="H818" s="898"/>
      <c r="I818" s="898"/>
      <c r="J818" s="898"/>
    </row>
    <row r="819" spans="1:10" s="896" customFormat="1" ht="14.3">
      <c r="A819" s="710"/>
      <c r="B819" s="920"/>
      <c r="C819" s="920"/>
      <c r="D819" s="920"/>
      <c r="E819" s="920"/>
      <c r="F819" s="920"/>
      <c r="G819" s="920"/>
      <c r="H819" s="920"/>
      <c r="I819" s="920"/>
      <c r="J819" s="898"/>
    </row>
    <row r="820" spans="1:10" s="896" customFormat="1" ht="14.3">
      <c r="A820" s="732" t="s">
        <v>827</v>
      </c>
      <c r="B820" s="711"/>
      <c r="C820" s="711"/>
      <c r="D820" s="711"/>
      <c r="E820" s="711"/>
      <c r="F820" s="711"/>
      <c r="G820" s="711"/>
      <c r="H820" s="711"/>
      <c r="I820" s="711"/>
      <c r="J820" s="711"/>
    </row>
    <row r="821" spans="1:10" s="896" customFormat="1" ht="13.6">
      <c r="A821" s="898"/>
      <c r="B821" s="898"/>
      <c r="C821" s="898"/>
      <c r="D821" s="898"/>
      <c r="E821" s="898"/>
      <c r="F821" s="898"/>
      <c r="G821" s="898"/>
      <c r="H821" s="898"/>
      <c r="I821" s="898"/>
      <c r="J821" s="898"/>
    </row>
    <row r="822" spans="1:10">
      <c r="A822" s="283"/>
      <c r="B822" s="167"/>
      <c r="C822" s="167"/>
      <c r="D822" s="167"/>
      <c r="E822" s="167"/>
      <c r="F822" s="167"/>
      <c r="G822" s="167"/>
      <c r="H822" s="167"/>
      <c r="I822" s="167"/>
    </row>
    <row r="823" spans="1:10">
      <c r="A823" s="283"/>
      <c r="B823" s="167"/>
      <c r="C823" s="167"/>
      <c r="D823" s="167"/>
      <c r="E823" s="167"/>
      <c r="F823" s="167"/>
      <c r="G823" s="167"/>
      <c r="H823" s="167"/>
      <c r="I823" s="167"/>
    </row>
    <row r="824" spans="1:10">
      <c r="A824" s="283"/>
      <c r="B824" s="167"/>
      <c r="C824" s="167"/>
      <c r="D824" s="167"/>
      <c r="E824" s="167"/>
      <c r="F824" s="167"/>
      <c r="G824" s="167"/>
      <c r="H824" s="167"/>
      <c r="I824" s="167"/>
    </row>
    <row r="825" spans="1:10">
      <c r="A825" s="283"/>
      <c r="B825" s="167"/>
      <c r="C825" s="167"/>
      <c r="D825" s="167"/>
      <c r="E825" s="167"/>
      <c r="F825" s="167"/>
      <c r="G825" s="167"/>
      <c r="H825" s="167"/>
      <c r="I825" s="167"/>
    </row>
    <row r="826" spans="1:10">
      <c r="A826" s="283"/>
      <c r="B826" s="167"/>
      <c r="C826" s="167"/>
      <c r="D826" s="167"/>
      <c r="E826" s="167"/>
      <c r="F826" s="167"/>
      <c r="G826" s="167"/>
      <c r="H826" s="167"/>
      <c r="I826" s="167"/>
    </row>
    <row r="827" spans="1:10">
      <c r="A827" s="283"/>
      <c r="B827" s="167"/>
      <c r="C827" s="167"/>
      <c r="D827" s="167"/>
      <c r="E827" s="167"/>
      <c r="F827" s="167"/>
      <c r="G827" s="167"/>
      <c r="H827" s="167"/>
      <c r="I827" s="167"/>
    </row>
    <row r="828" spans="1:10">
      <c r="A828" s="283"/>
      <c r="B828" s="167"/>
      <c r="C828" s="167"/>
      <c r="D828" s="167"/>
      <c r="E828" s="167"/>
      <c r="F828" s="167"/>
      <c r="G828" s="167"/>
      <c r="H828" s="167"/>
      <c r="I828" s="167"/>
    </row>
    <row r="829" spans="1:10">
      <c r="A829" s="283"/>
      <c r="B829" s="167"/>
      <c r="C829" s="167"/>
      <c r="D829" s="167"/>
      <c r="E829" s="167"/>
      <c r="F829" s="167"/>
      <c r="G829" s="167"/>
      <c r="H829" s="167"/>
      <c r="I829" s="167"/>
    </row>
    <row r="830" spans="1:10">
      <c r="A830" s="283"/>
      <c r="B830" s="167"/>
      <c r="C830" s="167"/>
      <c r="D830" s="167"/>
      <c r="E830" s="167"/>
      <c r="F830" s="167"/>
      <c r="G830" s="167"/>
      <c r="H830" s="167"/>
      <c r="I830" s="167"/>
    </row>
    <row r="831" spans="1:10">
      <c r="A831" s="283"/>
      <c r="B831" s="167"/>
      <c r="C831" s="167"/>
      <c r="D831" s="167"/>
      <c r="E831" s="167"/>
      <c r="F831" s="167"/>
      <c r="G831" s="167"/>
      <c r="H831" s="167"/>
      <c r="I831" s="167"/>
    </row>
    <row r="832" spans="1:10">
      <c r="A832" s="283"/>
      <c r="B832" s="167"/>
      <c r="C832" s="167"/>
      <c r="D832" s="167"/>
      <c r="E832" s="167"/>
      <c r="F832" s="167"/>
      <c r="G832" s="167"/>
      <c r="H832" s="167"/>
      <c r="I832" s="167"/>
    </row>
    <row r="833" spans="1:9">
      <c r="A833" s="283"/>
      <c r="B833" s="167"/>
      <c r="C833" s="167"/>
      <c r="D833" s="167"/>
      <c r="E833" s="167"/>
      <c r="F833" s="167"/>
      <c r="G833" s="167"/>
      <c r="H833" s="167"/>
      <c r="I833" s="167"/>
    </row>
    <row r="834" spans="1:9">
      <c r="A834" s="283"/>
      <c r="B834" s="167"/>
      <c r="C834" s="167"/>
      <c r="D834" s="167"/>
      <c r="E834" s="167"/>
      <c r="F834" s="167"/>
      <c r="G834" s="167"/>
      <c r="H834" s="167"/>
      <c r="I834" s="167"/>
    </row>
    <row r="835" spans="1:9">
      <c r="A835" s="283"/>
      <c r="B835" s="167"/>
      <c r="C835" s="167"/>
      <c r="D835" s="167"/>
      <c r="E835" s="167"/>
      <c r="F835" s="167"/>
      <c r="G835" s="167"/>
      <c r="H835" s="167"/>
      <c r="I835" s="167"/>
    </row>
    <row r="836" spans="1:9">
      <c r="A836" s="283"/>
      <c r="B836" s="167"/>
      <c r="C836" s="167"/>
      <c r="D836" s="167"/>
      <c r="E836" s="167"/>
      <c r="F836" s="167"/>
      <c r="G836" s="167"/>
      <c r="H836" s="167"/>
      <c r="I836" s="167"/>
    </row>
    <row r="837" spans="1:9">
      <c r="A837" s="283"/>
      <c r="B837" s="167"/>
      <c r="C837" s="167"/>
      <c r="D837" s="167"/>
      <c r="E837" s="167"/>
      <c r="F837" s="167"/>
      <c r="G837" s="167"/>
      <c r="H837" s="167"/>
      <c r="I837" s="167"/>
    </row>
    <row r="838" spans="1:9">
      <c r="A838" s="283"/>
      <c r="B838" s="167"/>
      <c r="C838" s="167"/>
      <c r="D838" s="167"/>
      <c r="E838" s="167"/>
      <c r="F838" s="167"/>
      <c r="G838" s="167"/>
      <c r="H838" s="167"/>
      <c r="I838" s="167"/>
    </row>
    <row r="839" spans="1:9">
      <c r="A839" s="283"/>
      <c r="B839" s="167"/>
      <c r="C839" s="167"/>
      <c r="D839" s="167"/>
      <c r="E839" s="167"/>
      <c r="F839" s="167"/>
      <c r="G839" s="167"/>
      <c r="H839" s="167"/>
      <c r="I839" s="167"/>
    </row>
    <row r="840" spans="1:9">
      <c r="A840" s="283"/>
      <c r="B840" s="167"/>
      <c r="C840" s="167"/>
      <c r="D840" s="167"/>
      <c r="E840" s="167"/>
      <c r="F840" s="167"/>
      <c r="G840" s="167"/>
      <c r="H840" s="167"/>
      <c r="I840" s="167"/>
    </row>
    <row r="841" spans="1:9">
      <c r="A841" s="283"/>
      <c r="B841" s="167"/>
      <c r="C841" s="167"/>
      <c r="D841" s="167"/>
      <c r="E841" s="167"/>
      <c r="F841" s="167"/>
      <c r="G841" s="167"/>
      <c r="H841" s="167"/>
      <c r="I841" s="167"/>
    </row>
    <row r="842" spans="1:9">
      <c r="A842" s="283"/>
      <c r="B842" s="167"/>
      <c r="C842" s="167"/>
      <c r="D842" s="167"/>
      <c r="E842" s="167"/>
      <c r="F842" s="167"/>
      <c r="G842" s="167"/>
      <c r="H842" s="167"/>
      <c r="I842" s="167"/>
    </row>
    <row r="843" spans="1:9">
      <c r="A843" s="283"/>
      <c r="B843" s="167"/>
      <c r="C843" s="167"/>
      <c r="D843" s="167"/>
      <c r="E843" s="167"/>
      <c r="F843" s="167"/>
      <c r="G843" s="167"/>
      <c r="H843" s="167"/>
      <c r="I843" s="167"/>
    </row>
    <row r="844" spans="1:9">
      <c r="A844" s="283"/>
      <c r="B844" s="167"/>
      <c r="C844" s="167"/>
      <c r="D844" s="167"/>
      <c r="E844" s="167"/>
      <c r="F844" s="167"/>
      <c r="G844" s="167"/>
      <c r="H844" s="167"/>
      <c r="I844" s="167"/>
    </row>
    <row r="845" spans="1:9">
      <c r="A845" s="283"/>
      <c r="B845" s="167"/>
      <c r="C845" s="167"/>
      <c r="D845" s="167"/>
      <c r="E845" s="167"/>
      <c r="F845" s="167"/>
      <c r="G845" s="167"/>
      <c r="H845" s="167"/>
      <c r="I845" s="167"/>
    </row>
    <row r="846" spans="1:9">
      <c r="A846" s="283"/>
      <c r="B846" s="167"/>
      <c r="C846" s="167"/>
      <c r="D846" s="167"/>
      <c r="E846" s="167"/>
      <c r="F846" s="167"/>
      <c r="G846" s="167"/>
      <c r="H846" s="167"/>
      <c r="I846" s="167"/>
    </row>
    <row r="847" spans="1:9">
      <c r="A847" s="283"/>
      <c r="B847" s="167"/>
      <c r="C847" s="167"/>
      <c r="D847" s="167"/>
      <c r="E847" s="167"/>
      <c r="F847" s="167"/>
      <c r="G847" s="167"/>
      <c r="H847" s="167"/>
      <c r="I847" s="167"/>
    </row>
    <row r="848" spans="1:9">
      <c r="A848" s="283"/>
      <c r="B848" s="167"/>
      <c r="C848" s="167"/>
      <c r="D848" s="167"/>
      <c r="E848" s="167"/>
      <c r="F848" s="167"/>
      <c r="G848" s="167"/>
      <c r="H848" s="167"/>
      <c r="I848" s="167"/>
    </row>
    <row r="849" spans="1:9">
      <c r="A849" s="283"/>
      <c r="B849" s="167"/>
      <c r="C849" s="167"/>
      <c r="D849" s="167"/>
      <c r="E849" s="167"/>
      <c r="F849" s="167"/>
      <c r="G849" s="167"/>
      <c r="H849" s="167"/>
      <c r="I849" s="167"/>
    </row>
    <row r="850" spans="1:9">
      <c r="A850" s="283"/>
      <c r="B850" s="167"/>
      <c r="C850" s="167"/>
      <c r="D850" s="167"/>
      <c r="E850" s="167"/>
      <c r="F850" s="167"/>
      <c r="G850" s="167"/>
      <c r="H850" s="167"/>
      <c r="I850" s="167"/>
    </row>
    <row r="851" spans="1:9">
      <c r="A851" s="283"/>
      <c r="B851" s="167"/>
      <c r="C851" s="167"/>
      <c r="D851" s="167"/>
      <c r="E851" s="167"/>
      <c r="F851" s="167"/>
      <c r="G851" s="167"/>
      <c r="H851" s="167"/>
      <c r="I851" s="167"/>
    </row>
    <row r="852" spans="1:9">
      <c r="A852" s="283"/>
      <c r="B852" s="167"/>
      <c r="C852" s="167"/>
      <c r="D852" s="167"/>
      <c r="E852" s="167"/>
      <c r="F852" s="167"/>
      <c r="G852" s="167"/>
      <c r="H852" s="167"/>
      <c r="I852" s="167"/>
    </row>
    <row r="853" spans="1:9">
      <c r="A853" s="283"/>
      <c r="B853" s="167"/>
      <c r="C853" s="167"/>
      <c r="D853" s="167"/>
      <c r="E853" s="167"/>
      <c r="F853" s="167"/>
      <c r="G853" s="167"/>
      <c r="H853" s="167"/>
      <c r="I853" s="167"/>
    </row>
    <row r="854" spans="1:9">
      <c r="A854" s="283"/>
      <c r="B854" s="167"/>
      <c r="C854" s="167"/>
      <c r="D854" s="167"/>
      <c r="E854" s="167"/>
      <c r="F854" s="167"/>
      <c r="G854" s="167"/>
      <c r="H854" s="167"/>
      <c r="I854" s="167"/>
    </row>
    <row r="855" spans="1:9">
      <c r="A855" s="283"/>
      <c r="B855" s="167"/>
      <c r="C855" s="167"/>
      <c r="D855" s="167"/>
      <c r="E855" s="167"/>
      <c r="F855" s="167"/>
      <c r="G855" s="167"/>
      <c r="H855" s="167"/>
      <c r="I855" s="167"/>
    </row>
    <row r="856" spans="1:9">
      <c r="A856" s="283"/>
      <c r="B856" s="167"/>
      <c r="C856" s="167"/>
      <c r="D856" s="167"/>
      <c r="E856" s="167"/>
      <c r="F856" s="167"/>
      <c r="G856" s="167"/>
      <c r="H856" s="167"/>
      <c r="I856" s="167"/>
    </row>
    <row r="857" spans="1:9">
      <c r="A857" s="283"/>
      <c r="B857" s="167"/>
      <c r="C857" s="167"/>
      <c r="D857" s="167"/>
      <c r="E857" s="167"/>
      <c r="F857" s="167"/>
      <c r="G857" s="167"/>
      <c r="H857" s="167"/>
      <c r="I857" s="167"/>
    </row>
    <row r="858" spans="1:9">
      <c r="A858" s="283"/>
      <c r="B858" s="167"/>
      <c r="C858" s="167"/>
      <c r="D858" s="167"/>
      <c r="E858" s="167"/>
      <c r="F858" s="167"/>
      <c r="G858" s="167"/>
      <c r="H858" s="167"/>
      <c r="I858" s="167"/>
    </row>
    <row r="859" spans="1:9">
      <c r="A859" s="283"/>
      <c r="B859" s="167"/>
      <c r="C859" s="167"/>
      <c r="D859" s="167"/>
      <c r="E859" s="167"/>
      <c r="F859" s="167"/>
      <c r="G859" s="167"/>
      <c r="H859" s="167"/>
      <c r="I859" s="167"/>
    </row>
    <row r="860" spans="1:9">
      <c r="A860" s="283"/>
      <c r="B860" s="167"/>
      <c r="C860" s="167"/>
      <c r="D860" s="167"/>
      <c r="E860" s="167"/>
      <c r="F860" s="167"/>
      <c r="G860" s="167"/>
      <c r="H860" s="167"/>
      <c r="I860" s="167"/>
    </row>
    <row r="861" spans="1:9">
      <c r="A861" s="283"/>
      <c r="B861" s="167"/>
      <c r="C861" s="167"/>
      <c r="D861" s="167"/>
      <c r="E861" s="167"/>
      <c r="F861" s="167"/>
      <c r="G861" s="167"/>
      <c r="H861" s="167"/>
      <c r="I861" s="167"/>
    </row>
    <row r="862" spans="1:9">
      <c r="A862" s="283"/>
      <c r="B862" s="167"/>
      <c r="C862" s="167"/>
      <c r="D862" s="167"/>
      <c r="E862" s="167"/>
      <c r="F862" s="167"/>
      <c r="G862" s="167"/>
      <c r="H862" s="167"/>
      <c r="I862" s="167"/>
    </row>
    <row r="863" spans="1:9">
      <c r="A863" s="283"/>
      <c r="B863" s="167"/>
      <c r="C863" s="167"/>
      <c r="D863" s="167"/>
      <c r="E863" s="167"/>
      <c r="F863" s="167"/>
      <c r="G863" s="167"/>
      <c r="H863" s="167"/>
      <c r="I863" s="167"/>
    </row>
    <row r="864" spans="1:9">
      <c r="A864" s="283"/>
      <c r="B864" s="167"/>
      <c r="C864" s="167"/>
      <c r="D864" s="167"/>
      <c r="E864" s="167"/>
      <c r="F864" s="167"/>
      <c r="G864" s="167"/>
      <c r="H864" s="167"/>
      <c r="I864" s="167"/>
    </row>
    <row r="865" spans="1:9">
      <c r="A865" s="283"/>
      <c r="B865" s="167"/>
      <c r="C865" s="167"/>
      <c r="D865" s="167"/>
      <c r="E865" s="167"/>
      <c r="F865" s="167"/>
      <c r="G865" s="167"/>
      <c r="H865" s="167"/>
      <c r="I865" s="167"/>
    </row>
    <row r="866" spans="1:9">
      <c r="A866" s="283"/>
      <c r="B866" s="167"/>
      <c r="C866" s="167"/>
      <c r="D866" s="167"/>
      <c r="E866" s="167"/>
      <c r="F866" s="167"/>
      <c r="G866" s="167"/>
      <c r="H866" s="167"/>
      <c r="I866" s="167"/>
    </row>
    <row r="867" spans="1:9">
      <c r="A867" s="283"/>
      <c r="B867" s="167"/>
      <c r="C867" s="167"/>
      <c r="D867" s="167"/>
      <c r="E867" s="167"/>
      <c r="F867" s="167"/>
      <c r="G867" s="167"/>
      <c r="H867" s="167"/>
      <c r="I867" s="167"/>
    </row>
    <row r="868" spans="1:9">
      <c r="A868" s="283"/>
      <c r="B868" s="167"/>
      <c r="C868" s="167"/>
      <c r="D868" s="167"/>
      <c r="E868" s="167"/>
      <c r="F868" s="167"/>
      <c r="G868" s="167"/>
      <c r="H868" s="167"/>
      <c r="I868" s="167"/>
    </row>
    <row r="869" spans="1:9">
      <c r="A869" s="283"/>
      <c r="B869" s="167"/>
      <c r="C869" s="167"/>
      <c r="D869" s="167"/>
      <c r="E869" s="167"/>
      <c r="F869" s="167"/>
      <c r="G869" s="167"/>
      <c r="H869" s="167"/>
      <c r="I869" s="167"/>
    </row>
  </sheetData>
  <mergeCells count="730">
    <mergeCell ref="A802:B802"/>
    <mergeCell ref="A803:B803"/>
    <mergeCell ref="A804:B804"/>
    <mergeCell ref="A805:B805"/>
    <mergeCell ref="A797:B797"/>
    <mergeCell ref="A798:B798"/>
    <mergeCell ref="A799:B799"/>
    <mergeCell ref="A800:B800"/>
    <mergeCell ref="A801:B801"/>
    <mergeCell ref="A792:B792"/>
    <mergeCell ref="A793:B793"/>
    <mergeCell ref="A794:B794"/>
    <mergeCell ref="A795:B795"/>
    <mergeCell ref="A796:B796"/>
    <mergeCell ref="A787:B787"/>
    <mergeCell ref="A788:B788"/>
    <mergeCell ref="A789:B789"/>
    <mergeCell ref="A790:B790"/>
    <mergeCell ref="A791:B791"/>
    <mergeCell ref="A782:B782"/>
    <mergeCell ref="A783:B783"/>
    <mergeCell ref="A784:B784"/>
    <mergeCell ref="A785:B785"/>
    <mergeCell ref="A786:B786"/>
    <mergeCell ref="A777:B777"/>
    <mergeCell ref="A778:B778"/>
    <mergeCell ref="A779:B779"/>
    <mergeCell ref="A780:B780"/>
    <mergeCell ref="A781:B781"/>
    <mergeCell ref="A772:B772"/>
    <mergeCell ref="A773:B773"/>
    <mergeCell ref="A774:B774"/>
    <mergeCell ref="A775:B775"/>
    <mergeCell ref="A776:B776"/>
    <mergeCell ref="A767:B767"/>
    <mergeCell ref="A768:B768"/>
    <mergeCell ref="A769:B769"/>
    <mergeCell ref="A770:B770"/>
    <mergeCell ref="A771:B771"/>
    <mergeCell ref="A762:B762"/>
    <mergeCell ref="A763:B763"/>
    <mergeCell ref="A764:B764"/>
    <mergeCell ref="A765:B765"/>
    <mergeCell ref="A766:B766"/>
    <mergeCell ref="A757:B757"/>
    <mergeCell ref="A758:B758"/>
    <mergeCell ref="A759:B759"/>
    <mergeCell ref="A760:B760"/>
    <mergeCell ref="A761:B761"/>
    <mergeCell ref="A752:B752"/>
    <mergeCell ref="A753:B753"/>
    <mergeCell ref="A754:B754"/>
    <mergeCell ref="A755:B755"/>
    <mergeCell ref="A756:B756"/>
    <mergeCell ref="A747:B747"/>
    <mergeCell ref="A748:B748"/>
    <mergeCell ref="A749:B749"/>
    <mergeCell ref="A750:B750"/>
    <mergeCell ref="A751:B751"/>
    <mergeCell ref="A742:B742"/>
    <mergeCell ref="A743:B743"/>
    <mergeCell ref="A744:B744"/>
    <mergeCell ref="A745:B745"/>
    <mergeCell ref="A746:B746"/>
    <mergeCell ref="A737:B737"/>
    <mergeCell ref="A738:B738"/>
    <mergeCell ref="A739:B739"/>
    <mergeCell ref="A740:B740"/>
    <mergeCell ref="A741:B741"/>
    <mergeCell ref="A732:B732"/>
    <mergeCell ref="A733:B733"/>
    <mergeCell ref="A734:B734"/>
    <mergeCell ref="A735:B735"/>
    <mergeCell ref="A736:B736"/>
    <mergeCell ref="A727:B727"/>
    <mergeCell ref="A728:B728"/>
    <mergeCell ref="A729:B729"/>
    <mergeCell ref="A730:B730"/>
    <mergeCell ref="A731:B731"/>
    <mergeCell ref="A722:B722"/>
    <mergeCell ref="A723:B723"/>
    <mergeCell ref="A724:B724"/>
    <mergeCell ref="A725:B725"/>
    <mergeCell ref="A726:B726"/>
    <mergeCell ref="A717:B717"/>
    <mergeCell ref="A718:B718"/>
    <mergeCell ref="A719:B719"/>
    <mergeCell ref="A720:B720"/>
    <mergeCell ref="A721:B721"/>
    <mergeCell ref="A712:B712"/>
    <mergeCell ref="A713:B713"/>
    <mergeCell ref="A714:B714"/>
    <mergeCell ref="A715:B715"/>
    <mergeCell ref="A716:B716"/>
    <mergeCell ref="A707:B707"/>
    <mergeCell ref="A708:B708"/>
    <mergeCell ref="A709:B709"/>
    <mergeCell ref="A710:B710"/>
    <mergeCell ref="A711:B711"/>
    <mergeCell ref="A702:B702"/>
    <mergeCell ref="A703:B703"/>
    <mergeCell ref="A704:B704"/>
    <mergeCell ref="A705:B705"/>
    <mergeCell ref="A706:B706"/>
    <mergeCell ref="A697:B697"/>
    <mergeCell ref="A698:B698"/>
    <mergeCell ref="A699:B699"/>
    <mergeCell ref="A700:B700"/>
    <mergeCell ref="A701:B701"/>
    <mergeCell ref="A692:B692"/>
    <mergeCell ref="A693:B693"/>
    <mergeCell ref="A694:B694"/>
    <mergeCell ref="A695:B695"/>
    <mergeCell ref="A696:B696"/>
    <mergeCell ref="A687:B687"/>
    <mergeCell ref="A688:B688"/>
    <mergeCell ref="A689:B689"/>
    <mergeCell ref="A690:B690"/>
    <mergeCell ref="A691:B691"/>
    <mergeCell ref="A682:B682"/>
    <mergeCell ref="A683:B683"/>
    <mergeCell ref="A684:B684"/>
    <mergeCell ref="A685:B685"/>
    <mergeCell ref="A686:B686"/>
    <mergeCell ref="A677:B677"/>
    <mergeCell ref="A678:B678"/>
    <mergeCell ref="A679:B679"/>
    <mergeCell ref="A680:B680"/>
    <mergeCell ref="A681:B681"/>
    <mergeCell ref="A672:B672"/>
    <mergeCell ref="A673:B673"/>
    <mergeCell ref="A674:B674"/>
    <mergeCell ref="A675:B675"/>
    <mergeCell ref="A676:B676"/>
    <mergeCell ref="A667:B667"/>
    <mergeCell ref="A668:B668"/>
    <mergeCell ref="A669:B669"/>
    <mergeCell ref="A670:B670"/>
    <mergeCell ref="A671:B671"/>
    <mergeCell ref="A662:B662"/>
    <mergeCell ref="A663:B663"/>
    <mergeCell ref="A664:B664"/>
    <mergeCell ref="A665:B665"/>
    <mergeCell ref="A666:B666"/>
    <mergeCell ref="A657:B657"/>
    <mergeCell ref="A658:B658"/>
    <mergeCell ref="A659:B659"/>
    <mergeCell ref="A660:B660"/>
    <mergeCell ref="A661:B661"/>
    <mergeCell ref="A652:B652"/>
    <mergeCell ref="A653:B653"/>
    <mergeCell ref="A654:B654"/>
    <mergeCell ref="A655:B655"/>
    <mergeCell ref="A656:B656"/>
    <mergeCell ref="A647:B647"/>
    <mergeCell ref="A648:B648"/>
    <mergeCell ref="A649:B649"/>
    <mergeCell ref="A650:B650"/>
    <mergeCell ref="A651:B651"/>
    <mergeCell ref="A642:B642"/>
    <mergeCell ref="A643:B643"/>
    <mergeCell ref="A644:B644"/>
    <mergeCell ref="A645:B645"/>
    <mergeCell ref="A646:B646"/>
    <mergeCell ref="A637:B637"/>
    <mergeCell ref="A638:B638"/>
    <mergeCell ref="A639:B639"/>
    <mergeCell ref="A640:B640"/>
    <mergeCell ref="A641:B641"/>
    <mergeCell ref="A632:B632"/>
    <mergeCell ref="A633:B633"/>
    <mergeCell ref="A634:B634"/>
    <mergeCell ref="A635:B635"/>
    <mergeCell ref="A636:B636"/>
    <mergeCell ref="A627:B627"/>
    <mergeCell ref="A628:B628"/>
    <mergeCell ref="A629:B629"/>
    <mergeCell ref="A630:B630"/>
    <mergeCell ref="A631:B631"/>
    <mergeCell ref="A622:B622"/>
    <mergeCell ref="A623:B623"/>
    <mergeCell ref="A624:B624"/>
    <mergeCell ref="A625:B625"/>
    <mergeCell ref="A626:B626"/>
    <mergeCell ref="A617:B617"/>
    <mergeCell ref="A618:B618"/>
    <mergeCell ref="A619:B619"/>
    <mergeCell ref="A620:B620"/>
    <mergeCell ref="A621:B621"/>
    <mergeCell ref="A612:B612"/>
    <mergeCell ref="A613:B613"/>
    <mergeCell ref="A614:B614"/>
    <mergeCell ref="A615:B615"/>
    <mergeCell ref="A616:B616"/>
    <mergeCell ref="A607:B607"/>
    <mergeCell ref="A608:B608"/>
    <mergeCell ref="A609:B609"/>
    <mergeCell ref="A610:B610"/>
    <mergeCell ref="A611:B611"/>
    <mergeCell ref="A602:B602"/>
    <mergeCell ref="A603:B603"/>
    <mergeCell ref="A604:B604"/>
    <mergeCell ref="A605:B605"/>
    <mergeCell ref="A606:B606"/>
    <mergeCell ref="A597:B597"/>
    <mergeCell ref="A598:B598"/>
    <mergeCell ref="A599:B599"/>
    <mergeCell ref="A600:B600"/>
    <mergeCell ref="A601:B601"/>
    <mergeCell ref="A592:B592"/>
    <mergeCell ref="A593:B593"/>
    <mergeCell ref="A594:B594"/>
    <mergeCell ref="A595:B595"/>
    <mergeCell ref="A596:B596"/>
    <mergeCell ref="A587:B587"/>
    <mergeCell ref="A588:B588"/>
    <mergeCell ref="A589:B589"/>
    <mergeCell ref="A590:B590"/>
    <mergeCell ref="A591:B591"/>
    <mergeCell ref="A582:B582"/>
    <mergeCell ref="A583:B583"/>
    <mergeCell ref="A584:B584"/>
    <mergeCell ref="A585:B585"/>
    <mergeCell ref="A586:B586"/>
    <mergeCell ref="A577:B577"/>
    <mergeCell ref="A578:B578"/>
    <mergeCell ref="A579:B579"/>
    <mergeCell ref="A580:B580"/>
    <mergeCell ref="A581:B581"/>
    <mergeCell ref="A572:B572"/>
    <mergeCell ref="A573:B573"/>
    <mergeCell ref="A574:B574"/>
    <mergeCell ref="A575:B575"/>
    <mergeCell ref="A576:B576"/>
    <mergeCell ref="A567:B567"/>
    <mergeCell ref="A568:B568"/>
    <mergeCell ref="A569:B569"/>
    <mergeCell ref="A570:B570"/>
    <mergeCell ref="A571:B571"/>
    <mergeCell ref="A562:B562"/>
    <mergeCell ref="A563:B563"/>
    <mergeCell ref="A564:B564"/>
    <mergeCell ref="A565:B565"/>
    <mergeCell ref="A566:B566"/>
    <mergeCell ref="A557:B557"/>
    <mergeCell ref="A558:B558"/>
    <mergeCell ref="A559:B559"/>
    <mergeCell ref="A560:B560"/>
    <mergeCell ref="A561:B561"/>
    <mergeCell ref="A552:B552"/>
    <mergeCell ref="A553:B553"/>
    <mergeCell ref="A554:B554"/>
    <mergeCell ref="A555:B555"/>
    <mergeCell ref="A556:B556"/>
    <mergeCell ref="A547:B547"/>
    <mergeCell ref="A548:B548"/>
    <mergeCell ref="A549:B549"/>
    <mergeCell ref="A550:B550"/>
    <mergeCell ref="A551:B551"/>
    <mergeCell ref="A542:B542"/>
    <mergeCell ref="A543:B543"/>
    <mergeCell ref="A544:B544"/>
    <mergeCell ref="A545:B545"/>
    <mergeCell ref="A546:B546"/>
    <mergeCell ref="A537:B537"/>
    <mergeCell ref="A538:B538"/>
    <mergeCell ref="A539:B539"/>
    <mergeCell ref="A540:B540"/>
    <mergeCell ref="A541:B541"/>
    <mergeCell ref="A532:B532"/>
    <mergeCell ref="A533:B533"/>
    <mergeCell ref="A534:B534"/>
    <mergeCell ref="A535:B535"/>
    <mergeCell ref="A536:B536"/>
    <mergeCell ref="A527:B527"/>
    <mergeCell ref="A528:B528"/>
    <mergeCell ref="A529:B529"/>
    <mergeCell ref="A530:B530"/>
    <mergeCell ref="A531:B531"/>
    <mergeCell ref="A522:B522"/>
    <mergeCell ref="A523:B523"/>
    <mergeCell ref="A524:B524"/>
    <mergeCell ref="A525:B525"/>
    <mergeCell ref="A526:B526"/>
    <mergeCell ref="A486:B486"/>
    <mergeCell ref="A487:B487"/>
    <mergeCell ref="A519:B519"/>
    <mergeCell ref="A520:B520"/>
    <mergeCell ref="A521:B521"/>
    <mergeCell ref="A481:B481"/>
    <mergeCell ref="A482:B482"/>
    <mergeCell ref="A483:B483"/>
    <mergeCell ref="A484:B484"/>
    <mergeCell ref="A485:B485"/>
    <mergeCell ref="A476:B476"/>
    <mergeCell ref="A477:B477"/>
    <mergeCell ref="A478:B478"/>
    <mergeCell ref="A479:B479"/>
    <mergeCell ref="A480:B480"/>
    <mergeCell ref="A471:B471"/>
    <mergeCell ref="A472:B472"/>
    <mergeCell ref="A473:B473"/>
    <mergeCell ref="A474:B474"/>
    <mergeCell ref="A475:B475"/>
    <mergeCell ref="A466:B466"/>
    <mergeCell ref="A467:B467"/>
    <mergeCell ref="A468:B468"/>
    <mergeCell ref="A469:B469"/>
    <mergeCell ref="A470:B470"/>
    <mergeCell ref="A461:B461"/>
    <mergeCell ref="A462:B462"/>
    <mergeCell ref="A463:B463"/>
    <mergeCell ref="A464:B464"/>
    <mergeCell ref="A465:B465"/>
    <mergeCell ref="A456:B456"/>
    <mergeCell ref="A457:B457"/>
    <mergeCell ref="A458:B458"/>
    <mergeCell ref="A459:B459"/>
    <mergeCell ref="A460:B460"/>
    <mergeCell ref="A451:B451"/>
    <mergeCell ref="A452:B452"/>
    <mergeCell ref="A453:B453"/>
    <mergeCell ref="A454:B454"/>
    <mergeCell ref="A455:B455"/>
    <mergeCell ref="A446:B446"/>
    <mergeCell ref="A447:B447"/>
    <mergeCell ref="A448:B448"/>
    <mergeCell ref="A449:B449"/>
    <mergeCell ref="A450:B450"/>
    <mergeCell ref="A441:B441"/>
    <mergeCell ref="A442:B442"/>
    <mergeCell ref="A443:B443"/>
    <mergeCell ref="A444:B444"/>
    <mergeCell ref="A445:B445"/>
    <mergeCell ref="A436:B436"/>
    <mergeCell ref="A437:B437"/>
    <mergeCell ref="A438:B438"/>
    <mergeCell ref="A439:B439"/>
    <mergeCell ref="A440:B440"/>
    <mergeCell ref="A431:B431"/>
    <mergeCell ref="A432:B432"/>
    <mergeCell ref="A433:B433"/>
    <mergeCell ref="A434:B434"/>
    <mergeCell ref="A435:B435"/>
    <mergeCell ref="A426:B426"/>
    <mergeCell ref="A427:B427"/>
    <mergeCell ref="A428:B428"/>
    <mergeCell ref="A429:B429"/>
    <mergeCell ref="A430:B430"/>
    <mergeCell ref="A421:B421"/>
    <mergeCell ref="A422:B422"/>
    <mergeCell ref="A423:B423"/>
    <mergeCell ref="A424:B424"/>
    <mergeCell ref="A425:B425"/>
    <mergeCell ref="A416:B416"/>
    <mergeCell ref="A417:B417"/>
    <mergeCell ref="A418:B418"/>
    <mergeCell ref="A419:B419"/>
    <mergeCell ref="A420:B420"/>
    <mergeCell ref="A411:B411"/>
    <mergeCell ref="A412:B412"/>
    <mergeCell ref="A413:B413"/>
    <mergeCell ref="A414:B414"/>
    <mergeCell ref="A415:B415"/>
    <mergeCell ref="A406:B406"/>
    <mergeCell ref="A407:B407"/>
    <mergeCell ref="A408:B408"/>
    <mergeCell ref="A409:B409"/>
    <mergeCell ref="A410:B410"/>
    <mergeCell ref="A401:B401"/>
    <mergeCell ref="A402:B402"/>
    <mergeCell ref="A403:B403"/>
    <mergeCell ref="A404:B404"/>
    <mergeCell ref="A405:B405"/>
    <mergeCell ref="A396:B396"/>
    <mergeCell ref="A397:B397"/>
    <mergeCell ref="A398:B398"/>
    <mergeCell ref="A399:B399"/>
    <mergeCell ref="A400:B400"/>
    <mergeCell ref="A391:B391"/>
    <mergeCell ref="A392:B392"/>
    <mergeCell ref="A393:B393"/>
    <mergeCell ref="A394:B394"/>
    <mergeCell ref="A395:B395"/>
    <mergeCell ref="A386:B386"/>
    <mergeCell ref="A387:B387"/>
    <mergeCell ref="A388:B388"/>
    <mergeCell ref="A389:B389"/>
    <mergeCell ref="A390:B390"/>
    <mergeCell ref="A381:B381"/>
    <mergeCell ref="A382:B382"/>
    <mergeCell ref="A383:B383"/>
    <mergeCell ref="A384:B384"/>
    <mergeCell ref="A385:B385"/>
    <mergeCell ref="A376:B376"/>
    <mergeCell ref="A377:B377"/>
    <mergeCell ref="A378:B378"/>
    <mergeCell ref="A379:B379"/>
    <mergeCell ref="A380:B380"/>
    <mergeCell ref="A371:B371"/>
    <mergeCell ref="A372:B372"/>
    <mergeCell ref="A373:B373"/>
    <mergeCell ref="A374:B374"/>
    <mergeCell ref="A375:B375"/>
    <mergeCell ref="A366:B366"/>
    <mergeCell ref="A367:B367"/>
    <mergeCell ref="A368:B368"/>
    <mergeCell ref="A369:B369"/>
    <mergeCell ref="A370:B370"/>
    <mergeCell ref="A361:B361"/>
    <mergeCell ref="A362:B362"/>
    <mergeCell ref="A363:B363"/>
    <mergeCell ref="A364:B364"/>
    <mergeCell ref="A365:B365"/>
    <mergeCell ref="A356:B356"/>
    <mergeCell ref="A357:B357"/>
    <mergeCell ref="A358:B358"/>
    <mergeCell ref="A359:B359"/>
    <mergeCell ref="A360:B360"/>
    <mergeCell ref="A351:B351"/>
    <mergeCell ref="A352:B352"/>
    <mergeCell ref="A353:B353"/>
    <mergeCell ref="A354:B354"/>
    <mergeCell ref="A355:B355"/>
    <mergeCell ref="A346:B346"/>
    <mergeCell ref="A347:B347"/>
    <mergeCell ref="A348:B348"/>
    <mergeCell ref="A349:B349"/>
    <mergeCell ref="A350:B350"/>
    <mergeCell ref="A341:B341"/>
    <mergeCell ref="A342:B342"/>
    <mergeCell ref="A343:B343"/>
    <mergeCell ref="A344:B344"/>
    <mergeCell ref="A345:B345"/>
    <mergeCell ref="A336:B336"/>
    <mergeCell ref="A337:B337"/>
    <mergeCell ref="A338:B338"/>
    <mergeCell ref="A339:B339"/>
    <mergeCell ref="A340:B340"/>
    <mergeCell ref="A331:B331"/>
    <mergeCell ref="A332:B332"/>
    <mergeCell ref="A333:B333"/>
    <mergeCell ref="A334:B334"/>
    <mergeCell ref="A335:B335"/>
    <mergeCell ref="A326:B326"/>
    <mergeCell ref="A327:B327"/>
    <mergeCell ref="A328:B328"/>
    <mergeCell ref="A329:B329"/>
    <mergeCell ref="A330:B330"/>
    <mergeCell ref="A300:B300"/>
    <mergeCell ref="A301:B301"/>
    <mergeCell ref="A302:B302"/>
    <mergeCell ref="A303:B303"/>
    <mergeCell ref="A325:B325"/>
    <mergeCell ref="A295:B295"/>
    <mergeCell ref="A296:B296"/>
    <mergeCell ref="A297:B297"/>
    <mergeCell ref="A298:B298"/>
    <mergeCell ref="A299:B299"/>
    <mergeCell ref="A290:B290"/>
    <mergeCell ref="A291:B291"/>
    <mergeCell ref="A292:B292"/>
    <mergeCell ref="A293:B293"/>
    <mergeCell ref="A294:B294"/>
    <mergeCell ref="A285:B285"/>
    <mergeCell ref="A286:B286"/>
    <mergeCell ref="A287:B287"/>
    <mergeCell ref="A288:B288"/>
    <mergeCell ref="A289:B289"/>
    <mergeCell ref="A280:B280"/>
    <mergeCell ref="A281:B281"/>
    <mergeCell ref="A282:B282"/>
    <mergeCell ref="A283:B283"/>
    <mergeCell ref="A284:B284"/>
    <mergeCell ref="A275:B275"/>
    <mergeCell ref="A276:B276"/>
    <mergeCell ref="A277:B277"/>
    <mergeCell ref="A278:B278"/>
    <mergeCell ref="A279:B279"/>
    <mergeCell ref="A270:B270"/>
    <mergeCell ref="A271:B271"/>
    <mergeCell ref="A272:B272"/>
    <mergeCell ref="A273:B273"/>
    <mergeCell ref="A274:B274"/>
    <mergeCell ref="A265:B265"/>
    <mergeCell ref="A266:B266"/>
    <mergeCell ref="A267:B267"/>
    <mergeCell ref="A268:B268"/>
    <mergeCell ref="A269:B269"/>
    <mergeCell ref="A260:B260"/>
    <mergeCell ref="A261:B261"/>
    <mergeCell ref="A262:B262"/>
    <mergeCell ref="A263:B263"/>
    <mergeCell ref="A264:B264"/>
    <mergeCell ref="A255:B255"/>
    <mergeCell ref="A256:B256"/>
    <mergeCell ref="A257:B257"/>
    <mergeCell ref="A258:B258"/>
    <mergeCell ref="A259:B259"/>
    <mergeCell ref="A250:B250"/>
    <mergeCell ref="A251:B251"/>
    <mergeCell ref="A252:B252"/>
    <mergeCell ref="A253:B253"/>
    <mergeCell ref="A254:B254"/>
    <mergeCell ref="A245:B245"/>
    <mergeCell ref="A246:B246"/>
    <mergeCell ref="A247:B247"/>
    <mergeCell ref="A248:B248"/>
    <mergeCell ref="A249:B249"/>
    <mergeCell ref="A240:B240"/>
    <mergeCell ref="A241:B241"/>
    <mergeCell ref="A242:B242"/>
    <mergeCell ref="A243:B243"/>
    <mergeCell ref="A244:B244"/>
    <mergeCell ref="A235:B235"/>
    <mergeCell ref="A236:B236"/>
    <mergeCell ref="A237:B237"/>
    <mergeCell ref="A238:B238"/>
    <mergeCell ref="A239:B239"/>
    <mergeCell ref="A230:B230"/>
    <mergeCell ref="A231:B231"/>
    <mergeCell ref="A232:B232"/>
    <mergeCell ref="A233:B233"/>
    <mergeCell ref="A234:B234"/>
    <mergeCell ref="A225:B225"/>
    <mergeCell ref="A226:B226"/>
    <mergeCell ref="A227:B227"/>
    <mergeCell ref="A228:B228"/>
    <mergeCell ref="A229:B229"/>
    <mergeCell ref="A220:B220"/>
    <mergeCell ref="A221:B221"/>
    <mergeCell ref="A222:B222"/>
    <mergeCell ref="A223:B223"/>
    <mergeCell ref="A224:B224"/>
    <mergeCell ref="A215:B215"/>
    <mergeCell ref="A216:B216"/>
    <mergeCell ref="A217:B217"/>
    <mergeCell ref="A218:B218"/>
    <mergeCell ref="A219:B219"/>
    <mergeCell ref="A210:B210"/>
    <mergeCell ref="A211:B211"/>
    <mergeCell ref="A212:B212"/>
    <mergeCell ref="A213:B213"/>
    <mergeCell ref="A214:B214"/>
    <mergeCell ref="A205:B205"/>
    <mergeCell ref="A206:B206"/>
    <mergeCell ref="A207:B207"/>
    <mergeCell ref="A208:B208"/>
    <mergeCell ref="A209:B209"/>
    <mergeCell ref="A200:B200"/>
    <mergeCell ref="A201:B201"/>
    <mergeCell ref="A202:B202"/>
    <mergeCell ref="A203:B203"/>
    <mergeCell ref="A204:B204"/>
    <mergeCell ref="A195:B195"/>
    <mergeCell ref="A196:B196"/>
    <mergeCell ref="A197:B197"/>
    <mergeCell ref="A198:B198"/>
    <mergeCell ref="A199:B199"/>
    <mergeCell ref="A190:B190"/>
    <mergeCell ref="A191:B191"/>
    <mergeCell ref="A192:B192"/>
    <mergeCell ref="A193:B193"/>
    <mergeCell ref="A194:B194"/>
    <mergeCell ref="A185:B185"/>
    <mergeCell ref="A186:B186"/>
    <mergeCell ref="A187:B187"/>
    <mergeCell ref="A188:B188"/>
    <mergeCell ref="A189:B189"/>
    <mergeCell ref="A180:B180"/>
    <mergeCell ref="A181:B181"/>
    <mergeCell ref="A182:B182"/>
    <mergeCell ref="A183:B183"/>
    <mergeCell ref="A184:B184"/>
    <mergeCell ref="A175:B175"/>
    <mergeCell ref="A176:B176"/>
    <mergeCell ref="A177:B177"/>
    <mergeCell ref="A178:B178"/>
    <mergeCell ref="A179:B179"/>
    <mergeCell ref="A170:B170"/>
    <mergeCell ref="A171:B171"/>
    <mergeCell ref="A172:B172"/>
    <mergeCell ref="A173:B173"/>
    <mergeCell ref="A174:B174"/>
    <mergeCell ref="A165:B165"/>
    <mergeCell ref="A166:B166"/>
    <mergeCell ref="A167:B167"/>
    <mergeCell ref="A168:B168"/>
    <mergeCell ref="A169:B169"/>
    <mergeCell ref="A160:B160"/>
    <mergeCell ref="A161:B161"/>
    <mergeCell ref="A162:B162"/>
    <mergeCell ref="A163:B163"/>
    <mergeCell ref="A164:B164"/>
    <mergeCell ref="A155:B155"/>
    <mergeCell ref="A156:B156"/>
    <mergeCell ref="A157:B157"/>
    <mergeCell ref="A158:B158"/>
    <mergeCell ref="A159:B159"/>
    <mergeCell ref="A150:B150"/>
    <mergeCell ref="A151:B151"/>
    <mergeCell ref="A152:B152"/>
    <mergeCell ref="A153:B153"/>
    <mergeCell ref="A154:B154"/>
    <mergeCell ref="A145:B145"/>
    <mergeCell ref="A146:B146"/>
    <mergeCell ref="A147:B147"/>
    <mergeCell ref="A148:B148"/>
    <mergeCell ref="A149:B149"/>
    <mergeCell ref="A140:B140"/>
    <mergeCell ref="A141:B141"/>
    <mergeCell ref="A142:B142"/>
    <mergeCell ref="A143:B143"/>
    <mergeCell ref="A144:B144"/>
    <mergeCell ref="A135:B135"/>
    <mergeCell ref="A136:B136"/>
    <mergeCell ref="A137:B137"/>
    <mergeCell ref="A138:B138"/>
    <mergeCell ref="A139:B139"/>
    <mergeCell ref="A130:B130"/>
    <mergeCell ref="A131:B131"/>
    <mergeCell ref="A132:B132"/>
    <mergeCell ref="A133:B133"/>
    <mergeCell ref="A134:B134"/>
    <mergeCell ref="A125:B125"/>
    <mergeCell ref="A126:B126"/>
    <mergeCell ref="A127:B127"/>
    <mergeCell ref="A128:B128"/>
    <mergeCell ref="A129:B129"/>
    <mergeCell ref="A120:B120"/>
    <mergeCell ref="A121:B121"/>
    <mergeCell ref="A122:B122"/>
    <mergeCell ref="A123:B123"/>
    <mergeCell ref="A124:B124"/>
    <mergeCell ref="A115:B115"/>
    <mergeCell ref="A116:B116"/>
    <mergeCell ref="A117:B117"/>
    <mergeCell ref="A118:B118"/>
    <mergeCell ref="A119:B119"/>
    <mergeCell ref="A110:B110"/>
    <mergeCell ref="A111:B111"/>
    <mergeCell ref="A112:B112"/>
    <mergeCell ref="A113:B113"/>
    <mergeCell ref="A114:B114"/>
    <mergeCell ref="A105:B105"/>
    <mergeCell ref="A106:B106"/>
    <mergeCell ref="A107:B107"/>
    <mergeCell ref="A108:B108"/>
    <mergeCell ref="A109:B109"/>
    <mergeCell ref="A100:B100"/>
    <mergeCell ref="A101:B101"/>
    <mergeCell ref="A102:B102"/>
    <mergeCell ref="A103:B103"/>
    <mergeCell ref="A104:B104"/>
    <mergeCell ref="A95:B95"/>
    <mergeCell ref="A96:B96"/>
    <mergeCell ref="A97:B97"/>
    <mergeCell ref="A98:B98"/>
    <mergeCell ref="A99:B99"/>
    <mergeCell ref="A90:B90"/>
    <mergeCell ref="A91:B91"/>
    <mergeCell ref="A92:B92"/>
    <mergeCell ref="A93:B93"/>
    <mergeCell ref="A94:B94"/>
    <mergeCell ref="A85:B85"/>
    <mergeCell ref="A86:B86"/>
    <mergeCell ref="A87:B87"/>
    <mergeCell ref="A88:B88"/>
    <mergeCell ref="A89:B89"/>
    <mergeCell ref="A80:B80"/>
    <mergeCell ref="A81:B81"/>
    <mergeCell ref="A82:B82"/>
    <mergeCell ref="A83:B83"/>
    <mergeCell ref="A84:B84"/>
    <mergeCell ref="A75:B75"/>
    <mergeCell ref="A76:B76"/>
    <mergeCell ref="A77:B77"/>
    <mergeCell ref="A78:B78"/>
    <mergeCell ref="A79:B79"/>
    <mergeCell ref="A71:B71"/>
    <mergeCell ref="A72:B72"/>
    <mergeCell ref="A73:B73"/>
    <mergeCell ref="A74:B74"/>
    <mergeCell ref="A65:B65"/>
    <mergeCell ref="A66:B66"/>
    <mergeCell ref="A67:B67"/>
    <mergeCell ref="A68:B68"/>
    <mergeCell ref="A69:B69"/>
    <mergeCell ref="A62:B62"/>
    <mergeCell ref="A63:B63"/>
    <mergeCell ref="A64:B64"/>
    <mergeCell ref="A55:B55"/>
    <mergeCell ref="A56:B56"/>
    <mergeCell ref="A57:B57"/>
    <mergeCell ref="A58:B58"/>
    <mergeCell ref="A59:B59"/>
    <mergeCell ref="A70:B70"/>
    <mergeCell ref="A53:B53"/>
    <mergeCell ref="A54:B54"/>
    <mergeCell ref="A45:B45"/>
    <mergeCell ref="A46:B46"/>
    <mergeCell ref="A47:B47"/>
    <mergeCell ref="A48:B48"/>
    <mergeCell ref="A49:B49"/>
    <mergeCell ref="A60:B60"/>
    <mergeCell ref="A61:B61"/>
    <mergeCell ref="A40:B40"/>
    <mergeCell ref="A41:B41"/>
    <mergeCell ref="A42:B42"/>
    <mergeCell ref="A43:B43"/>
    <mergeCell ref="A44:B44"/>
    <mergeCell ref="B812:H812"/>
    <mergeCell ref="B816:H816"/>
    <mergeCell ref="A1:I1"/>
    <mergeCell ref="A2:I2"/>
    <mergeCell ref="B310:H310"/>
    <mergeCell ref="B314:H314"/>
    <mergeCell ref="B494:H494"/>
    <mergeCell ref="B498:H498"/>
    <mergeCell ref="A32:B32"/>
    <mergeCell ref="A33:B33"/>
    <mergeCell ref="A34:B34"/>
    <mergeCell ref="A35:B35"/>
    <mergeCell ref="A36:B36"/>
    <mergeCell ref="A37:B37"/>
    <mergeCell ref="A38:B38"/>
    <mergeCell ref="A39:B39"/>
    <mergeCell ref="A50:B50"/>
    <mergeCell ref="A51:B51"/>
    <mergeCell ref="A52:B52"/>
  </mergeCells>
  <printOptions horizontalCentered="1"/>
  <pageMargins left="0.5" right="0.5" top="0.75" bottom="0.5" header="0.5" footer="0.5"/>
  <pageSetup scale="39" fitToHeight="10" orientation="portrait" r:id="rId1"/>
  <headerFooter alignWithMargins="0">
    <oddHeader>&amp;RPage &amp;P of &amp;N</oddHeader>
  </headerFooter>
  <rowBreaks count="7" manualBreakCount="7">
    <brk id="113" max="16383" man="1"/>
    <brk id="219" max="16383" man="1"/>
    <brk id="320" max="16383" man="1"/>
    <brk id="420" max="16383" man="1"/>
    <brk id="514" max="16383" man="1"/>
    <brk id="616" max="16383" man="1"/>
    <brk id="726" max="16383" man="1"/>
  </rowBreaks>
</worksheet>
</file>

<file path=xl/worksheets/sheet4.xml><?xml version="1.0" encoding="utf-8"?>
<worksheet xmlns="http://schemas.openxmlformats.org/spreadsheetml/2006/main" xmlns:r="http://schemas.openxmlformats.org/officeDocument/2006/relationships">
  <dimension ref="A1:N605"/>
  <sheetViews>
    <sheetView zoomScale="90" zoomScaleNormal="90" zoomScaleSheetLayoutView="55" workbookViewId="0">
      <selection sqref="A1:J1"/>
    </sheetView>
  </sheetViews>
  <sheetFormatPr defaultColWidth="15.375" defaultRowHeight="12.75" customHeight="1"/>
  <cols>
    <col min="1" max="1" width="8" style="1055" customWidth="1"/>
    <col min="2" max="2" width="10.75" style="1060" customWidth="1"/>
    <col min="3" max="3" width="7.375" style="1060" customWidth="1"/>
    <col min="4" max="4" width="17.25" style="1055" customWidth="1"/>
    <col min="5" max="5" width="15.625" style="1055" bestFit="1" customWidth="1"/>
    <col min="6" max="6" width="11.125" style="1055" customWidth="1"/>
    <col min="7" max="7" width="13.25" style="1055" customWidth="1"/>
    <col min="8" max="8" width="16.375" style="1055" customWidth="1"/>
    <col min="9" max="9" width="16.875" style="1055" customWidth="1"/>
    <col min="10" max="10" width="16.625" style="1055" customWidth="1"/>
    <col min="11" max="11" width="15.375" style="1055"/>
    <col min="12" max="12" width="14.875" style="1055" customWidth="1"/>
    <col min="13" max="13" width="15.375" style="1055"/>
    <col min="14" max="14" width="19.375" style="1055" bestFit="1" customWidth="1"/>
    <col min="15" max="16384" width="15.375" style="1055"/>
  </cols>
  <sheetData>
    <row r="1" spans="1:11" s="877" customFormat="1" ht="18.350000000000001">
      <c r="A1" s="1166" t="s">
        <v>101</v>
      </c>
      <c r="B1" s="1167"/>
      <c r="C1" s="1167"/>
      <c r="D1" s="1167"/>
      <c r="E1" s="1167"/>
      <c r="F1" s="1167"/>
      <c r="G1" s="1167"/>
      <c r="H1" s="1167"/>
      <c r="I1" s="1167"/>
      <c r="J1" s="1167"/>
      <c r="K1" s="874"/>
    </row>
    <row r="2" spans="1:11" s="877" customFormat="1" ht="18.350000000000001">
      <c r="A2" s="1166" t="s">
        <v>880</v>
      </c>
      <c r="B2" s="1167"/>
      <c r="C2" s="1167"/>
      <c r="D2" s="1167"/>
      <c r="E2" s="1167"/>
      <c r="F2" s="1167"/>
      <c r="G2" s="1167"/>
      <c r="H2" s="1167"/>
      <c r="I2" s="1167"/>
      <c r="J2" s="1167"/>
      <c r="K2" s="1054"/>
    </row>
    <row r="3" spans="1:11" s="877" customFormat="1" ht="16" customHeight="1">
      <c r="A3" s="1168" t="s">
        <v>1685</v>
      </c>
      <c r="B3" s="1167"/>
      <c r="C3" s="1167"/>
      <c r="D3" s="1167"/>
      <c r="E3" s="1167"/>
      <c r="F3" s="1167"/>
      <c r="G3" s="1167"/>
      <c r="H3" s="1167"/>
      <c r="I3" s="1167"/>
      <c r="J3" s="1167"/>
      <c r="K3" s="874"/>
    </row>
    <row r="4" spans="1:11" s="877" customFormat="1" ht="16" customHeight="1">
      <c r="A4" s="1168" t="s">
        <v>316</v>
      </c>
      <c r="B4" s="1167"/>
      <c r="C4" s="1167"/>
      <c r="D4" s="1167"/>
      <c r="E4" s="1167"/>
      <c r="F4" s="1167"/>
      <c r="G4" s="1167"/>
      <c r="H4" s="1167"/>
      <c r="I4" s="1167"/>
      <c r="J4" s="1167"/>
      <c r="K4" s="874"/>
    </row>
    <row r="5" spans="1:11" s="877" customFormat="1" ht="16" customHeight="1">
      <c r="A5" s="1168" t="s">
        <v>1686</v>
      </c>
      <c r="B5" s="1167"/>
      <c r="C5" s="1167"/>
      <c r="D5" s="1167"/>
      <c r="E5" s="1167"/>
      <c r="F5" s="1167"/>
      <c r="G5" s="1167"/>
      <c r="H5" s="1167"/>
      <c r="I5" s="1167"/>
      <c r="J5" s="1167"/>
      <c r="K5" s="874"/>
    </row>
    <row r="6" spans="1:11" ht="16" customHeight="1">
      <c r="A6" s="1169" t="s">
        <v>1762</v>
      </c>
      <c r="B6" s="1169"/>
      <c r="C6" s="1169"/>
      <c r="D6" s="1169"/>
      <c r="E6" s="1169"/>
      <c r="F6" s="1169"/>
      <c r="G6" s="1169"/>
      <c r="H6" s="1169"/>
      <c r="I6" s="1169"/>
      <c r="J6" s="1169"/>
    </row>
    <row r="7" spans="1:11" ht="16" customHeight="1">
      <c r="A7" s="1056"/>
      <c r="B7" s="1056"/>
      <c r="C7" s="1056"/>
      <c r="D7" s="1056"/>
      <c r="E7" s="1056"/>
      <c r="F7" s="1056"/>
      <c r="G7" s="1056"/>
      <c r="H7" s="1056"/>
      <c r="I7" s="1056"/>
      <c r="J7" s="1056"/>
    </row>
    <row r="8" spans="1:11" ht="16" customHeight="1">
      <c r="A8" s="1170" t="s">
        <v>1687</v>
      </c>
      <c r="B8" s="1171"/>
      <c r="C8" s="1171"/>
      <c r="D8" s="1171"/>
      <c r="E8" s="1171"/>
      <c r="F8" s="1171"/>
      <c r="G8" s="1171"/>
      <c r="H8" s="1171"/>
      <c r="I8" s="1171"/>
      <c r="J8" s="1171"/>
    </row>
    <row r="9" spans="1:11" ht="16" customHeight="1">
      <c r="A9" s="1172" t="s">
        <v>1688</v>
      </c>
      <c r="B9" s="1173"/>
      <c r="C9" s="1173"/>
      <c r="D9" s="1173"/>
      <c r="E9" s="1173"/>
      <c r="F9" s="1173"/>
      <c r="G9" s="1173"/>
      <c r="H9" s="1173"/>
      <c r="I9" s="1173"/>
      <c r="J9" s="1173"/>
    </row>
    <row r="10" spans="1:11" ht="16" customHeight="1">
      <c r="A10" s="1057"/>
      <c r="B10" s="1058"/>
      <c r="C10" s="1058"/>
      <c r="D10" s="1058"/>
      <c r="E10" s="1058"/>
      <c r="F10" s="1058"/>
      <c r="G10" s="1058"/>
      <c r="H10" s="1058"/>
      <c r="I10" s="1058" t="s">
        <v>1689</v>
      </c>
      <c r="J10" s="1058"/>
    </row>
    <row r="11" spans="1:11" ht="16" customHeight="1">
      <c r="A11" s="1059" t="s">
        <v>1690</v>
      </c>
      <c r="B11" s="1058"/>
      <c r="C11" s="1058"/>
      <c r="D11" s="1058"/>
      <c r="E11" s="1058"/>
      <c r="F11" s="1058"/>
      <c r="G11" s="1058"/>
      <c r="H11" s="1058"/>
      <c r="I11" s="1058" t="s">
        <v>1691</v>
      </c>
      <c r="J11" s="1058"/>
    </row>
    <row r="12" spans="1:11" ht="16" customHeight="1">
      <c r="A12" s="1057"/>
      <c r="B12" s="1058"/>
      <c r="C12" s="1058"/>
      <c r="D12" s="1058"/>
      <c r="E12" s="1058"/>
      <c r="F12" s="1058"/>
      <c r="G12" s="1058"/>
      <c r="H12" s="1058"/>
      <c r="I12" s="1058" t="s">
        <v>1692</v>
      </c>
      <c r="J12" s="1058"/>
    </row>
    <row r="13" spans="1:11" ht="16" customHeight="1">
      <c r="A13" s="1174" t="s">
        <v>1693</v>
      </c>
      <c r="B13" s="1175"/>
      <c r="C13" s="1175"/>
      <c r="D13" s="1175"/>
      <c r="E13" s="1175"/>
      <c r="F13" s="1175"/>
      <c r="G13" s="1175"/>
      <c r="H13" s="1175"/>
      <c r="I13" s="1175"/>
      <c r="J13" s="1175"/>
    </row>
    <row r="14" spans="1:11" ht="16" customHeight="1">
      <c r="A14" s="1056"/>
      <c r="B14" s="1056"/>
      <c r="C14" s="1056"/>
      <c r="D14" s="1056"/>
      <c r="E14" s="1056"/>
      <c r="F14" s="1056"/>
      <c r="G14" s="1056"/>
      <c r="H14" s="1056"/>
      <c r="I14" s="1056"/>
      <c r="J14" s="1056"/>
    </row>
    <row r="15" spans="1:11" ht="14.95" customHeight="1">
      <c r="A15" s="1058" t="s">
        <v>1694</v>
      </c>
      <c r="B15" s="1056"/>
      <c r="C15" s="1056"/>
      <c r="D15" s="1056"/>
      <c r="E15" s="1056"/>
      <c r="F15" s="1056"/>
      <c r="G15" s="1056"/>
      <c r="H15" s="1056"/>
      <c r="I15" s="1056"/>
      <c r="J15" s="1056"/>
    </row>
    <row r="16" spans="1:11" ht="14.95" customHeight="1">
      <c r="A16" s="1056"/>
      <c r="B16" s="1056"/>
      <c r="C16" s="1056"/>
      <c r="D16" s="1056"/>
      <c r="E16" s="1056"/>
      <c r="F16" s="1056"/>
      <c r="G16" s="1056"/>
      <c r="H16" s="1056"/>
      <c r="I16" s="1056"/>
      <c r="J16" s="1056"/>
    </row>
    <row r="17" spans="1:14" ht="14.95" customHeight="1">
      <c r="A17" s="1055" t="s">
        <v>1695</v>
      </c>
      <c r="C17" s="1056"/>
      <c r="D17" s="1061" t="s">
        <v>1696</v>
      </c>
      <c r="E17" s="1062">
        <v>365</v>
      </c>
      <c r="F17" s="1058" t="s">
        <v>1697</v>
      </c>
      <c r="G17" s="1056"/>
      <c r="H17" s="1056"/>
      <c r="I17" s="1063" t="str">
        <f>IF(E17=365," ",(IF(E17=366," ","&lt;== INCORRECT ENTRY FOR DAYS")))</f>
        <v xml:space="preserve"> </v>
      </c>
    </row>
    <row r="18" spans="1:14" ht="14.95" customHeight="1"/>
    <row r="19" spans="1:14" ht="14.95" customHeight="1">
      <c r="B19" s="1064" t="s">
        <v>1698</v>
      </c>
      <c r="C19" s="1064" t="s">
        <v>1699</v>
      </c>
      <c r="D19" s="1064" t="s">
        <v>1700</v>
      </c>
      <c r="E19" s="1064" t="s">
        <v>1701</v>
      </c>
      <c r="F19" s="1064" t="s">
        <v>1702</v>
      </c>
      <c r="G19" s="1064" t="s">
        <v>1703</v>
      </c>
      <c r="H19" s="1064" t="s">
        <v>1704</v>
      </c>
      <c r="I19" s="1064" t="s">
        <v>1705</v>
      </c>
      <c r="J19" s="1064">
        <v>-9</v>
      </c>
    </row>
    <row r="20" spans="1:14" ht="14.95" customHeight="1">
      <c r="B20" s="1064"/>
      <c r="C20" s="1064"/>
      <c r="D20" s="1060" t="s">
        <v>312</v>
      </c>
      <c r="E20" s="1064"/>
      <c r="F20" s="1064"/>
      <c r="G20" s="1064"/>
      <c r="H20" s="1064"/>
      <c r="I20" s="1064"/>
      <c r="J20" s="1064"/>
    </row>
    <row r="21" spans="1:14" ht="14.95" customHeight="1">
      <c r="B21" s="1064"/>
      <c r="C21" s="1064"/>
      <c r="D21" s="1060" t="s">
        <v>683</v>
      </c>
      <c r="E21" s="1064"/>
      <c r="F21" s="1060" t="s">
        <v>1706</v>
      </c>
      <c r="G21" s="1064"/>
      <c r="H21" s="1060" t="s">
        <v>1707</v>
      </c>
      <c r="I21" s="1060" t="s">
        <v>1708</v>
      </c>
      <c r="J21" s="1060" t="s">
        <v>1709</v>
      </c>
    </row>
    <row r="22" spans="1:14" ht="14.95" customHeight="1" thickBot="1">
      <c r="A22" s="1065" t="s">
        <v>1710</v>
      </c>
      <c r="B22" s="1065" t="s">
        <v>541</v>
      </c>
      <c r="C22" s="1065" t="s">
        <v>540</v>
      </c>
      <c r="D22" s="1065" t="s">
        <v>326</v>
      </c>
      <c r="E22" s="1065" t="s">
        <v>1711</v>
      </c>
      <c r="F22" s="1065" t="s">
        <v>1712</v>
      </c>
      <c r="G22" s="1065" t="s">
        <v>1713</v>
      </c>
      <c r="H22" s="1065" t="s">
        <v>1711</v>
      </c>
      <c r="I22" s="1065" t="s">
        <v>326</v>
      </c>
      <c r="J22" s="1065" t="s">
        <v>387</v>
      </c>
    </row>
    <row r="23" spans="1:14" ht="14.95" customHeight="1"/>
    <row r="24" spans="1:14" ht="14.95" customHeight="1">
      <c r="A24" s="1055">
        <v>2</v>
      </c>
      <c r="B24" s="1066">
        <v>2014</v>
      </c>
      <c r="C24" s="1060" t="s">
        <v>1714</v>
      </c>
      <c r="D24" s="1067">
        <v>-905291322</v>
      </c>
      <c r="F24" s="1068"/>
      <c r="I24" s="1055">
        <f>+D24</f>
        <v>-905291322</v>
      </c>
    </row>
    <row r="25" spans="1:14" ht="14.95" customHeight="1">
      <c r="B25" s="1069"/>
      <c r="F25" s="1070"/>
    </row>
    <row r="26" spans="1:14" ht="14.95" customHeight="1">
      <c r="A26" s="1055">
        <v>3</v>
      </c>
      <c r="B26" s="1066">
        <v>2015</v>
      </c>
      <c r="C26" s="1060" t="s">
        <v>374</v>
      </c>
      <c r="D26" s="1071">
        <v>-908947556.81735933</v>
      </c>
      <c r="E26" s="1072">
        <f>+D26-D24</f>
        <v>-3656234.8173593283</v>
      </c>
      <c r="F26" s="1073">
        <f>+E$17-31+1</f>
        <v>335</v>
      </c>
      <c r="G26" s="1074">
        <f t="shared" ref="G26:G37" si="0">+F26/$E$17</f>
        <v>0.9178082191780822</v>
      </c>
      <c r="H26" s="1055">
        <f t="shared" ref="H26:H37" si="1">ROUND(E26*G26,0)</f>
        <v>-3355722</v>
      </c>
      <c r="I26" s="1055">
        <f>I24+H26</f>
        <v>-908647044</v>
      </c>
    </row>
    <row r="27" spans="1:14" ht="14.95" customHeight="1">
      <c r="A27" s="1055">
        <v>4</v>
      </c>
      <c r="B27" s="1075">
        <f t="shared" ref="B27:B37" si="2">+B$26</f>
        <v>2015</v>
      </c>
      <c r="C27" s="1060" t="s">
        <v>375</v>
      </c>
      <c r="D27" s="1071">
        <v>-912595989.62146389</v>
      </c>
      <c r="E27" s="1072">
        <f t="shared" ref="E27:E37" si="3">+D27-D26</f>
        <v>-3648432.8041045666</v>
      </c>
      <c r="F27" s="1073">
        <v>307</v>
      </c>
      <c r="G27" s="1074">
        <f t="shared" si="0"/>
        <v>0.84109589041095889</v>
      </c>
      <c r="H27" s="1055">
        <f t="shared" si="1"/>
        <v>-3068682</v>
      </c>
      <c r="I27" s="1055">
        <f t="shared" ref="I27:I37" si="4">I26+H27</f>
        <v>-911715726</v>
      </c>
    </row>
    <row r="28" spans="1:14" ht="14.95" customHeight="1">
      <c r="A28" s="1055">
        <v>5</v>
      </c>
      <c r="B28" s="1075">
        <f t="shared" si="2"/>
        <v>2015</v>
      </c>
      <c r="C28" s="1060" t="s">
        <v>376</v>
      </c>
      <c r="D28" s="1071">
        <v>-916211768.9822098</v>
      </c>
      <c r="E28" s="1072">
        <f t="shared" si="3"/>
        <v>-3615779.3607459068</v>
      </c>
      <c r="F28" s="1073">
        <v>276</v>
      </c>
      <c r="G28" s="1074">
        <f t="shared" si="0"/>
        <v>0.75616438356164384</v>
      </c>
      <c r="H28" s="1055">
        <f t="shared" si="1"/>
        <v>-2734124</v>
      </c>
      <c r="I28" s="1055">
        <f t="shared" si="4"/>
        <v>-914449850</v>
      </c>
    </row>
    <row r="29" spans="1:14" ht="14.95" customHeight="1">
      <c r="A29" s="1055">
        <v>6</v>
      </c>
      <c r="B29" s="1075">
        <f t="shared" si="2"/>
        <v>2015</v>
      </c>
      <c r="C29" s="1060" t="s">
        <v>377</v>
      </c>
      <c r="D29" s="1071">
        <v>-919789931.26169026</v>
      </c>
      <c r="E29" s="1072">
        <f t="shared" si="3"/>
        <v>-3578162.2794804573</v>
      </c>
      <c r="F29" s="1073">
        <v>246</v>
      </c>
      <c r="G29" s="1074">
        <f t="shared" si="0"/>
        <v>0.67397260273972603</v>
      </c>
      <c r="H29" s="1055">
        <f t="shared" si="1"/>
        <v>-2411583</v>
      </c>
      <c r="I29" s="1055">
        <f t="shared" si="4"/>
        <v>-916861433</v>
      </c>
      <c r="N29" s="1076"/>
    </row>
    <row r="30" spans="1:14" ht="14.95" customHeight="1">
      <c r="A30" s="1055">
        <v>7</v>
      </c>
      <c r="B30" s="1075">
        <f t="shared" si="2"/>
        <v>2015</v>
      </c>
      <c r="C30" s="1060" t="s">
        <v>379</v>
      </c>
      <c r="D30" s="1071">
        <v>-923344437.60438979</v>
      </c>
      <c r="E30" s="1072">
        <f t="shared" si="3"/>
        <v>-3554506.3426995277</v>
      </c>
      <c r="F30" s="1073">
        <v>215</v>
      </c>
      <c r="G30" s="1074">
        <f t="shared" si="0"/>
        <v>0.58904109589041098</v>
      </c>
      <c r="H30" s="1055">
        <f t="shared" si="1"/>
        <v>-2093750</v>
      </c>
      <c r="I30" s="1055">
        <f t="shared" si="4"/>
        <v>-918955183</v>
      </c>
      <c r="N30" s="1076"/>
    </row>
    <row r="31" spans="1:14" ht="14.95" customHeight="1">
      <c r="A31" s="1055">
        <v>8</v>
      </c>
      <c r="B31" s="1075">
        <f t="shared" si="2"/>
        <v>2015</v>
      </c>
      <c r="C31" s="1060" t="s">
        <v>380</v>
      </c>
      <c r="D31" s="1071">
        <v>-926838836.71712124</v>
      </c>
      <c r="E31" s="1072">
        <f t="shared" si="3"/>
        <v>-3494399.1127314568</v>
      </c>
      <c r="F31" s="1073">
        <v>185</v>
      </c>
      <c r="G31" s="1074">
        <f t="shared" si="0"/>
        <v>0.50684931506849318</v>
      </c>
      <c r="H31" s="1055">
        <f t="shared" si="1"/>
        <v>-1771134</v>
      </c>
      <c r="I31" s="1055">
        <f t="shared" si="4"/>
        <v>-920726317</v>
      </c>
      <c r="K31" s="1074"/>
      <c r="L31" s="1077"/>
      <c r="N31" s="1076"/>
    </row>
    <row r="32" spans="1:14" ht="14.95" customHeight="1">
      <c r="A32" s="1055">
        <v>9</v>
      </c>
      <c r="B32" s="1075">
        <f t="shared" si="2"/>
        <v>2015</v>
      </c>
      <c r="C32" s="1060" t="s">
        <v>381</v>
      </c>
      <c r="D32" s="1071">
        <v>-930247119.88941002</v>
      </c>
      <c r="E32" s="1072">
        <f t="shared" si="3"/>
        <v>-3408283.1722887754</v>
      </c>
      <c r="F32" s="1073">
        <v>154</v>
      </c>
      <c r="G32" s="1074">
        <f t="shared" si="0"/>
        <v>0.42191780821917807</v>
      </c>
      <c r="H32" s="1055">
        <f t="shared" si="1"/>
        <v>-1438015</v>
      </c>
      <c r="I32" s="1055">
        <f t="shared" si="4"/>
        <v>-922164332</v>
      </c>
      <c r="L32" s="1077"/>
      <c r="N32" s="1076"/>
    </row>
    <row r="33" spans="1:14" ht="14.95" customHeight="1">
      <c r="A33" s="1055">
        <v>10</v>
      </c>
      <c r="B33" s="1075">
        <f t="shared" si="2"/>
        <v>2015</v>
      </c>
      <c r="C33" s="1060" t="s">
        <v>382</v>
      </c>
      <c r="D33" s="1071">
        <v>-933607958.54942226</v>
      </c>
      <c r="E33" s="1072">
        <f t="shared" si="3"/>
        <v>-3360838.6600122452</v>
      </c>
      <c r="F33" s="1073">
        <v>123</v>
      </c>
      <c r="G33" s="1074">
        <f t="shared" si="0"/>
        <v>0.33698630136986302</v>
      </c>
      <c r="H33" s="1055">
        <f t="shared" si="1"/>
        <v>-1132557</v>
      </c>
      <c r="I33" s="1055">
        <f t="shared" si="4"/>
        <v>-923296889</v>
      </c>
    </row>
    <row r="34" spans="1:14" ht="14.95" customHeight="1">
      <c r="A34" s="1055">
        <v>11</v>
      </c>
      <c r="B34" s="1075">
        <f t="shared" si="2"/>
        <v>2015</v>
      </c>
      <c r="C34" s="1060" t="s">
        <v>383</v>
      </c>
      <c r="D34" s="1071">
        <v>-936955611.30051565</v>
      </c>
      <c r="E34" s="1072">
        <f t="shared" si="3"/>
        <v>-3347652.7510933876</v>
      </c>
      <c r="F34" s="1073">
        <v>93</v>
      </c>
      <c r="G34" s="1074">
        <f t="shared" si="0"/>
        <v>0.25479452054794521</v>
      </c>
      <c r="H34" s="1055">
        <f t="shared" si="1"/>
        <v>-852964</v>
      </c>
      <c r="I34" s="1055">
        <f t="shared" si="4"/>
        <v>-924149853</v>
      </c>
    </row>
    <row r="35" spans="1:14" ht="14.95" customHeight="1">
      <c r="A35" s="1055">
        <v>12</v>
      </c>
      <c r="B35" s="1075">
        <f t="shared" si="2"/>
        <v>2015</v>
      </c>
      <c r="C35" s="1060" t="s">
        <v>384</v>
      </c>
      <c r="D35" s="1071">
        <v>-940291888.22350574</v>
      </c>
      <c r="E35" s="1072">
        <f t="shared" si="3"/>
        <v>-3336276.9229900837</v>
      </c>
      <c r="F35" s="1073">
        <v>62</v>
      </c>
      <c r="G35" s="1074">
        <f t="shared" si="0"/>
        <v>0.16986301369863013</v>
      </c>
      <c r="H35" s="1055">
        <f t="shared" si="1"/>
        <v>-566710</v>
      </c>
      <c r="I35" s="1055">
        <f t="shared" si="4"/>
        <v>-924716563</v>
      </c>
    </row>
    <row r="36" spans="1:14" ht="14.95" customHeight="1">
      <c r="A36" s="1055">
        <v>13</v>
      </c>
      <c r="B36" s="1075">
        <f t="shared" si="2"/>
        <v>2015</v>
      </c>
      <c r="C36" s="1060" t="s">
        <v>385</v>
      </c>
      <c r="D36" s="1071">
        <v>-943613651.34699929</v>
      </c>
      <c r="E36" s="1072">
        <f t="shared" si="3"/>
        <v>-3321763.1234935522</v>
      </c>
      <c r="F36" s="1073">
        <v>32</v>
      </c>
      <c r="G36" s="1074">
        <f t="shared" si="0"/>
        <v>8.7671232876712329E-2</v>
      </c>
      <c r="H36" s="1055">
        <f t="shared" si="1"/>
        <v>-291223</v>
      </c>
      <c r="I36" s="1055">
        <f t="shared" si="4"/>
        <v>-925007786</v>
      </c>
      <c r="L36" s="1077"/>
    </row>
    <row r="37" spans="1:14" ht="14.95" customHeight="1">
      <c r="A37" s="1055">
        <v>14</v>
      </c>
      <c r="B37" s="1075">
        <f t="shared" si="2"/>
        <v>2015</v>
      </c>
      <c r="C37" s="1060" t="s">
        <v>1714</v>
      </c>
      <c r="D37" s="1071">
        <v>-946892498.7472204</v>
      </c>
      <c r="E37" s="1072">
        <f t="shared" si="3"/>
        <v>-3278847.4002211094</v>
      </c>
      <c r="F37" s="1073">
        <v>1</v>
      </c>
      <c r="G37" s="1074">
        <f t="shared" si="0"/>
        <v>2.7397260273972603E-3</v>
      </c>
      <c r="H37" s="1055">
        <f t="shared" si="1"/>
        <v>-8983</v>
      </c>
      <c r="I37" s="1055">
        <f t="shared" si="4"/>
        <v>-925016769</v>
      </c>
      <c r="J37" s="1055">
        <f>ROUND((SUM(I24,I26:I37))/13,0)</f>
        <v>-918538390</v>
      </c>
      <c r="L37" s="1077"/>
      <c r="N37" s="1078"/>
    </row>
    <row r="38" spans="1:14" ht="14.95" customHeight="1"/>
    <row r="39" spans="1:14" ht="14.95" customHeight="1">
      <c r="A39" s="1055">
        <v>15</v>
      </c>
      <c r="I39" s="1079" t="s">
        <v>1715</v>
      </c>
      <c r="J39" s="1080">
        <f>('ATT5 - Cost Support 1'!T15-('ATT5 - Cost Support 1'!T16+'ATT5 - Cost Support 1'!T17))/'ATT5 - Cost Support 1'!T15</f>
        <v>0.95079473999464148</v>
      </c>
    </row>
    <row r="40" spans="1:14" ht="14.95" customHeight="1">
      <c r="J40" s="1081"/>
    </row>
    <row r="41" spans="1:14" ht="14.95" customHeight="1">
      <c r="A41" s="1055">
        <v>16</v>
      </c>
      <c r="I41" s="1079" t="s">
        <v>1716</v>
      </c>
      <c r="J41" s="1055">
        <f>J37*J39</f>
        <v>-873341469.69514656</v>
      </c>
      <c r="N41" s="1076"/>
    </row>
    <row r="42" spans="1:14" ht="14.95" customHeight="1">
      <c r="C42" s="1082"/>
      <c r="N42" s="1076"/>
    </row>
    <row r="43" spans="1:14" ht="14.95" customHeight="1">
      <c r="A43" s="1083" t="s">
        <v>1717</v>
      </c>
      <c r="C43" s="1082"/>
      <c r="N43" s="1084"/>
    </row>
    <row r="44" spans="1:14" ht="14.95" customHeight="1">
      <c r="A44" s="1164" t="s">
        <v>1718</v>
      </c>
      <c r="B44" s="1165"/>
      <c r="C44" s="1082" t="s">
        <v>1719</v>
      </c>
    </row>
    <row r="45" spans="1:14" ht="14.95" customHeight="1">
      <c r="A45" s="1164" t="s">
        <v>1720</v>
      </c>
      <c r="B45" s="1165"/>
      <c r="C45" s="1082" t="s">
        <v>1721</v>
      </c>
      <c r="D45" s="1082"/>
      <c r="E45" s="1082"/>
    </row>
    <row r="46" spans="1:14" ht="14.95" customHeight="1">
      <c r="A46" s="1164" t="s">
        <v>1722</v>
      </c>
      <c r="B46" s="1165"/>
      <c r="C46" s="1082" t="s">
        <v>1723</v>
      </c>
    </row>
    <row r="47" spans="1:14" ht="14.95" customHeight="1">
      <c r="A47" s="1164" t="s">
        <v>1724</v>
      </c>
      <c r="B47" s="1165"/>
      <c r="C47" s="1082" t="s">
        <v>1725</v>
      </c>
    </row>
    <row r="48" spans="1:14" ht="14.95" customHeight="1">
      <c r="A48" s="1164" t="s">
        <v>1726</v>
      </c>
      <c r="B48" s="1165"/>
      <c r="C48" s="1176" t="s">
        <v>1727</v>
      </c>
      <c r="D48" s="1177"/>
      <c r="E48" s="1177"/>
      <c r="F48" s="1177"/>
      <c r="G48" s="1177"/>
      <c r="H48" s="1177"/>
      <c r="I48" s="1177"/>
      <c r="J48" s="1177"/>
    </row>
    <row r="49" spans="1:10" ht="14.95" customHeight="1">
      <c r="A49" s="1164" t="s">
        <v>1728</v>
      </c>
      <c r="B49" s="1165" t="s">
        <v>1728</v>
      </c>
      <c r="C49" s="1082" t="s">
        <v>1729</v>
      </c>
    </row>
    <row r="50" spans="1:10" ht="14.95" customHeight="1">
      <c r="A50" s="1085" t="s">
        <v>1730</v>
      </c>
      <c r="B50" s="1086"/>
      <c r="C50" s="1176" t="s">
        <v>1731</v>
      </c>
      <c r="D50" s="1178"/>
      <c r="E50" s="1178"/>
      <c r="F50" s="1178"/>
      <c r="G50" s="1178"/>
      <c r="H50" s="1178"/>
      <c r="I50" s="1178"/>
      <c r="J50" s="1178"/>
    </row>
    <row r="51" spans="1:10" ht="14.95" customHeight="1">
      <c r="A51" s="1164" t="s">
        <v>1732</v>
      </c>
      <c r="B51" s="1164"/>
      <c r="C51" s="1082" t="s">
        <v>1733</v>
      </c>
    </row>
    <row r="52" spans="1:10" ht="14.95" customHeight="1">
      <c r="A52" s="1164" t="s">
        <v>1734</v>
      </c>
      <c r="B52" s="1165" t="s">
        <v>1735</v>
      </c>
      <c r="C52" s="1082" t="s">
        <v>1736</v>
      </c>
    </row>
    <row r="53" spans="1:10" ht="14.95" customHeight="1">
      <c r="A53" s="1164" t="s">
        <v>1737</v>
      </c>
      <c r="B53" s="1165"/>
      <c r="C53" s="1082" t="s">
        <v>1738</v>
      </c>
    </row>
    <row r="54" spans="1:10" ht="30.25" customHeight="1">
      <c r="A54" s="1164" t="s">
        <v>1739</v>
      </c>
      <c r="B54" s="1165"/>
      <c r="C54" s="1176" t="s">
        <v>1740</v>
      </c>
      <c r="D54" s="1178"/>
      <c r="E54" s="1178"/>
      <c r="F54" s="1178"/>
      <c r="G54" s="1178"/>
      <c r="H54" s="1178"/>
      <c r="I54" s="1178"/>
      <c r="J54" s="1178"/>
    </row>
    <row r="55" spans="1:10" ht="14.95" customHeight="1">
      <c r="A55" s="1085"/>
      <c r="B55" s="1086"/>
      <c r="C55" s="1087"/>
      <c r="D55" s="1088"/>
      <c r="E55" s="1088"/>
      <c r="F55" s="1088"/>
      <c r="G55" s="1088"/>
      <c r="H55" s="1088"/>
      <c r="I55" s="1088"/>
      <c r="J55" s="1088"/>
    </row>
    <row r="56" spans="1:10" ht="14.95" customHeight="1">
      <c r="A56" s="1179"/>
      <c r="B56" s="1167"/>
      <c r="C56" s="1082"/>
    </row>
    <row r="57" spans="1:10" ht="14.95" customHeight="1">
      <c r="A57" s="1174" t="s">
        <v>1741</v>
      </c>
      <c r="B57" s="1175"/>
      <c r="C57" s="1175"/>
      <c r="D57" s="1175"/>
      <c r="E57" s="1175"/>
      <c r="F57" s="1175"/>
      <c r="G57" s="1175"/>
      <c r="H57" s="1175"/>
      <c r="I57" s="1175"/>
      <c r="J57" s="1175"/>
    </row>
    <row r="58" spans="1:10" ht="14.95" customHeight="1">
      <c r="A58" s="1180" t="str">
        <f>+A6</f>
        <v>2015 Projection</v>
      </c>
      <c r="B58" s="1181"/>
      <c r="C58" s="1181"/>
      <c r="D58" s="1181"/>
      <c r="E58" s="1181"/>
      <c r="F58" s="1181"/>
      <c r="G58" s="1181"/>
      <c r="H58" s="1181"/>
      <c r="I58" s="1181"/>
      <c r="J58" s="1181"/>
    </row>
    <row r="59" spans="1:10" ht="14.95" customHeight="1">
      <c r="A59" s="1059" t="s">
        <v>1742</v>
      </c>
      <c r="J59" s="1061"/>
    </row>
    <row r="60" spans="1:10" ht="14.95" customHeight="1"/>
    <row r="61" spans="1:10" ht="14.95" customHeight="1">
      <c r="A61" s="1174" t="s">
        <v>1743</v>
      </c>
      <c r="B61" s="1175"/>
      <c r="C61" s="1175"/>
      <c r="D61" s="1175"/>
      <c r="E61" s="1175"/>
      <c r="F61" s="1175"/>
      <c r="G61" s="1175"/>
      <c r="H61" s="1175"/>
      <c r="I61" s="1175"/>
      <c r="J61" s="1175"/>
    </row>
    <row r="62" spans="1:10" ht="14.95" customHeight="1">
      <c r="A62" s="1056"/>
      <c r="B62" s="1056"/>
      <c r="C62" s="1056"/>
      <c r="D62" s="1056"/>
      <c r="E62" s="1056"/>
      <c r="F62" s="1056"/>
      <c r="G62" s="1056"/>
      <c r="H62" s="1056"/>
      <c r="I62" s="1056"/>
      <c r="J62" s="1056"/>
    </row>
    <row r="63" spans="1:10" ht="14.95" customHeight="1">
      <c r="A63" s="1058" t="s">
        <v>1744</v>
      </c>
      <c r="B63" s="1056"/>
      <c r="C63" s="1056"/>
      <c r="D63" s="1056"/>
      <c r="E63" s="1056"/>
      <c r="F63" s="1056"/>
      <c r="G63" s="1056"/>
      <c r="H63" s="1056"/>
      <c r="I63" s="1056"/>
      <c r="J63" s="1056"/>
    </row>
    <row r="64" spans="1:10" ht="14.95" customHeight="1"/>
    <row r="65" spans="1:10" ht="14.95" customHeight="1">
      <c r="B65" s="1064" t="s">
        <v>1698</v>
      </c>
      <c r="C65" s="1064" t="s">
        <v>1699</v>
      </c>
      <c r="D65" s="1064" t="s">
        <v>1700</v>
      </c>
      <c r="E65" s="1064" t="s">
        <v>1701</v>
      </c>
      <c r="F65" s="1064" t="s">
        <v>1702</v>
      </c>
      <c r="G65" s="1064" t="s">
        <v>1703</v>
      </c>
      <c r="H65" s="1064" t="s">
        <v>1704</v>
      </c>
      <c r="I65" s="1064" t="s">
        <v>1705</v>
      </c>
      <c r="J65" s="1064">
        <v>-9</v>
      </c>
    </row>
    <row r="66" spans="1:10" ht="14.95" customHeight="1">
      <c r="B66" s="1064"/>
      <c r="C66" s="1064"/>
      <c r="D66" s="1060" t="s">
        <v>1022</v>
      </c>
      <c r="E66" s="1064"/>
      <c r="F66" s="1060" t="s">
        <v>1706</v>
      </c>
      <c r="G66" s="1064"/>
      <c r="H66" s="1060" t="s">
        <v>1707</v>
      </c>
      <c r="I66" s="1060" t="s">
        <v>1708</v>
      </c>
      <c r="J66" s="1060" t="s">
        <v>1709</v>
      </c>
    </row>
    <row r="67" spans="1:10" ht="14.95" customHeight="1" thickBot="1">
      <c r="A67" s="1065" t="s">
        <v>1710</v>
      </c>
      <c r="B67" s="1065" t="s">
        <v>541</v>
      </c>
      <c r="C67" s="1065" t="s">
        <v>540</v>
      </c>
      <c r="D67" s="1065" t="s">
        <v>326</v>
      </c>
      <c r="E67" s="1065" t="s">
        <v>1711</v>
      </c>
      <c r="F67" s="1065" t="s">
        <v>1712</v>
      </c>
      <c r="G67" s="1065" t="s">
        <v>1713</v>
      </c>
      <c r="H67" s="1065" t="s">
        <v>1711</v>
      </c>
      <c r="I67" s="1065" t="s">
        <v>326</v>
      </c>
      <c r="J67" s="1065" t="s">
        <v>387</v>
      </c>
    </row>
    <row r="68" spans="1:10" ht="14.95" customHeight="1"/>
    <row r="69" spans="1:10" ht="14.95" customHeight="1">
      <c r="A69" s="1055">
        <v>1</v>
      </c>
      <c r="B69" s="1075">
        <f>+B$24</f>
        <v>2014</v>
      </c>
      <c r="C69" s="1060" t="s">
        <v>1714</v>
      </c>
      <c r="D69" s="1089">
        <v>-54486927</v>
      </c>
      <c r="F69" s="1068"/>
      <c r="I69" s="1055">
        <f>+D69</f>
        <v>-54486927</v>
      </c>
    </row>
    <row r="70" spans="1:10" ht="14.95" customHeight="1">
      <c r="B70" s="1075"/>
      <c r="F70" s="1070"/>
    </row>
    <row r="71" spans="1:10" ht="14.95" customHeight="1">
      <c r="A71" s="1055">
        <v>2</v>
      </c>
      <c r="B71" s="1075">
        <f t="shared" ref="B71:B82" si="5">+B$26</f>
        <v>2015</v>
      </c>
      <c r="C71" s="1060" t="s">
        <v>374</v>
      </c>
      <c r="D71" s="1089">
        <v>-54486927</v>
      </c>
      <c r="E71" s="1072">
        <f>+D71-D69</f>
        <v>0</v>
      </c>
      <c r="F71" s="1073">
        <f>+E$17-31+1</f>
        <v>335</v>
      </c>
      <c r="G71" s="1074">
        <f t="shared" ref="G71:G82" si="6">+F71/$E$17</f>
        <v>0.9178082191780822</v>
      </c>
      <c r="H71" s="1055">
        <f t="shared" ref="H71:H82" si="7">ROUND(E71*G71,0)</f>
        <v>0</v>
      </c>
      <c r="I71" s="1055">
        <f>I69+H71</f>
        <v>-54486927</v>
      </c>
    </row>
    <row r="72" spans="1:10" ht="14.95" customHeight="1">
      <c r="A72" s="1055">
        <v>3</v>
      </c>
      <c r="B72" s="1075">
        <f t="shared" si="5"/>
        <v>2015</v>
      </c>
      <c r="C72" s="1060" t="s">
        <v>375</v>
      </c>
      <c r="D72" s="1089">
        <v>-54486927</v>
      </c>
      <c r="E72" s="1072">
        <f t="shared" ref="E72:E82" si="8">+D72-D71</f>
        <v>0</v>
      </c>
      <c r="F72" s="1073">
        <v>307</v>
      </c>
      <c r="G72" s="1074">
        <f t="shared" si="6"/>
        <v>0.84109589041095889</v>
      </c>
      <c r="H72" s="1055">
        <f t="shared" si="7"/>
        <v>0</v>
      </c>
      <c r="I72" s="1055">
        <f t="shared" ref="I72:I82" si="9">I71+H72</f>
        <v>-54486927</v>
      </c>
    </row>
    <row r="73" spans="1:10" ht="14.95" customHeight="1">
      <c r="A73" s="1055">
        <v>4</v>
      </c>
      <c r="B73" s="1075">
        <f t="shared" si="5"/>
        <v>2015</v>
      </c>
      <c r="C73" s="1060" t="s">
        <v>376</v>
      </c>
      <c r="D73" s="1089">
        <v>-54486927</v>
      </c>
      <c r="E73" s="1072">
        <f t="shared" si="8"/>
        <v>0</v>
      </c>
      <c r="F73" s="1073">
        <v>276</v>
      </c>
      <c r="G73" s="1074">
        <f t="shared" si="6"/>
        <v>0.75616438356164384</v>
      </c>
      <c r="H73" s="1055">
        <f t="shared" si="7"/>
        <v>0</v>
      </c>
      <c r="I73" s="1055">
        <f t="shared" si="9"/>
        <v>-54486927</v>
      </c>
    </row>
    <row r="74" spans="1:10" ht="14.95" customHeight="1">
      <c r="A74" s="1055">
        <v>5</v>
      </c>
      <c r="B74" s="1075">
        <f t="shared" si="5"/>
        <v>2015</v>
      </c>
      <c r="C74" s="1060" t="s">
        <v>377</v>
      </c>
      <c r="D74" s="1089">
        <v>-54486927</v>
      </c>
      <c r="E74" s="1072">
        <f t="shared" si="8"/>
        <v>0</v>
      </c>
      <c r="F74" s="1073">
        <v>246</v>
      </c>
      <c r="G74" s="1074">
        <f t="shared" si="6"/>
        <v>0.67397260273972603</v>
      </c>
      <c r="H74" s="1055">
        <f t="shared" si="7"/>
        <v>0</v>
      </c>
      <c r="I74" s="1055">
        <f t="shared" si="9"/>
        <v>-54486927</v>
      </c>
    </row>
    <row r="75" spans="1:10" ht="14.95" customHeight="1">
      <c r="A75" s="1055">
        <v>6</v>
      </c>
      <c r="B75" s="1075">
        <f t="shared" si="5"/>
        <v>2015</v>
      </c>
      <c r="C75" s="1060" t="s">
        <v>379</v>
      </c>
      <c r="D75" s="1089">
        <v>-54486927</v>
      </c>
      <c r="E75" s="1072">
        <f t="shared" si="8"/>
        <v>0</v>
      </c>
      <c r="F75" s="1073">
        <v>215</v>
      </c>
      <c r="G75" s="1074">
        <f t="shared" si="6"/>
        <v>0.58904109589041098</v>
      </c>
      <c r="H75" s="1055">
        <f t="shared" si="7"/>
        <v>0</v>
      </c>
      <c r="I75" s="1055">
        <f t="shared" si="9"/>
        <v>-54486927</v>
      </c>
    </row>
    <row r="76" spans="1:10" ht="14.95" customHeight="1">
      <c r="A76" s="1055">
        <v>7</v>
      </c>
      <c r="B76" s="1075">
        <f t="shared" si="5"/>
        <v>2015</v>
      </c>
      <c r="C76" s="1060" t="s">
        <v>380</v>
      </c>
      <c r="D76" s="1089">
        <v>-54486927</v>
      </c>
      <c r="E76" s="1072">
        <f t="shared" si="8"/>
        <v>0</v>
      </c>
      <c r="F76" s="1073">
        <v>185</v>
      </c>
      <c r="G76" s="1074">
        <f t="shared" si="6"/>
        <v>0.50684931506849318</v>
      </c>
      <c r="H76" s="1055">
        <f t="shared" si="7"/>
        <v>0</v>
      </c>
      <c r="I76" s="1055">
        <f t="shared" si="9"/>
        <v>-54486927</v>
      </c>
    </row>
    <row r="77" spans="1:10" ht="14.95" customHeight="1">
      <c r="A77" s="1055">
        <v>8</v>
      </c>
      <c r="B77" s="1075">
        <f t="shared" si="5"/>
        <v>2015</v>
      </c>
      <c r="C77" s="1060" t="s">
        <v>381</v>
      </c>
      <c r="D77" s="1089">
        <v>-54486927</v>
      </c>
      <c r="E77" s="1072">
        <f t="shared" si="8"/>
        <v>0</v>
      </c>
      <c r="F77" s="1073">
        <v>154</v>
      </c>
      <c r="G77" s="1074">
        <f t="shared" si="6"/>
        <v>0.42191780821917807</v>
      </c>
      <c r="H77" s="1055">
        <f t="shared" si="7"/>
        <v>0</v>
      </c>
      <c r="I77" s="1055">
        <f t="shared" si="9"/>
        <v>-54486927</v>
      </c>
    </row>
    <row r="78" spans="1:10" ht="14.95" customHeight="1">
      <c r="A78" s="1055">
        <v>9</v>
      </c>
      <c r="B78" s="1075">
        <f t="shared" si="5"/>
        <v>2015</v>
      </c>
      <c r="C78" s="1060" t="s">
        <v>382</v>
      </c>
      <c r="D78" s="1089">
        <v>-54486927</v>
      </c>
      <c r="E78" s="1072">
        <f t="shared" si="8"/>
        <v>0</v>
      </c>
      <c r="F78" s="1073">
        <v>123</v>
      </c>
      <c r="G78" s="1074">
        <f t="shared" si="6"/>
        <v>0.33698630136986302</v>
      </c>
      <c r="H78" s="1055">
        <f t="shared" si="7"/>
        <v>0</v>
      </c>
      <c r="I78" s="1055">
        <f t="shared" si="9"/>
        <v>-54486927</v>
      </c>
    </row>
    <row r="79" spans="1:10" ht="14.95" customHeight="1">
      <c r="A79" s="1055">
        <v>10</v>
      </c>
      <c r="B79" s="1075">
        <f t="shared" si="5"/>
        <v>2015</v>
      </c>
      <c r="C79" s="1060" t="s">
        <v>383</v>
      </c>
      <c r="D79" s="1089">
        <v>-54486927</v>
      </c>
      <c r="E79" s="1072">
        <f t="shared" si="8"/>
        <v>0</v>
      </c>
      <c r="F79" s="1073">
        <v>93</v>
      </c>
      <c r="G79" s="1074">
        <f t="shared" si="6"/>
        <v>0.25479452054794521</v>
      </c>
      <c r="H79" s="1055">
        <f t="shared" si="7"/>
        <v>0</v>
      </c>
      <c r="I79" s="1055">
        <f t="shared" si="9"/>
        <v>-54486927</v>
      </c>
    </row>
    <row r="80" spans="1:10" ht="14.95" customHeight="1">
      <c r="A80" s="1055">
        <v>11</v>
      </c>
      <c r="B80" s="1075">
        <f t="shared" si="5"/>
        <v>2015</v>
      </c>
      <c r="C80" s="1060" t="s">
        <v>384</v>
      </c>
      <c r="D80" s="1089">
        <v>-54486927</v>
      </c>
      <c r="E80" s="1072">
        <f t="shared" si="8"/>
        <v>0</v>
      </c>
      <c r="F80" s="1073">
        <v>62</v>
      </c>
      <c r="G80" s="1074">
        <f t="shared" si="6"/>
        <v>0.16986301369863013</v>
      </c>
      <c r="H80" s="1055">
        <f t="shared" si="7"/>
        <v>0</v>
      </c>
      <c r="I80" s="1055">
        <f t="shared" si="9"/>
        <v>-54486927</v>
      </c>
    </row>
    <row r="81" spans="1:10" ht="14.95" customHeight="1">
      <c r="A81" s="1055">
        <v>12</v>
      </c>
      <c r="B81" s="1075">
        <f t="shared" si="5"/>
        <v>2015</v>
      </c>
      <c r="C81" s="1060" t="s">
        <v>385</v>
      </c>
      <c r="D81" s="1089">
        <v>-54486927</v>
      </c>
      <c r="E81" s="1072">
        <f t="shared" si="8"/>
        <v>0</v>
      </c>
      <c r="F81" s="1073">
        <v>32</v>
      </c>
      <c r="G81" s="1074">
        <f t="shared" si="6"/>
        <v>8.7671232876712329E-2</v>
      </c>
      <c r="H81" s="1055">
        <f t="shared" si="7"/>
        <v>0</v>
      </c>
      <c r="I81" s="1055">
        <f t="shared" si="9"/>
        <v>-54486927</v>
      </c>
    </row>
    <row r="82" spans="1:10" ht="14.95" customHeight="1">
      <c r="A82" s="1055">
        <v>13</v>
      </c>
      <c r="B82" s="1075">
        <f t="shared" si="5"/>
        <v>2015</v>
      </c>
      <c r="C82" s="1060" t="s">
        <v>1714</v>
      </c>
      <c r="D82" s="1089">
        <v>-54486927</v>
      </c>
      <c r="E82" s="1072">
        <f t="shared" si="8"/>
        <v>0</v>
      </c>
      <c r="F82" s="1073">
        <v>1</v>
      </c>
      <c r="G82" s="1074">
        <f t="shared" si="6"/>
        <v>2.7397260273972603E-3</v>
      </c>
      <c r="H82" s="1055">
        <f t="shared" si="7"/>
        <v>0</v>
      </c>
      <c r="I82" s="1055">
        <f t="shared" si="9"/>
        <v>-54486927</v>
      </c>
    </row>
    <row r="83" spans="1:10" ht="14.95" customHeight="1"/>
    <row r="84" spans="1:10" ht="14.95" customHeight="1">
      <c r="A84" s="1055">
        <v>14</v>
      </c>
      <c r="I84" s="1079" t="s">
        <v>1745</v>
      </c>
      <c r="J84" s="1055">
        <f>ROUND((SUM(I69,I71:I82))/13,0)</f>
        <v>-54486927</v>
      </c>
    </row>
    <row r="85" spans="1:10" ht="14.95" customHeight="1">
      <c r="I85" s="1079"/>
    </row>
    <row r="86" spans="1:10" ht="14.95" customHeight="1">
      <c r="A86" s="1083" t="s">
        <v>1717</v>
      </c>
    </row>
    <row r="87" spans="1:10" ht="14.95" customHeight="1">
      <c r="A87" s="1164" t="s">
        <v>1720</v>
      </c>
      <c r="B87" s="1165"/>
      <c r="C87" s="1082" t="s">
        <v>1721</v>
      </c>
      <c r="D87" s="1082"/>
      <c r="E87" s="1082"/>
    </row>
    <row r="88" spans="1:10" ht="14.95" customHeight="1">
      <c r="A88" s="1164" t="s">
        <v>1722</v>
      </c>
      <c r="B88" s="1165"/>
      <c r="C88" s="1082" t="s">
        <v>1723</v>
      </c>
    </row>
    <row r="89" spans="1:10" ht="14.95" customHeight="1">
      <c r="A89" s="1164" t="s">
        <v>1724</v>
      </c>
      <c r="B89" s="1165"/>
      <c r="C89" s="1082" t="s">
        <v>1725</v>
      </c>
    </row>
    <row r="90" spans="1:10" ht="14.95" customHeight="1">
      <c r="A90" s="1164" t="s">
        <v>1726</v>
      </c>
      <c r="B90" s="1165"/>
      <c r="C90" s="1176" t="s">
        <v>1727</v>
      </c>
      <c r="D90" s="1177"/>
      <c r="E90" s="1177"/>
      <c r="F90" s="1177"/>
      <c r="G90" s="1177"/>
      <c r="H90" s="1177"/>
      <c r="I90" s="1177"/>
      <c r="J90" s="1177"/>
    </row>
    <row r="91" spans="1:10" ht="14.95" customHeight="1">
      <c r="A91" s="1164" t="s">
        <v>1728</v>
      </c>
      <c r="B91" s="1165" t="s">
        <v>1728</v>
      </c>
      <c r="C91" s="1082" t="s">
        <v>1746</v>
      </c>
    </row>
    <row r="92" spans="1:10" ht="14.95" customHeight="1">
      <c r="A92" s="1085" t="s">
        <v>1747</v>
      </c>
      <c r="B92" s="1086"/>
      <c r="C92" s="1176" t="s">
        <v>1748</v>
      </c>
      <c r="D92" s="1178"/>
      <c r="E92" s="1178"/>
      <c r="F92" s="1178"/>
      <c r="G92" s="1178"/>
      <c r="H92" s="1178"/>
      <c r="I92" s="1178"/>
      <c r="J92" s="1178"/>
    </row>
    <row r="93" spans="1:10" ht="14.95" customHeight="1">
      <c r="A93" s="1164" t="s">
        <v>1749</v>
      </c>
      <c r="B93" s="1165" t="s">
        <v>1728</v>
      </c>
      <c r="C93" s="1082" t="s">
        <v>1750</v>
      </c>
    </row>
    <row r="94" spans="1:10" ht="29.9" customHeight="1">
      <c r="A94" s="1164" t="s">
        <v>1734</v>
      </c>
      <c r="B94" s="1165" t="s">
        <v>1735</v>
      </c>
      <c r="C94" s="1176" t="s">
        <v>1751</v>
      </c>
      <c r="D94" s="1178"/>
      <c r="E94" s="1178"/>
      <c r="F94" s="1178"/>
      <c r="G94" s="1178"/>
      <c r="H94" s="1178"/>
      <c r="I94" s="1178"/>
      <c r="J94" s="1178"/>
    </row>
    <row r="95" spans="1:10" ht="14.95" customHeight="1"/>
    <row r="96" spans="1:10" ht="14.95" customHeight="1"/>
    <row r="97" spans="1:10" ht="14.95" customHeight="1">
      <c r="A97" s="1174" t="s">
        <v>1741</v>
      </c>
      <c r="B97" s="1175"/>
      <c r="C97" s="1175"/>
      <c r="D97" s="1175"/>
      <c r="E97" s="1175"/>
      <c r="F97" s="1175"/>
      <c r="G97" s="1175"/>
      <c r="H97" s="1175"/>
      <c r="I97" s="1175"/>
      <c r="J97" s="1175"/>
    </row>
    <row r="98" spans="1:10" ht="14.95" customHeight="1">
      <c r="A98" s="1180" t="str">
        <f>+A6</f>
        <v>2015 Projection</v>
      </c>
      <c r="B98" s="1181"/>
      <c r="C98" s="1181"/>
      <c r="D98" s="1181"/>
      <c r="E98" s="1181"/>
      <c r="F98" s="1181"/>
      <c r="G98" s="1181"/>
      <c r="H98" s="1181"/>
      <c r="I98" s="1181"/>
      <c r="J98" s="1181"/>
    </row>
    <row r="99" spans="1:10" ht="14.95" customHeight="1">
      <c r="A99" s="1059" t="s">
        <v>1752</v>
      </c>
      <c r="J99" s="1061"/>
    </row>
    <row r="100" spans="1:10" ht="14.95" customHeight="1">
      <c r="A100" s="1059"/>
      <c r="J100" s="1061"/>
    </row>
    <row r="101" spans="1:10" ht="14.95" customHeight="1">
      <c r="A101" s="1058" t="s">
        <v>1744</v>
      </c>
      <c r="J101" s="1061"/>
    </row>
    <row r="102" spans="1:10" ht="14.95" customHeight="1">
      <c r="A102" s="1055" t="s">
        <v>1753</v>
      </c>
      <c r="J102" s="1061"/>
    </row>
    <row r="103" spans="1:10" ht="14.95" customHeight="1"/>
    <row r="104" spans="1:10" ht="14.95" customHeight="1">
      <c r="A104" s="1174" t="s">
        <v>1754</v>
      </c>
      <c r="B104" s="1175"/>
      <c r="C104" s="1175"/>
      <c r="D104" s="1175"/>
      <c r="E104" s="1175"/>
      <c r="F104" s="1175"/>
      <c r="G104" s="1175"/>
      <c r="H104" s="1175"/>
      <c r="I104" s="1175"/>
      <c r="J104" s="1175"/>
    </row>
    <row r="105" spans="1:10" ht="14.95" customHeight="1"/>
    <row r="106" spans="1:10" ht="14.95" customHeight="1">
      <c r="B106" s="1064" t="s">
        <v>1698</v>
      </c>
      <c r="C106" s="1064" t="s">
        <v>1699</v>
      </c>
      <c r="D106" s="1064" t="s">
        <v>1700</v>
      </c>
      <c r="E106" s="1064" t="s">
        <v>1701</v>
      </c>
      <c r="F106" s="1064" t="s">
        <v>1702</v>
      </c>
      <c r="G106" s="1064" t="s">
        <v>1703</v>
      </c>
      <c r="H106" s="1064" t="s">
        <v>1704</v>
      </c>
      <c r="I106" s="1064" t="s">
        <v>1705</v>
      </c>
      <c r="J106" s="1064">
        <v>-9</v>
      </c>
    </row>
    <row r="107" spans="1:10" ht="14.95" customHeight="1">
      <c r="D107" s="1060" t="s">
        <v>1755</v>
      </c>
      <c r="I107" s="1079"/>
    </row>
    <row r="108" spans="1:10" ht="14.95" customHeight="1">
      <c r="D108" s="1060" t="s">
        <v>1756</v>
      </c>
      <c r="F108" s="1060" t="s">
        <v>1706</v>
      </c>
      <c r="H108" s="1060" t="s">
        <v>1707</v>
      </c>
      <c r="I108" s="1060" t="s">
        <v>1708</v>
      </c>
      <c r="J108" s="1060" t="s">
        <v>1709</v>
      </c>
    </row>
    <row r="109" spans="1:10" ht="14.95" customHeight="1" thickBot="1">
      <c r="A109" s="1065" t="s">
        <v>1710</v>
      </c>
      <c r="B109" s="1065" t="s">
        <v>541</v>
      </c>
      <c r="C109" s="1065" t="s">
        <v>540</v>
      </c>
      <c r="D109" s="1065" t="s">
        <v>326</v>
      </c>
      <c r="E109" s="1065" t="s">
        <v>1711</v>
      </c>
      <c r="F109" s="1065" t="s">
        <v>1712</v>
      </c>
      <c r="G109" s="1065" t="s">
        <v>1713</v>
      </c>
      <c r="H109" s="1065" t="s">
        <v>1711</v>
      </c>
      <c r="I109" s="1065" t="s">
        <v>326</v>
      </c>
      <c r="J109" s="1065" t="s">
        <v>387</v>
      </c>
    </row>
    <row r="110" spans="1:10" ht="14.95" customHeight="1">
      <c r="A110" s="1090"/>
      <c r="B110" s="1090"/>
      <c r="C110" s="1090"/>
      <c r="D110" s="1090"/>
      <c r="E110" s="1090"/>
      <c r="F110" s="1090"/>
      <c r="G110" s="1090"/>
      <c r="H110" s="1090"/>
      <c r="I110" s="1090"/>
      <c r="J110" s="1090"/>
    </row>
    <row r="111" spans="1:10" ht="14.95" customHeight="1">
      <c r="A111" s="1055">
        <v>1</v>
      </c>
      <c r="B111" s="1075">
        <f>+B$24</f>
        <v>2014</v>
      </c>
      <c r="C111" s="1060" t="s">
        <v>1714</v>
      </c>
      <c r="D111" s="1089">
        <v>40276268</v>
      </c>
      <c r="F111" s="1068"/>
      <c r="I111" s="1055">
        <f>+D111</f>
        <v>40276268</v>
      </c>
    </row>
    <row r="112" spans="1:10" ht="14.95" customHeight="1">
      <c r="B112" s="1075"/>
      <c r="F112" s="1070"/>
    </row>
    <row r="113" spans="1:10" ht="14.95" customHeight="1">
      <c r="A113" s="1055">
        <v>2</v>
      </c>
      <c r="B113" s="1075">
        <f t="shared" ref="B113:B124" si="10">+B$26</f>
        <v>2015</v>
      </c>
      <c r="C113" s="1060" t="s">
        <v>374</v>
      </c>
      <c r="D113" s="1089">
        <v>40276268</v>
      </c>
      <c r="E113" s="1072">
        <f>+D113-D111</f>
        <v>0</v>
      </c>
      <c r="F113" s="1073">
        <f>+E$17-31+1</f>
        <v>335</v>
      </c>
      <c r="G113" s="1074">
        <f t="shared" ref="G113:G124" si="11">+F113/$E$17</f>
        <v>0.9178082191780822</v>
      </c>
      <c r="H113" s="1055">
        <f t="shared" ref="H113:H124" si="12">ROUND(E113*G113,0)</f>
        <v>0</v>
      </c>
      <c r="I113" s="1055">
        <f>I111+H113</f>
        <v>40276268</v>
      </c>
    </row>
    <row r="114" spans="1:10" ht="14.95" customHeight="1">
      <c r="A114" s="1055">
        <v>3</v>
      </c>
      <c r="B114" s="1075">
        <f t="shared" si="10"/>
        <v>2015</v>
      </c>
      <c r="C114" s="1060" t="s">
        <v>375</v>
      </c>
      <c r="D114" s="1089">
        <v>40276268</v>
      </c>
      <c r="E114" s="1072">
        <f t="shared" ref="E114:E124" si="13">+D114-D113</f>
        <v>0</v>
      </c>
      <c r="F114" s="1073">
        <v>307</v>
      </c>
      <c r="G114" s="1074">
        <f t="shared" si="11"/>
        <v>0.84109589041095889</v>
      </c>
      <c r="H114" s="1055">
        <f t="shared" si="12"/>
        <v>0</v>
      </c>
      <c r="I114" s="1055">
        <f t="shared" ref="I114:I124" si="14">I113+H114</f>
        <v>40276268</v>
      </c>
    </row>
    <row r="115" spans="1:10" ht="14.95" customHeight="1">
      <c r="A115" s="1055">
        <v>4</v>
      </c>
      <c r="B115" s="1075">
        <f t="shared" si="10"/>
        <v>2015</v>
      </c>
      <c r="C115" s="1060" t="s">
        <v>376</v>
      </c>
      <c r="D115" s="1089">
        <v>40276268</v>
      </c>
      <c r="E115" s="1072">
        <f t="shared" si="13"/>
        <v>0</v>
      </c>
      <c r="F115" s="1073">
        <v>276</v>
      </c>
      <c r="G115" s="1074">
        <f t="shared" si="11"/>
        <v>0.75616438356164384</v>
      </c>
      <c r="H115" s="1055">
        <f t="shared" si="12"/>
        <v>0</v>
      </c>
      <c r="I115" s="1055">
        <f t="shared" si="14"/>
        <v>40276268</v>
      </c>
    </row>
    <row r="116" spans="1:10" ht="14.95" customHeight="1">
      <c r="A116" s="1055">
        <v>5</v>
      </c>
      <c r="B116" s="1075">
        <f t="shared" si="10"/>
        <v>2015</v>
      </c>
      <c r="C116" s="1060" t="s">
        <v>377</v>
      </c>
      <c r="D116" s="1089">
        <v>40276268</v>
      </c>
      <c r="E116" s="1072">
        <f t="shared" si="13"/>
        <v>0</v>
      </c>
      <c r="F116" s="1073">
        <v>246</v>
      </c>
      <c r="G116" s="1074">
        <f t="shared" si="11"/>
        <v>0.67397260273972603</v>
      </c>
      <c r="H116" s="1055">
        <f t="shared" si="12"/>
        <v>0</v>
      </c>
      <c r="I116" s="1055">
        <f t="shared" si="14"/>
        <v>40276268</v>
      </c>
    </row>
    <row r="117" spans="1:10" ht="14.95" customHeight="1">
      <c r="A117" s="1055">
        <v>6</v>
      </c>
      <c r="B117" s="1075">
        <f t="shared" si="10"/>
        <v>2015</v>
      </c>
      <c r="C117" s="1060" t="s">
        <v>379</v>
      </c>
      <c r="D117" s="1089">
        <v>40276268</v>
      </c>
      <c r="E117" s="1072">
        <f t="shared" si="13"/>
        <v>0</v>
      </c>
      <c r="F117" s="1073">
        <v>215</v>
      </c>
      <c r="G117" s="1074">
        <f t="shared" si="11"/>
        <v>0.58904109589041098</v>
      </c>
      <c r="H117" s="1055">
        <f t="shared" si="12"/>
        <v>0</v>
      </c>
      <c r="I117" s="1055">
        <f t="shared" si="14"/>
        <v>40276268</v>
      </c>
    </row>
    <row r="118" spans="1:10" ht="14.95" customHeight="1">
      <c r="A118" s="1055">
        <v>7</v>
      </c>
      <c r="B118" s="1075">
        <f t="shared" si="10"/>
        <v>2015</v>
      </c>
      <c r="C118" s="1060" t="s">
        <v>380</v>
      </c>
      <c r="D118" s="1089">
        <v>40276268</v>
      </c>
      <c r="E118" s="1072">
        <f t="shared" si="13"/>
        <v>0</v>
      </c>
      <c r="F118" s="1073">
        <v>185</v>
      </c>
      <c r="G118" s="1074">
        <f t="shared" si="11"/>
        <v>0.50684931506849318</v>
      </c>
      <c r="H118" s="1055">
        <f t="shared" si="12"/>
        <v>0</v>
      </c>
      <c r="I118" s="1055">
        <f t="shared" si="14"/>
        <v>40276268</v>
      </c>
    </row>
    <row r="119" spans="1:10" ht="14.95" customHeight="1">
      <c r="A119" s="1055">
        <v>8</v>
      </c>
      <c r="B119" s="1075">
        <f t="shared" si="10"/>
        <v>2015</v>
      </c>
      <c r="C119" s="1060" t="s">
        <v>381</v>
      </c>
      <c r="D119" s="1089">
        <v>40276268</v>
      </c>
      <c r="E119" s="1072">
        <f t="shared" si="13"/>
        <v>0</v>
      </c>
      <c r="F119" s="1073">
        <v>154</v>
      </c>
      <c r="G119" s="1074">
        <f t="shared" si="11"/>
        <v>0.42191780821917807</v>
      </c>
      <c r="H119" s="1055">
        <f t="shared" si="12"/>
        <v>0</v>
      </c>
      <c r="I119" s="1055">
        <f t="shared" si="14"/>
        <v>40276268</v>
      </c>
    </row>
    <row r="120" spans="1:10" ht="14.95" customHeight="1">
      <c r="A120" s="1055">
        <v>9</v>
      </c>
      <c r="B120" s="1075">
        <f t="shared" si="10"/>
        <v>2015</v>
      </c>
      <c r="C120" s="1060" t="s">
        <v>382</v>
      </c>
      <c r="D120" s="1089">
        <v>40276268</v>
      </c>
      <c r="E120" s="1072">
        <f t="shared" si="13"/>
        <v>0</v>
      </c>
      <c r="F120" s="1073">
        <v>123</v>
      </c>
      <c r="G120" s="1074">
        <f t="shared" si="11"/>
        <v>0.33698630136986302</v>
      </c>
      <c r="H120" s="1055">
        <f t="shared" si="12"/>
        <v>0</v>
      </c>
      <c r="I120" s="1055">
        <f t="shared" si="14"/>
        <v>40276268</v>
      </c>
    </row>
    <row r="121" spans="1:10" ht="14.95" customHeight="1">
      <c r="A121" s="1055">
        <v>10</v>
      </c>
      <c r="B121" s="1075">
        <f t="shared" si="10"/>
        <v>2015</v>
      </c>
      <c r="C121" s="1060" t="s">
        <v>383</v>
      </c>
      <c r="D121" s="1089">
        <v>40276268</v>
      </c>
      <c r="E121" s="1072">
        <f t="shared" si="13"/>
        <v>0</v>
      </c>
      <c r="F121" s="1073">
        <v>93</v>
      </c>
      <c r="G121" s="1074">
        <f t="shared" si="11"/>
        <v>0.25479452054794521</v>
      </c>
      <c r="H121" s="1055">
        <f t="shared" si="12"/>
        <v>0</v>
      </c>
      <c r="I121" s="1055">
        <f t="shared" si="14"/>
        <v>40276268</v>
      </c>
    </row>
    <row r="122" spans="1:10" ht="14.95" customHeight="1">
      <c r="A122" s="1055">
        <v>11</v>
      </c>
      <c r="B122" s="1075">
        <f t="shared" si="10"/>
        <v>2015</v>
      </c>
      <c r="C122" s="1060" t="s">
        <v>384</v>
      </c>
      <c r="D122" s="1089">
        <v>40276268</v>
      </c>
      <c r="E122" s="1072">
        <f t="shared" si="13"/>
        <v>0</v>
      </c>
      <c r="F122" s="1073">
        <v>62</v>
      </c>
      <c r="G122" s="1074">
        <f t="shared" si="11"/>
        <v>0.16986301369863013</v>
      </c>
      <c r="H122" s="1055">
        <f t="shared" si="12"/>
        <v>0</v>
      </c>
      <c r="I122" s="1055">
        <f t="shared" si="14"/>
        <v>40276268</v>
      </c>
    </row>
    <row r="123" spans="1:10" ht="14.95" customHeight="1">
      <c r="A123" s="1055">
        <v>12</v>
      </c>
      <c r="B123" s="1075">
        <f t="shared" si="10"/>
        <v>2015</v>
      </c>
      <c r="C123" s="1060" t="s">
        <v>385</v>
      </c>
      <c r="D123" s="1089">
        <v>40276268</v>
      </c>
      <c r="E123" s="1072">
        <f t="shared" si="13"/>
        <v>0</v>
      </c>
      <c r="F123" s="1073">
        <v>32</v>
      </c>
      <c r="G123" s="1074">
        <f t="shared" si="11"/>
        <v>8.7671232876712329E-2</v>
      </c>
      <c r="H123" s="1055">
        <f t="shared" si="12"/>
        <v>0</v>
      </c>
      <c r="I123" s="1055">
        <f t="shared" si="14"/>
        <v>40276268</v>
      </c>
    </row>
    <row r="124" spans="1:10" ht="14.95" customHeight="1">
      <c r="A124" s="1055">
        <v>13</v>
      </c>
      <c r="B124" s="1075">
        <f t="shared" si="10"/>
        <v>2015</v>
      </c>
      <c r="C124" s="1060" t="s">
        <v>1714</v>
      </c>
      <c r="D124" s="1089">
        <v>40276268</v>
      </c>
      <c r="E124" s="1072">
        <f t="shared" si="13"/>
        <v>0</v>
      </c>
      <c r="F124" s="1073">
        <v>1</v>
      </c>
      <c r="G124" s="1074">
        <f t="shared" si="11"/>
        <v>2.7397260273972603E-3</v>
      </c>
      <c r="H124" s="1055">
        <f t="shared" si="12"/>
        <v>0</v>
      </c>
      <c r="I124" s="1055">
        <f t="shared" si="14"/>
        <v>40276268</v>
      </c>
    </row>
    <row r="125" spans="1:10" ht="14.95" customHeight="1"/>
    <row r="126" spans="1:10" ht="14.95" customHeight="1">
      <c r="A126" s="1055">
        <v>14</v>
      </c>
      <c r="I126" s="1079" t="s">
        <v>1757</v>
      </c>
      <c r="J126" s="1055">
        <f>ROUND((SUM(I111,I113:I124))/13,0)</f>
        <v>40276268</v>
      </c>
    </row>
    <row r="127" spans="1:10" ht="14.95" customHeight="1">
      <c r="I127" s="1079"/>
    </row>
    <row r="128" spans="1:10" ht="14.95" customHeight="1">
      <c r="I128" s="1079"/>
    </row>
    <row r="129" spans="1:10" ht="14.95" customHeight="1">
      <c r="A129" s="1174" t="s">
        <v>1741</v>
      </c>
      <c r="B129" s="1175"/>
      <c r="C129" s="1175"/>
      <c r="D129" s="1175"/>
      <c r="E129" s="1175"/>
      <c r="F129" s="1175"/>
      <c r="G129" s="1175"/>
      <c r="H129" s="1175"/>
      <c r="I129" s="1175"/>
      <c r="J129" s="1175"/>
    </row>
    <row r="130" spans="1:10" ht="14.95" customHeight="1">
      <c r="A130" s="1180" t="str">
        <f>+A6</f>
        <v>2015 Projection</v>
      </c>
      <c r="B130" s="1181"/>
      <c r="C130" s="1181"/>
      <c r="D130" s="1181"/>
      <c r="E130" s="1181"/>
      <c r="F130" s="1181"/>
      <c r="G130" s="1181"/>
      <c r="H130" s="1181"/>
      <c r="I130" s="1181"/>
      <c r="J130" s="1181"/>
    </row>
    <row r="131" spans="1:10" ht="14.95" customHeight="1">
      <c r="A131" s="1059" t="s">
        <v>1758</v>
      </c>
      <c r="J131" s="1061"/>
    </row>
    <row r="132" spans="1:10" ht="14.95" customHeight="1">
      <c r="A132" s="1059"/>
      <c r="J132" s="1061"/>
    </row>
    <row r="133" spans="1:10" ht="14.95" customHeight="1">
      <c r="A133" s="1058" t="s">
        <v>1744</v>
      </c>
      <c r="J133" s="1061"/>
    </row>
    <row r="134" spans="1:10" ht="14.95" customHeight="1">
      <c r="A134" s="1055" t="s">
        <v>1753</v>
      </c>
      <c r="J134" s="1061"/>
    </row>
    <row r="135" spans="1:10" ht="14.95" customHeight="1"/>
    <row r="136" spans="1:10" ht="14.95" customHeight="1">
      <c r="A136" s="1174" t="s">
        <v>1759</v>
      </c>
      <c r="B136" s="1175"/>
      <c r="C136" s="1175"/>
      <c r="D136" s="1175"/>
      <c r="E136" s="1175"/>
      <c r="F136" s="1175"/>
      <c r="G136" s="1175"/>
      <c r="H136" s="1175"/>
      <c r="I136" s="1175"/>
      <c r="J136" s="1175"/>
    </row>
    <row r="137" spans="1:10" ht="14.95" customHeight="1">
      <c r="A137" s="1091"/>
      <c r="B137" s="1031"/>
      <c r="C137" s="1031"/>
      <c r="D137" s="1031"/>
      <c r="E137" s="1031"/>
      <c r="F137" s="1031"/>
      <c r="G137" s="1031"/>
      <c r="H137" s="1031"/>
      <c r="I137" s="1031"/>
      <c r="J137" s="1031"/>
    </row>
    <row r="138" spans="1:10" ht="14.95" customHeight="1">
      <c r="A138" s="1091"/>
      <c r="B138" s="1064" t="s">
        <v>1698</v>
      </c>
      <c r="C138" s="1064" t="s">
        <v>1699</v>
      </c>
      <c r="D138" s="1064" t="s">
        <v>1700</v>
      </c>
      <c r="E138" s="1064" t="s">
        <v>1701</v>
      </c>
      <c r="F138" s="1064" t="s">
        <v>1702</v>
      </c>
      <c r="G138" s="1064" t="s">
        <v>1703</v>
      </c>
      <c r="H138" s="1064" t="s">
        <v>1704</v>
      </c>
      <c r="I138" s="1064" t="s">
        <v>1705</v>
      </c>
      <c r="J138" s="1064">
        <v>-9</v>
      </c>
    </row>
    <row r="139" spans="1:10" ht="14.95" customHeight="1">
      <c r="D139" s="1060" t="s">
        <v>1755</v>
      </c>
      <c r="I139" s="1079"/>
    </row>
    <row r="140" spans="1:10" ht="14.95" customHeight="1">
      <c r="D140" s="1060" t="s">
        <v>1760</v>
      </c>
      <c r="F140" s="1060" t="s">
        <v>1706</v>
      </c>
      <c r="H140" s="1060" t="s">
        <v>1707</v>
      </c>
      <c r="I140" s="1060" t="s">
        <v>1708</v>
      </c>
      <c r="J140" s="1060" t="s">
        <v>1709</v>
      </c>
    </row>
    <row r="141" spans="1:10" ht="14.95" customHeight="1" thickBot="1">
      <c r="A141" s="1065" t="s">
        <v>1710</v>
      </c>
      <c r="B141" s="1065" t="s">
        <v>541</v>
      </c>
      <c r="C141" s="1065" t="s">
        <v>540</v>
      </c>
      <c r="D141" s="1065" t="s">
        <v>326</v>
      </c>
      <c r="E141" s="1065" t="s">
        <v>1711</v>
      </c>
      <c r="F141" s="1065" t="s">
        <v>1712</v>
      </c>
      <c r="G141" s="1065" t="s">
        <v>1713</v>
      </c>
      <c r="H141" s="1065" t="s">
        <v>1711</v>
      </c>
      <c r="I141" s="1065" t="s">
        <v>326</v>
      </c>
      <c r="J141" s="1065" t="s">
        <v>387</v>
      </c>
    </row>
    <row r="142" spans="1:10" ht="14.95" customHeight="1"/>
    <row r="143" spans="1:10" ht="14.95" customHeight="1">
      <c r="A143" s="1055">
        <v>1</v>
      </c>
      <c r="B143" s="1075">
        <f>+B$24</f>
        <v>2014</v>
      </c>
      <c r="C143" s="1060" t="s">
        <v>1714</v>
      </c>
      <c r="D143" s="1071">
        <v>-62584211</v>
      </c>
      <c r="F143" s="1068"/>
      <c r="I143" s="1055">
        <f>+D143</f>
        <v>-62584211</v>
      </c>
    </row>
    <row r="144" spans="1:10" ht="14.95" customHeight="1">
      <c r="B144" s="1075"/>
      <c r="F144" s="1070"/>
    </row>
    <row r="145" spans="1:10" ht="14.95" customHeight="1">
      <c r="A145" s="1055">
        <v>2</v>
      </c>
      <c r="B145" s="1075">
        <f t="shared" ref="B145:B156" si="15">+B$26</f>
        <v>2015</v>
      </c>
      <c r="C145" s="1060" t="s">
        <v>374</v>
      </c>
      <c r="D145" s="1071">
        <v>-62584211</v>
      </c>
      <c r="E145" s="1072">
        <f>+D145-D143</f>
        <v>0</v>
      </c>
      <c r="F145" s="1073">
        <f>+E$17-31+1</f>
        <v>335</v>
      </c>
      <c r="G145" s="1074">
        <f t="shared" ref="G145:G156" si="16">+F145/$E$17</f>
        <v>0.9178082191780822</v>
      </c>
      <c r="H145" s="1055">
        <f t="shared" ref="H145:H156" si="17">ROUND(E145*G145,0)</f>
        <v>0</v>
      </c>
      <c r="I145" s="1055">
        <f>I143+H145</f>
        <v>-62584211</v>
      </c>
    </row>
    <row r="146" spans="1:10" ht="14.95" customHeight="1">
      <c r="A146" s="1055">
        <v>3</v>
      </c>
      <c r="B146" s="1075">
        <f t="shared" si="15"/>
        <v>2015</v>
      </c>
      <c r="C146" s="1060" t="s">
        <v>375</v>
      </c>
      <c r="D146" s="1071">
        <v>-62584211</v>
      </c>
      <c r="E146" s="1072">
        <f t="shared" ref="E146:E156" si="18">+D146-D145</f>
        <v>0</v>
      </c>
      <c r="F146" s="1073">
        <v>307</v>
      </c>
      <c r="G146" s="1074">
        <f t="shared" si="16"/>
        <v>0.84109589041095889</v>
      </c>
      <c r="H146" s="1055">
        <f t="shared" si="17"/>
        <v>0</v>
      </c>
      <c r="I146" s="1055">
        <f t="shared" ref="I146:I156" si="19">I145+H146</f>
        <v>-62584211</v>
      </c>
    </row>
    <row r="147" spans="1:10" ht="14.95" customHeight="1">
      <c r="A147" s="1055">
        <v>4</v>
      </c>
      <c r="B147" s="1075">
        <f t="shared" si="15"/>
        <v>2015</v>
      </c>
      <c r="C147" s="1060" t="s">
        <v>376</v>
      </c>
      <c r="D147" s="1071">
        <v>-62584211</v>
      </c>
      <c r="E147" s="1072">
        <f t="shared" si="18"/>
        <v>0</v>
      </c>
      <c r="F147" s="1073">
        <v>276</v>
      </c>
      <c r="G147" s="1074">
        <f t="shared" si="16"/>
        <v>0.75616438356164384</v>
      </c>
      <c r="H147" s="1055">
        <f t="shared" si="17"/>
        <v>0</v>
      </c>
      <c r="I147" s="1055">
        <f t="shared" si="19"/>
        <v>-62584211</v>
      </c>
    </row>
    <row r="148" spans="1:10" ht="14.95" customHeight="1">
      <c r="A148" s="1055">
        <v>5</v>
      </c>
      <c r="B148" s="1075">
        <f t="shared" si="15"/>
        <v>2015</v>
      </c>
      <c r="C148" s="1060" t="s">
        <v>377</v>
      </c>
      <c r="D148" s="1071">
        <v>-62584211</v>
      </c>
      <c r="E148" s="1072">
        <f t="shared" si="18"/>
        <v>0</v>
      </c>
      <c r="F148" s="1073">
        <v>246</v>
      </c>
      <c r="G148" s="1074">
        <f t="shared" si="16"/>
        <v>0.67397260273972603</v>
      </c>
      <c r="H148" s="1055">
        <f t="shared" si="17"/>
        <v>0</v>
      </c>
      <c r="I148" s="1055">
        <f t="shared" si="19"/>
        <v>-62584211</v>
      </c>
    </row>
    <row r="149" spans="1:10" ht="14.95" customHeight="1">
      <c r="A149" s="1055">
        <v>6</v>
      </c>
      <c r="B149" s="1075">
        <f t="shared" si="15"/>
        <v>2015</v>
      </c>
      <c r="C149" s="1060" t="s">
        <v>379</v>
      </c>
      <c r="D149" s="1071">
        <v>-62584211</v>
      </c>
      <c r="E149" s="1072">
        <f t="shared" si="18"/>
        <v>0</v>
      </c>
      <c r="F149" s="1073">
        <v>215</v>
      </c>
      <c r="G149" s="1074">
        <f t="shared" si="16"/>
        <v>0.58904109589041098</v>
      </c>
      <c r="H149" s="1055">
        <f t="shared" si="17"/>
        <v>0</v>
      </c>
      <c r="I149" s="1055">
        <f t="shared" si="19"/>
        <v>-62584211</v>
      </c>
    </row>
    <row r="150" spans="1:10" ht="14.95" customHeight="1">
      <c r="A150" s="1055">
        <v>7</v>
      </c>
      <c r="B150" s="1075">
        <f t="shared" si="15"/>
        <v>2015</v>
      </c>
      <c r="C150" s="1060" t="s">
        <v>380</v>
      </c>
      <c r="D150" s="1071">
        <v>-62584211</v>
      </c>
      <c r="E150" s="1072">
        <f t="shared" si="18"/>
        <v>0</v>
      </c>
      <c r="F150" s="1073">
        <v>185</v>
      </c>
      <c r="G150" s="1074">
        <f t="shared" si="16"/>
        <v>0.50684931506849318</v>
      </c>
      <c r="H150" s="1055">
        <f t="shared" si="17"/>
        <v>0</v>
      </c>
      <c r="I150" s="1055">
        <f t="shared" si="19"/>
        <v>-62584211</v>
      </c>
    </row>
    <row r="151" spans="1:10" ht="14.95" customHeight="1">
      <c r="A151" s="1055">
        <v>8</v>
      </c>
      <c r="B151" s="1075">
        <f t="shared" si="15"/>
        <v>2015</v>
      </c>
      <c r="C151" s="1060" t="s">
        <v>381</v>
      </c>
      <c r="D151" s="1071">
        <v>-62584211</v>
      </c>
      <c r="E151" s="1072">
        <f t="shared" si="18"/>
        <v>0</v>
      </c>
      <c r="F151" s="1073">
        <v>154</v>
      </c>
      <c r="G151" s="1074">
        <f t="shared" si="16"/>
        <v>0.42191780821917807</v>
      </c>
      <c r="H151" s="1055">
        <f t="shared" si="17"/>
        <v>0</v>
      </c>
      <c r="I151" s="1055">
        <f t="shared" si="19"/>
        <v>-62584211</v>
      </c>
    </row>
    <row r="152" spans="1:10" ht="14.95" customHeight="1">
      <c r="A152" s="1055">
        <v>9</v>
      </c>
      <c r="B152" s="1075">
        <f t="shared" si="15"/>
        <v>2015</v>
      </c>
      <c r="C152" s="1060" t="s">
        <v>382</v>
      </c>
      <c r="D152" s="1071">
        <v>-62584211</v>
      </c>
      <c r="E152" s="1072">
        <f t="shared" si="18"/>
        <v>0</v>
      </c>
      <c r="F152" s="1073">
        <v>123</v>
      </c>
      <c r="G152" s="1074">
        <f t="shared" si="16"/>
        <v>0.33698630136986302</v>
      </c>
      <c r="H152" s="1055">
        <f t="shared" si="17"/>
        <v>0</v>
      </c>
      <c r="I152" s="1055">
        <f t="shared" si="19"/>
        <v>-62584211</v>
      </c>
    </row>
    <row r="153" spans="1:10" ht="14.95" customHeight="1">
      <c r="A153" s="1055">
        <v>10</v>
      </c>
      <c r="B153" s="1075">
        <f t="shared" si="15"/>
        <v>2015</v>
      </c>
      <c r="C153" s="1060" t="s">
        <v>383</v>
      </c>
      <c r="D153" s="1071">
        <v>-62584211</v>
      </c>
      <c r="E153" s="1072">
        <f t="shared" si="18"/>
        <v>0</v>
      </c>
      <c r="F153" s="1073">
        <v>93</v>
      </c>
      <c r="G153" s="1074">
        <f t="shared" si="16"/>
        <v>0.25479452054794521</v>
      </c>
      <c r="H153" s="1055">
        <f t="shared" si="17"/>
        <v>0</v>
      </c>
      <c r="I153" s="1055">
        <f t="shared" si="19"/>
        <v>-62584211</v>
      </c>
    </row>
    <row r="154" spans="1:10" ht="14.95" customHeight="1">
      <c r="A154" s="1055">
        <v>11</v>
      </c>
      <c r="B154" s="1075">
        <f t="shared" si="15"/>
        <v>2015</v>
      </c>
      <c r="C154" s="1060" t="s">
        <v>384</v>
      </c>
      <c r="D154" s="1071">
        <v>-62584211</v>
      </c>
      <c r="E154" s="1072">
        <f t="shared" si="18"/>
        <v>0</v>
      </c>
      <c r="F154" s="1073">
        <v>62</v>
      </c>
      <c r="G154" s="1074">
        <f t="shared" si="16"/>
        <v>0.16986301369863013</v>
      </c>
      <c r="H154" s="1055">
        <f t="shared" si="17"/>
        <v>0</v>
      </c>
      <c r="I154" s="1055">
        <f t="shared" si="19"/>
        <v>-62584211</v>
      </c>
    </row>
    <row r="155" spans="1:10" ht="14.95" customHeight="1">
      <c r="A155" s="1055">
        <v>12</v>
      </c>
      <c r="B155" s="1075">
        <f t="shared" si="15"/>
        <v>2015</v>
      </c>
      <c r="C155" s="1060" t="s">
        <v>385</v>
      </c>
      <c r="D155" s="1071">
        <v>-62584211</v>
      </c>
      <c r="E155" s="1072">
        <f t="shared" si="18"/>
        <v>0</v>
      </c>
      <c r="F155" s="1073">
        <v>32</v>
      </c>
      <c r="G155" s="1074">
        <f t="shared" si="16"/>
        <v>8.7671232876712329E-2</v>
      </c>
      <c r="H155" s="1055">
        <f t="shared" si="17"/>
        <v>0</v>
      </c>
      <c r="I155" s="1055">
        <f t="shared" si="19"/>
        <v>-62584211</v>
      </c>
    </row>
    <row r="156" spans="1:10" ht="14.95" customHeight="1">
      <c r="A156" s="1055">
        <v>13</v>
      </c>
      <c r="B156" s="1075">
        <f t="shared" si="15"/>
        <v>2015</v>
      </c>
      <c r="C156" s="1060" t="s">
        <v>1714</v>
      </c>
      <c r="D156" s="1071">
        <v>-62584211</v>
      </c>
      <c r="E156" s="1072">
        <f t="shared" si="18"/>
        <v>0</v>
      </c>
      <c r="F156" s="1073">
        <v>1</v>
      </c>
      <c r="G156" s="1074">
        <f t="shared" si="16"/>
        <v>2.7397260273972603E-3</v>
      </c>
      <c r="H156" s="1055">
        <f t="shared" si="17"/>
        <v>0</v>
      </c>
      <c r="I156" s="1055">
        <f t="shared" si="19"/>
        <v>-62584211</v>
      </c>
    </row>
    <row r="157" spans="1:10" ht="14.95" customHeight="1"/>
    <row r="158" spans="1:10" ht="14.95" customHeight="1">
      <c r="A158" s="1055">
        <v>14</v>
      </c>
      <c r="I158" s="1079" t="s">
        <v>1761</v>
      </c>
      <c r="J158" s="1055">
        <f>ROUND((SUM(I143,I145:I156))/13,0)</f>
        <v>-62584211</v>
      </c>
    </row>
    <row r="159" spans="1:10" ht="14.95" customHeight="1">
      <c r="I159" s="1079"/>
    </row>
    <row r="160" spans="1:10" ht="14.95" customHeight="1"/>
    <row r="161" s="1055" customFormat="1" ht="14.95" customHeight="1"/>
    <row r="162" s="1055" customFormat="1" ht="14.95" customHeight="1"/>
    <row r="163" s="1055" customFormat="1" ht="14.95" customHeight="1"/>
    <row r="164" s="1055" customFormat="1" ht="14.95" customHeight="1"/>
    <row r="165" s="1055" customFormat="1" ht="14.95" customHeight="1"/>
    <row r="166" s="1055" customFormat="1" ht="14.95" customHeight="1"/>
    <row r="167" s="1055" customFormat="1" ht="14.95" customHeight="1"/>
    <row r="168" s="1055" customFormat="1" ht="14.95" customHeight="1"/>
    <row r="169" s="1055" customFormat="1" ht="14.95" customHeight="1"/>
    <row r="170" s="1055" customFormat="1" ht="14.95" customHeight="1"/>
    <row r="171" s="1055" customFormat="1" ht="14.95" customHeight="1"/>
    <row r="172" s="1055" customFormat="1" ht="14.95" customHeight="1"/>
    <row r="173" s="1055" customFormat="1" ht="14.95" customHeight="1"/>
    <row r="174" s="1055" customFormat="1" ht="14.95" customHeight="1"/>
    <row r="175" s="1055" customFormat="1" ht="14.95" customHeight="1"/>
    <row r="176" s="1055" customFormat="1" ht="14.95" customHeight="1"/>
    <row r="177" s="1055" customFormat="1" ht="14.95" customHeight="1"/>
    <row r="178" s="1055" customFormat="1" ht="14.95" customHeight="1"/>
    <row r="179" s="1055" customFormat="1" ht="14.95" customHeight="1"/>
    <row r="180" s="1055" customFormat="1" ht="14.95" customHeight="1"/>
    <row r="181" s="1055" customFormat="1" ht="14.95" customHeight="1"/>
    <row r="182" s="1055" customFormat="1" ht="14.95" customHeight="1"/>
    <row r="183" s="1055" customFormat="1" ht="14.95" customHeight="1"/>
    <row r="184" s="1055" customFormat="1" ht="14.95" customHeight="1"/>
    <row r="185" s="1055" customFormat="1" ht="14.95" customHeight="1"/>
    <row r="186" s="1055" customFormat="1" ht="14.95" customHeight="1"/>
    <row r="187" s="1055" customFormat="1" ht="14.95" customHeight="1"/>
    <row r="188" s="1055" customFormat="1" ht="14.95" customHeight="1"/>
    <row r="189" s="1055" customFormat="1" ht="14.95" customHeight="1"/>
    <row r="190" s="1055" customFormat="1" ht="14.95" customHeight="1"/>
    <row r="191" s="1055" customFormat="1" ht="14.95" customHeight="1"/>
    <row r="192" s="1055" customFormat="1" ht="14.95" customHeight="1"/>
    <row r="193" s="1055" customFormat="1" ht="14.95" customHeight="1"/>
    <row r="194" s="1055" customFormat="1" ht="14.95" customHeight="1"/>
    <row r="195" s="1055" customFormat="1" ht="14.95" customHeight="1"/>
    <row r="196" s="1055" customFormat="1" ht="14.95" customHeight="1"/>
    <row r="197" s="1055" customFormat="1" ht="14.95" customHeight="1"/>
    <row r="198" s="1055" customFormat="1" ht="14.95" customHeight="1"/>
    <row r="199" s="1055" customFormat="1" ht="14.95" customHeight="1"/>
    <row r="200" s="1055" customFormat="1" ht="14.95" customHeight="1"/>
    <row r="201" s="1055" customFormat="1" ht="14.95" customHeight="1"/>
    <row r="202" s="1055" customFormat="1" ht="14.95" customHeight="1"/>
    <row r="203" s="1055" customFormat="1" ht="14.95" customHeight="1"/>
    <row r="204" s="1055" customFormat="1" ht="14.95" customHeight="1"/>
    <row r="205" s="1055" customFormat="1" ht="14.95" customHeight="1"/>
    <row r="206" s="1055" customFormat="1" ht="14.95" customHeight="1"/>
    <row r="207" s="1055" customFormat="1" ht="14.95" customHeight="1"/>
    <row r="208" s="1055" customFormat="1" ht="14.95" customHeight="1"/>
    <row r="209" s="1055" customFormat="1" ht="14.95" customHeight="1"/>
    <row r="210" s="1055" customFormat="1" ht="14.95" customHeight="1"/>
    <row r="211" s="1055" customFormat="1" ht="14.95" customHeight="1"/>
    <row r="212" s="1055" customFormat="1" ht="14.95" customHeight="1"/>
    <row r="213" s="1055" customFormat="1" ht="14.95" customHeight="1"/>
    <row r="214" s="1055" customFormat="1" ht="14.95" customHeight="1"/>
    <row r="215" s="1055" customFormat="1" ht="14.95" customHeight="1"/>
    <row r="216" s="1055" customFormat="1" ht="14.95" customHeight="1"/>
    <row r="217" s="1055" customFormat="1" ht="14.95" customHeight="1"/>
    <row r="218" s="1055" customFormat="1" ht="14.95" customHeight="1"/>
    <row r="219" s="1055" customFormat="1" ht="14.95" customHeight="1"/>
    <row r="220" s="1055" customFormat="1" ht="14.95" customHeight="1"/>
    <row r="221" s="1055" customFormat="1" ht="14.95" customHeight="1"/>
    <row r="222" s="1055" customFormat="1" ht="14.95" customHeight="1"/>
    <row r="223" s="1055" customFormat="1" ht="14.95" customHeight="1"/>
    <row r="224" s="1055" customFormat="1" ht="14.95" customHeight="1"/>
    <row r="225" s="1055" customFormat="1" ht="14.95" customHeight="1"/>
    <row r="226" s="1055" customFormat="1" ht="14.95" customHeight="1"/>
    <row r="227" s="1055" customFormat="1" ht="14.95" customHeight="1"/>
    <row r="228" s="1055" customFormat="1" ht="14.95" customHeight="1"/>
    <row r="229" s="1055" customFormat="1" ht="14.95" customHeight="1"/>
    <row r="230" s="1055" customFormat="1" ht="14.95" customHeight="1"/>
    <row r="231" s="1055" customFormat="1" ht="14.95" customHeight="1"/>
    <row r="232" s="1055" customFormat="1" ht="14.95" customHeight="1"/>
    <row r="233" s="1055" customFormat="1" ht="14.95" customHeight="1"/>
    <row r="234" s="1055" customFormat="1" ht="14.95" customHeight="1"/>
    <row r="235" s="1055" customFormat="1" ht="14.95" customHeight="1"/>
    <row r="236" s="1055" customFormat="1" ht="14.95" customHeight="1"/>
    <row r="237" s="1055" customFormat="1" ht="14.95" customHeight="1"/>
    <row r="238" s="1055" customFormat="1" ht="14.95" customHeight="1"/>
    <row r="239" s="1055" customFormat="1" ht="14.95" customHeight="1"/>
    <row r="240" s="1055" customFormat="1" ht="14.95" customHeight="1"/>
    <row r="241" s="1055" customFormat="1" ht="14.95" customHeight="1"/>
    <row r="242" s="1055" customFormat="1" ht="14.95" customHeight="1"/>
    <row r="243" s="1055" customFormat="1" ht="14.95" customHeight="1"/>
    <row r="244" s="1055" customFormat="1" ht="14.95" customHeight="1"/>
    <row r="245" s="1055" customFormat="1" ht="14.95" customHeight="1"/>
    <row r="246" s="1055" customFormat="1" ht="14.95" customHeight="1"/>
    <row r="247" s="1055" customFormat="1" ht="14.95" customHeight="1"/>
    <row r="248" s="1055" customFormat="1" ht="14.95" customHeight="1"/>
    <row r="249" s="1055" customFormat="1" ht="14.95" customHeight="1"/>
    <row r="250" s="1055" customFormat="1" ht="14.95" customHeight="1"/>
    <row r="251" s="1055" customFormat="1" ht="14.95" customHeight="1"/>
    <row r="252" s="1055" customFormat="1" ht="14.95" customHeight="1"/>
    <row r="253" s="1055" customFormat="1" ht="14.95" customHeight="1"/>
    <row r="254" s="1055" customFormat="1" ht="14.95" customHeight="1"/>
    <row r="255" s="1055" customFormat="1" ht="14.95" customHeight="1"/>
    <row r="256" s="1055" customFormat="1" ht="14.95" customHeight="1"/>
    <row r="257" s="1055" customFormat="1" ht="14.95" customHeight="1"/>
    <row r="258" s="1055" customFormat="1" ht="14.95" customHeight="1"/>
    <row r="259" s="1055" customFormat="1" ht="14.95" customHeight="1"/>
    <row r="260" s="1055" customFormat="1" ht="14.95" customHeight="1"/>
    <row r="261" s="1055" customFormat="1" ht="14.95" customHeight="1"/>
    <row r="262" s="1055" customFormat="1" ht="14.95" customHeight="1"/>
    <row r="263" s="1055" customFormat="1" ht="14.95" customHeight="1"/>
    <row r="264" s="1055" customFormat="1" ht="14.95" customHeight="1"/>
    <row r="265" s="1055" customFormat="1" ht="14.95" customHeight="1"/>
    <row r="266" s="1055" customFormat="1" ht="14.95" customHeight="1"/>
    <row r="267" s="1055" customFormat="1" ht="14.95" customHeight="1"/>
    <row r="268" s="1055" customFormat="1" ht="14.95" customHeight="1"/>
    <row r="269" s="1055" customFormat="1" ht="14.95" customHeight="1"/>
    <row r="270" s="1055" customFormat="1" ht="14.95" customHeight="1"/>
    <row r="271" s="1055" customFormat="1" ht="14.95" customHeight="1"/>
    <row r="272" s="1055" customFormat="1" ht="14.95" customHeight="1"/>
    <row r="273" s="1055" customFormat="1" ht="14.95" customHeight="1"/>
    <row r="274" s="1055" customFormat="1" ht="14.95" customHeight="1"/>
    <row r="275" s="1055" customFormat="1" ht="14.95" customHeight="1"/>
    <row r="276" s="1055" customFormat="1" ht="14.95" customHeight="1"/>
    <row r="277" s="1055" customFormat="1" ht="14.95" customHeight="1"/>
    <row r="278" s="1055" customFormat="1" ht="14.95" customHeight="1"/>
    <row r="279" s="1055" customFormat="1" ht="14.95" customHeight="1"/>
    <row r="280" s="1055" customFormat="1" ht="14.95" customHeight="1"/>
    <row r="281" s="1055" customFormat="1" ht="14.95" customHeight="1"/>
    <row r="282" s="1055" customFormat="1" ht="14.95" customHeight="1"/>
    <row r="283" s="1055" customFormat="1" ht="14.95" customHeight="1"/>
    <row r="284" s="1055" customFormat="1" ht="14.95" customHeight="1"/>
    <row r="285" s="1055" customFormat="1" ht="14.95" customHeight="1"/>
    <row r="286" s="1055" customFormat="1" ht="14.95" customHeight="1"/>
    <row r="287" s="1055" customFormat="1" ht="14.95" customHeight="1"/>
    <row r="288" s="1055" customFormat="1" ht="14.95" customHeight="1"/>
    <row r="289" s="1055" customFormat="1" ht="14.95" customHeight="1"/>
    <row r="290" s="1055" customFormat="1" ht="14.95" customHeight="1"/>
    <row r="291" s="1055" customFormat="1" ht="14.95" customHeight="1"/>
    <row r="292" s="1055" customFormat="1" ht="14.95" customHeight="1"/>
    <row r="293" s="1055" customFormat="1" ht="14.95" customHeight="1"/>
    <row r="294" s="1055" customFormat="1" ht="14.95" customHeight="1"/>
    <row r="295" s="1055" customFormat="1" ht="14.95" customHeight="1"/>
    <row r="296" s="1055" customFormat="1" ht="14.95" customHeight="1"/>
    <row r="297" s="1055" customFormat="1" ht="14.95" customHeight="1"/>
    <row r="298" s="1055" customFormat="1" ht="14.95" customHeight="1"/>
    <row r="299" s="1055" customFormat="1" ht="14.95" customHeight="1"/>
    <row r="300" s="1055" customFormat="1" ht="14.95" customHeight="1"/>
    <row r="301" s="1055" customFormat="1" ht="14.95" customHeight="1"/>
    <row r="302" s="1055" customFormat="1" ht="14.95" customHeight="1"/>
    <row r="303" s="1055" customFormat="1" ht="14.95" customHeight="1"/>
    <row r="304" s="1055" customFormat="1" ht="14.95" customHeight="1"/>
    <row r="305" s="1055" customFormat="1" ht="14.95" customHeight="1"/>
    <row r="306" s="1055" customFormat="1" ht="14.95" customHeight="1"/>
    <row r="307" s="1055" customFormat="1" ht="14.95" customHeight="1"/>
    <row r="308" s="1055" customFormat="1" ht="14.95" customHeight="1"/>
    <row r="309" s="1055" customFormat="1" ht="14.95" customHeight="1"/>
    <row r="310" s="1055" customFormat="1" ht="14.95" customHeight="1"/>
    <row r="311" s="1055" customFormat="1" ht="14.95" customHeight="1"/>
    <row r="312" s="1055" customFormat="1" ht="14.95" customHeight="1"/>
    <row r="313" s="1055" customFormat="1" ht="14.95" customHeight="1"/>
    <row r="314" s="1055" customFormat="1" ht="14.95" customHeight="1"/>
    <row r="315" s="1055" customFormat="1" ht="14.95" customHeight="1"/>
    <row r="316" s="1055" customFormat="1" ht="14.95" customHeight="1"/>
    <row r="317" s="1055" customFormat="1" ht="14.95" customHeight="1"/>
    <row r="318" s="1055" customFormat="1" ht="14.95" customHeight="1"/>
    <row r="319" s="1055" customFormat="1" ht="14.95" customHeight="1"/>
    <row r="320" s="1055" customFormat="1" ht="14.95" customHeight="1"/>
    <row r="321" s="1055" customFormat="1" ht="14.95" customHeight="1"/>
    <row r="322" s="1055" customFormat="1" ht="14.95" customHeight="1"/>
    <row r="323" s="1055" customFormat="1" ht="14.95" customHeight="1"/>
    <row r="324" s="1055" customFormat="1" ht="14.95" customHeight="1"/>
    <row r="325" s="1055" customFormat="1" ht="14.95" customHeight="1"/>
    <row r="326" s="1055" customFormat="1" ht="14.95" customHeight="1"/>
    <row r="327" s="1055" customFormat="1" ht="14.95" customHeight="1"/>
    <row r="328" s="1055" customFormat="1" ht="14.95" customHeight="1"/>
    <row r="329" s="1055" customFormat="1" ht="14.95" customHeight="1"/>
    <row r="330" s="1055" customFormat="1" ht="14.95" customHeight="1"/>
    <row r="331" s="1055" customFormat="1" ht="14.95" customHeight="1"/>
    <row r="332" s="1055" customFormat="1" ht="14.95" customHeight="1"/>
    <row r="333" s="1055" customFormat="1" ht="14.95" customHeight="1"/>
    <row r="334" s="1055" customFormat="1" ht="14.95" customHeight="1"/>
    <row r="335" s="1055" customFormat="1" ht="14.95" customHeight="1"/>
    <row r="336" s="1055" customFormat="1" ht="14.95" customHeight="1"/>
    <row r="337" s="1055" customFormat="1" ht="14.95" customHeight="1"/>
    <row r="338" s="1055" customFormat="1" ht="14.95" customHeight="1"/>
    <row r="339" s="1055" customFormat="1" ht="14.95" customHeight="1"/>
    <row r="340" s="1055" customFormat="1" ht="14.95" customHeight="1"/>
    <row r="341" s="1055" customFormat="1" ht="14.95" customHeight="1"/>
    <row r="342" s="1055" customFormat="1" ht="14.95" customHeight="1"/>
    <row r="343" s="1055" customFormat="1" ht="14.95" customHeight="1"/>
    <row r="344" s="1055" customFormat="1" ht="14.95" customHeight="1"/>
    <row r="345" s="1055" customFormat="1" ht="14.95" customHeight="1"/>
    <row r="346" s="1055" customFormat="1" ht="14.95" customHeight="1"/>
    <row r="347" s="1055" customFormat="1" ht="14.95" customHeight="1"/>
    <row r="348" s="1055" customFormat="1" ht="14.95" customHeight="1"/>
    <row r="349" s="1055" customFormat="1" ht="14.95" customHeight="1"/>
    <row r="350" s="1055" customFormat="1" ht="14.95" customHeight="1"/>
    <row r="351" s="1055" customFormat="1" ht="14.95" customHeight="1"/>
    <row r="352" s="1055" customFormat="1" ht="14.95" customHeight="1"/>
    <row r="353" s="1055" customFormat="1" ht="14.95" customHeight="1"/>
    <row r="354" s="1055" customFormat="1" ht="14.95" customHeight="1"/>
    <row r="355" s="1055" customFormat="1" ht="14.95" customHeight="1"/>
    <row r="356" s="1055" customFormat="1" ht="14.95" customHeight="1"/>
    <row r="357" s="1055" customFormat="1" ht="14.95" customHeight="1"/>
    <row r="358" s="1055" customFormat="1" ht="14.95" customHeight="1"/>
    <row r="359" s="1055" customFormat="1" ht="14.95" customHeight="1"/>
    <row r="360" s="1055" customFormat="1" ht="14.95" customHeight="1"/>
    <row r="361" s="1055" customFormat="1" ht="14.95" customHeight="1"/>
    <row r="362" s="1055" customFormat="1" ht="14.95" customHeight="1"/>
    <row r="363" s="1055" customFormat="1" ht="14.95" customHeight="1"/>
    <row r="364" s="1055" customFormat="1" ht="14.95" customHeight="1"/>
    <row r="365" s="1055" customFormat="1" ht="14.95" customHeight="1"/>
    <row r="366" s="1055" customFormat="1" ht="14.95" customHeight="1"/>
    <row r="367" s="1055" customFormat="1" ht="14.95" customHeight="1"/>
    <row r="368" s="1055" customFormat="1" ht="14.95" customHeight="1"/>
    <row r="369" s="1055" customFormat="1" ht="14.95" customHeight="1"/>
    <row r="370" s="1055" customFormat="1" ht="14.95" customHeight="1"/>
    <row r="371" s="1055" customFormat="1" ht="14.95" customHeight="1"/>
    <row r="372" s="1055" customFormat="1" ht="14.95" customHeight="1"/>
    <row r="373" s="1055" customFormat="1" ht="14.95" customHeight="1"/>
    <row r="374" s="1055" customFormat="1" ht="14.95" customHeight="1"/>
    <row r="375" s="1055" customFormat="1" ht="14.95" customHeight="1"/>
    <row r="376" s="1055" customFormat="1" ht="14.95" customHeight="1"/>
    <row r="377" s="1055" customFormat="1" ht="14.95" customHeight="1"/>
    <row r="378" s="1055" customFormat="1" ht="14.95" customHeight="1"/>
    <row r="379" s="1055" customFormat="1" ht="14.95" customHeight="1"/>
    <row r="380" s="1055" customFormat="1" ht="14.95" customHeight="1"/>
    <row r="381" s="1055" customFormat="1" ht="14.95" customHeight="1"/>
    <row r="382" s="1055" customFormat="1" ht="14.95" customHeight="1"/>
    <row r="383" s="1055" customFormat="1" ht="14.95" customHeight="1"/>
    <row r="384" s="1055" customFormat="1" ht="14.95" customHeight="1"/>
    <row r="385" s="1055" customFormat="1" ht="14.95" customHeight="1"/>
    <row r="386" s="1055" customFormat="1" ht="14.95" customHeight="1"/>
    <row r="387" s="1055" customFormat="1" ht="14.95" customHeight="1"/>
    <row r="388" s="1055" customFormat="1" ht="14.95" customHeight="1"/>
    <row r="389" s="1055" customFormat="1" ht="14.95" customHeight="1"/>
    <row r="390" s="1055" customFormat="1" ht="14.95" customHeight="1"/>
    <row r="391" s="1055" customFormat="1" ht="14.95" customHeight="1"/>
    <row r="392" s="1055" customFormat="1" ht="14.95" customHeight="1"/>
    <row r="393" s="1055" customFormat="1" ht="14.95" customHeight="1"/>
    <row r="394" s="1055" customFormat="1" ht="14.95" customHeight="1"/>
    <row r="395" s="1055" customFormat="1" ht="14.95" customHeight="1"/>
    <row r="396" s="1055" customFormat="1" ht="14.95" customHeight="1"/>
    <row r="397" s="1055" customFormat="1" ht="14.95" customHeight="1"/>
    <row r="398" s="1055" customFormat="1" ht="14.95" customHeight="1"/>
    <row r="399" s="1055" customFormat="1" ht="14.95" customHeight="1"/>
    <row r="400" s="1055" customFormat="1" ht="14.95" customHeight="1"/>
    <row r="401" s="1055" customFormat="1" ht="14.95" customHeight="1"/>
    <row r="402" s="1055" customFormat="1" ht="14.95" customHeight="1"/>
    <row r="403" s="1055" customFormat="1" ht="14.95" customHeight="1"/>
    <row r="404" s="1055" customFormat="1" ht="14.95" customHeight="1"/>
    <row r="405" s="1055" customFormat="1" ht="14.95" customHeight="1"/>
    <row r="406" s="1055" customFormat="1" ht="14.95" customHeight="1"/>
    <row r="407" s="1055" customFormat="1" ht="14.95" customHeight="1"/>
    <row r="408" s="1055" customFormat="1" ht="14.95" customHeight="1"/>
    <row r="409" s="1055" customFormat="1" ht="14.95" customHeight="1"/>
    <row r="410" s="1055" customFormat="1" ht="14.95" customHeight="1"/>
    <row r="411" s="1055" customFormat="1" ht="14.95" customHeight="1"/>
    <row r="412" s="1055" customFormat="1" ht="14.95" customHeight="1"/>
    <row r="413" s="1055" customFormat="1" ht="14.95" customHeight="1"/>
    <row r="414" s="1055" customFormat="1" ht="14.95" customHeight="1"/>
    <row r="415" s="1055" customFormat="1" ht="14.95" customHeight="1"/>
    <row r="416" s="1055" customFormat="1" ht="14.95" customHeight="1"/>
    <row r="417" s="1055" customFormat="1" ht="14.95" customHeight="1"/>
    <row r="418" s="1055" customFormat="1" ht="14.95" customHeight="1"/>
    <row r="419" s="1055" customFormat="1" ht="14.95" customHeight="1"/>
    <row r="420" s="1055" customFormat="1" ht="14.95" customHeight="1"/>
    <row r="421" s="1055" customFormat="1" ht="14.95" customHeight="1"/>
    <row r="422" s="1055" customFormat="1" ht="14.95" customHeight="1"/>
    <row r="423" s="1055" customFormat="1" ht="14.95" customHeight="1"/>
    <row r="424" s="1055" customFormat="1" ht="14.95" customHeight="1"/>
    <row r="425" s="1055" customFormat="1" ht="14.95" customHeight="1"/>
    <row r="426" s="1055" customFormat="1" ht="14.95" customHeight="1"/>
    <row r="427" s="1055" customFormat="1" ht="14.95" customHeight="1"/>
    <row r="428" s="1055" customFormat="1" ht="14.95" customHeight="1"/>
    <row r="429" s="1055" customFormat="1" ht="14.95" customHeight="1"/>
    <row r="430" s="1055" customFormat="1" ht="14.95" customHeight="1"/>
    <row r="431" s="1055" customFormat="1" ht="14.95" customHeight="1"/>
    <row r="432" s="1055" customFormat="1" ht="14.95" customHeight="1"/>
    <row r="433" s="1055" customFormat="1" ht="14.95" customHeight="1"/>
    <row r="434" s="1055" customFormat="1" ht="14.95" customHeight="1"/>
    <row r="435" s="1055" customFormat="1" ht="14.95" customHeight="1"/>
    <row r="436" s="1055" customFormat="1" ht="14.95" customHeight="1"/>
    <row r="437" s="1055" customFormat="1" ht="14.95" customHeight="1"/>
    <row r="438" s="1055" customFormat="1" ht="14.95" customHeight="1"/>
    <row r="439" s="1055" customFormat="1" ht="14.95" customHeight="1"/>
    <row r="440" s="1055" customFormat="1" ht="14.95" customHeight="1"/>
    <row r="441" s="1055" customFormat="1" ht="14.95" customHeight="1"/>
    <row r="442" s="1055" customFormat="1" ht="14.95" customHeight="1"/>
    <row r="443" s="1055" customFormat="1" ht="14.95" customHeight="1"/>
    <row r="444" s="1055" customFormat="1" ht="14.95" customHeight="1"/>
    <row r="445" s="1055" customFormat="1" ht="14.95" customHeight="1"/>
    <row r="446" s="1055" customFormat="1" ht="14.95" customHeight="1"/>
    <row r="447" s="1055" customFormat="1" ht="14.95" customHeight="1"/>
    <row r="448" s="1055" customFormat="1" ht="14.95" customHeight="1"/>
    <row r="449" s="1055" customFormat="1" ht="14.95" customHeight="1"/>
    <row r="450" s="1055" customFormat="1" ht="14.95" customHeight="1"/>
    <row r="451" s="1055" customFormat="1" ht="14.95" customHeight="1"/>
    <row r="452" s="1055" customFormat="1" ht="14.95" customHeight="1"/>
    <row r="453" s="1055" customFormat="1" ht="14.95" customHeight="1"/>
    <row r="454" s="1055" customFormat="1" ht="14.95" customHeight="1"/>
    <row r="455" s="1055" customFormat="1" ht="14.95" customHeight="1"/>
    <row r="456" s="1055" customFormat="1" ht="14.95" customHeight="1"/>
    <row r="457" s="1055" customFormat="1" ht="14.95" customHeight="1"/>
    <row r="458" s="1055" customFormat="1" ht="14.95" customHeight="1"/>
    <row r="459" s="1055" customFormat="1" ht="14.95" customHeight="1"/>
    <row r="460" s="1055" customFormat="1" ht="14.95" customHeight="1"/>
    <row r="461" s="1055" customFormat="1" ht="14.95" customHeight="1"/>
    <row r="462" s="1055" customFormat="1" ht="14.95" customHeight="1"/>
    <row r="463" s="1055" customFormat="1" ht="14.95" customHeight="1"/>
    <row r="464" s="1055" customFormat="1" ht="14.95" customHeight="1"/>
    <row r="465" s="1055" customFormat="1" ht="14.95" customHeight="1"/>
    <row r="466" s="1055" customFormat="1" ht="14.95" customHeight="1"/>
    <row r="467" s="1055" customFormat="1" ht="14.95" customHeight="1"/>
    <row r="468" s="1055" customFormat="1" ht="14.95" customHeight="1"/>
    <row r="469" s="1055" customFormat="1" ht="14.95" customHeight="1"/>
    <row r="470" s="1055" customFormat="1" ht="14.95" customHeight="1"/>
    <row r="471" s="1055" customFormat="1" ht="14.95" customHeight="1"/>
    <row r="472" s="1055" customFormat="1" ht="14.95" customHeight="1"/>
    <row r="473" s="1055" customFormat="1" ht="14.95" customHeight="1"/>
    <row r="474" s="1055" customFormat="1" ht="14.95" customHeight="1"/>
    <row r="475" s="1055" customFormat="1" ht="14.95" customHeight="1"/>
    <row r="476" s="1055" customFormat="1" ht="14.95" customHeight="1"/>
    <row r="477" s="1055" customFormat="1" ht="14.95" customHeight="1"/>
    <row r="478" s="1055" customFormat="1" ht="14.95" customHeight="1"/>
    <row r="479" s="1055" customFormat="1" ht="14.95" customHeight="1"/>
    <row r="480" s="1055" customFormat="1" ht="14.95" customHeight="1"/>
    <row r="481" s="1055" customFormat="1" ht="14.95" customHeight="1"/>
    <row r="482" s="1055" customFormat="1" ht="14.95" customHeight="1"/>
    <row r="483" s="1055" customFormat="1" ht="14.95" customHeight="1"/>
    <row r="484" s="1055" customFormat="1" ht="14.95" customHeight="1"/>
    <row r="485" s="1055" customFormat="1" ht="14.95" customHeight="1"/>
    <row r="486" s="1055" customFormat="1" ht="14.95" customHeight="1"/>
    <row r="487" s="1055" customFormat="1" ht="14.95" customHeight="1"/>
    <row r="488" s="1055" customFormat="1" ht="14.95" customHeight="1"/>
    <row r="489" s="1055" customFormat="1" ht="14.95" customHeight="1"/>
    <row r="490" s="1055" customFormat="1" ht="14.95" customHeight="1"/>
    <row r="491" s="1055" customFormat="1" ht="14.95" customHeight="1"/>
    <row r="492" s="1055" customFormat="1" ht="14.95" customHeight="1"/>
    <row r="493" s="1055" customFormat="1" ht="14.95" customHeight="1"/>
    <row r="494" s="1055" customFormat="1" ht="14.95" customHeight="1"/>
    <row r="495" s="1055" customFormat="1" ht="14.95" customHeight="1"/>
    <row r="496" s="1055" customFormat="1" ht="14.95" customHeight="1"/>
    <row r="497" s="1055" customFormat="1" ht="14.95" customHeight="1"/>
    <row r="498" s="1055" customFormat="1" ht="14.95" customHeight="1"/>
    <row r="499" s="1055" customFormat="1" ht="14.95" customHeight="1"/>
    <row r="500" s="1055" customFormat="1" ht="14.95" customHeight="1"/>
    <row r="501" s="1055" customFormat="1" ht="14.95" customHeight="1"/>
    <row r="502" s="1055" customFormat="1" ht="14.95" customHeight="1"/>
    <row r="503" s="1055" customFormat="1" ht="14.95" customHeight="1"/>
    <row r="504" s="1055" customFormat="1" ht="14.95" customHeight="1"/>
    <row r="505" s="1055" customFormat="1" ht="14.95" customHeight="1"/>
    <row r="506" s="1055" customFormat="1" ht="14.95" customHeight="1"/>
    <row r="507" s="1055" customFormat="1" ht="14.95" customHeight="1"/>
    <row r="508" s="1055" customFormat="1" ht="14.95" customHeight="1"/>
    <row r="509" s="1055" customFormat="1" ht="14.95" customHeight="1"/>
    <row r="510" s="1055" customFormat="1" ht="14.95" customHeight="1"/>
    <row r="511" s="1055" customFormat="1" ht="14.95" customHeight="1"/>
    <row r="512" s="1055" customFormat="1" ht="14.95" customHeight="1"/>
    <row r="513" s="1055" customFormat="1" ht="14.95" customHeight="1"/>
    <row r="514" s="1055" customFormat="1" ht="14.95" customHeight="1"/>
    <row r="515" s="1055" customFormat="1" ht="14.95" customHeight="1"/>
    <row r="516" s="1055" customFormat="1" ht="14.95" customHeight="1"/>
    <row r="517" s="1055" customFormat="1" ht="14.95" customHeight="1"/>
    <row r="518" s="1055" customFormat="1" ht="14.95" customHeight="1"/>
    <row r="519" s="1055" customFormat="1" ht="14.95" customHeight="1"/>
    <row r="520" s="1055" customFormat="1" ht="14.95" customHeight="1"/>
    <row r="521" s="1055" customFormat="1" ht="14.95" customHeight="1"/>
    <row r="522" s="1055" customFormat="1" ht="14.95" customHeight="1"/>
    <row r="523" s="1055" customFormat="1" ht="14.95" customHeight="1"/>
    <row r="524" s="1055" customFormat="1" ht="14.95" customHeight="1"/>
    <row r="525" s="1055" customFormat="1" ht="14.95" customHeight="1"/>
    <row r="526" s="1055" customFormat="1" ht="14.95" customHeight="1"/>
    <row r="527" s="1055" customFormat="1" ht="14.95" customHeight="1"/>
    <row r="528" s="1055" customFormat="1" ht="14.95" customHeight="1"/>
    <row r="529" s="1055" customFormat="1" ht="14.95" customHeight="1"/>
    <row r="530" s="1055" customFormat="1" ht="14.95" customHeight="1"/>
    <row r="531" s="1055" customFormat="1" ht="14.95" customHeight="1"/>
    <row r="532" s="1055" customFormat="1" ht="14.95" customHeight="1"/>
    <row r="533" s="1055" customFormat="1" ht="14.95" customHeight="1"/>
    <row r="534" s="1055" customFormat="1" ht="14.95" customHeight="1"/>
    <row r="535" s="1055" customFormat="1" ht="14.95" customHeight="1"/>
    <row r="536" s="1055" customFormat="1" ht="14.95" customHeight="1"/>
    <row r="537" s="1055" customFormat="1" ht="14.95" customHeight="1"/>
    <row r="538" s="1055" customFormat="1" ht="14.95" customHeight="1"/>
    <row r="539" s="1055" customFormat="1" ht="14.95" customHeight="1"/>
    <row r="540" s="1055" customFormat="1" ht="14.95" customHeight="1"/>
    <row r="541" s="1055" customFormat="1" ht="14.95" customHeight="1"/>
    <row r="542" s="1055" customFormat="1" ht="14.95" customHeight="1"/>
    <row r="543" s="1055" customFormat="1" ht="14.95" customHeight="1"/>
    <row r="544" s="1055" customFormat="1" ht="14.95" customHeight="1"/>
    <row r="545" s="1055" customFormat="1" ht="14.95" customHeight="1"/>
    <row r="546" s="1055" customFormat="1" ht="14.95" customHeight="1"/>
    <row r="547" s="1055" customFormat="1" ht="14.95" customHeight="1"/>
    <row r="548" s="1055" customFormat="1" ht="14.95" customHeight="1"/>
    <row r="549" s="1055" customFormat="1" ht="14.95" customHeight="1"/>
    <row r="550" s="1055" customFormat="1" ht="14.95" customHeight="1"/>
    <row r="551" s="1055" customFormat="1" ht="14.95" customHeight="1"/>
    <row r="552" s="1055" customFormat="1" ht="14.95" customHeight="1"/>
    <row r="553" s="1055" customFormat="1" ht="14.95" customHeight="1"/>
    <row r="554" s="1055" customFormat="1" ht="14.95" customHeight="1"/>
    <row r="555" s="1055" customFormat="1" ht="14.95" customHeight="1"/>
    <row r="556" s="1055" customFormat="1" ht="14.95" customHeight="1"/>
    <row r="557" s="1055" customFormat="1" ht="14.95" customHeight="1"/>
    <row r="558" s="1055" customFormat="1" ht="14.95" customHeight="1"/>
    <row r="559" s="1055" customFormat="1" ht="14.95" customHeight="1"/>
    <row r="560" s="1055" customFormat="1" ht="14.95" customHeight="1"/>
    <row r="561" s="1055" customFormat="1" ht="14.95" customHeight="1"/>
    <row r="562" s="1055" customFormat="1" ht="14.95" customHeight="1"/>
    <row r="563" s="1055" customFormat="1" ht="14.95" customHeight="1"/>
    <row r="564" s="1055" customFormat="1" ht="14.95" customHeight="1"/>
    <row r="565" s="1055" customFormat="1" ht="14.95" customHeight="1"/>
    <row r="566" s="1055" customFormat="1" ht="14.95" customHeight="1"/>
    <row r="567" s="1055" customFormat="1" ht="14.95" customHeight="1"/>
    <row r="568" s="1055" customFormat="1" ht="14.95" customHeight="1"/>
    <row r="569" s="1055" customFormat="1" ht="14.95" customHeight="1"/>
    <row r="570" s="1055" customFormat="1" ht="14.95" customHeight="1"/>
    <row r="571" s="1055" customFormat="1" ht="14.95" customHeight="1"/>
    <row r="572" s="1055" customFormat="1" ht="14.95" customHeight="1"/>
    <row r="573" s="1055" customFormat="1" ht="14.95" customHeight="1"/>
    <row r="574" s="1055" customFormat="1" ht="14.95" customHeight="1"/>
    <row r="575" s="1055" customFormat="1" ht="14.95" customHeight="1"/>
    <row r="576" s="1055" customFormat="1" ht="14.95" customHeight="1"/>
    <row r="577" s="1055" customFormat="1" ht="14.95" customHeight="1"/>
    <row r="578" s="1055" customFormat="1" ht="14.95" customHeight="1"/>
    <row r="579" s="1055" customFormat="1" ht="14.95" customHeight="1"/>
    <row r="580" s="1055" customFormat="1" ht="14.95" customHeight="1"/>
    <row r="581" s="1055" customFormat="1" ht="14.95" customHeight="1"/>
    <row r="582" s="1055" customFormat="1" ht="14.95" customHeight="1"/>
    <row r="583" s="1055" customFormat="1" ht="14.95" customHeight="1"/>
    <row r="584" s="1055" customFormat="1" ht="14.95" customHeight="1"/>
    <row r="585" s="1055" customFormat="1" ht="14.95" customHeight="1"/>
    <row r="586" s="1055" customFormat="1" ht="14.95" customHeight="1"/>
    <row r="587" s="1055" customFormat="1" ht="14.95" customHeight="1"/>
    <row r="588" s="1055" customFormat="1" ht="14.95" customHeight="1"/>
    <row r="589" s="1055" customFormat="1" ht="14.95" customHeight="1"/>
    <row r="590" s="1055" customFormat="1" ht="14.95" customHeight="1"/>
    <row r="591" s="1055" customFormat="1" ht="14.95" customHeight="1"/>
    <row r="592" s="1055" customFormat="1" ht="14.95" customHeight="1"/>
    <row r="593" s="1055" customFormat="1" ht="14.95" customHeight="1"/>
    <row r="594" s="1055" customFormat="1" ht="14.95" customHeight="1"/>
    <row r="595" s="1055" customFormat="1" ht="14.95" customHeight="1"/>
    <row r="596" s="1055" customFormat="1" ht="14.95" customHeight="1"/>
    <row r="597" s="1055" customFormat="1" ht="14.95" customHeight="1"/>
    <row r="598" s="1055" customFormat="1" ht="14.95" customHeight="1"/>
    <row r="599" s="1055" customFormat="1" ht="14.95" customHeight="1"/>
    <row r="600" s="1055" customFormat="1" ht="14.95" customHeight="1"/>
    <row r="601" s="1055" customFormat="1" ht="14.95" customHeight="1"/>
    <row r="602" s="1055" customFormat="1" ht="14.95" customHeight="1"/>
    <row r="603" s="1055" customFormat="1" ht="14.95" customHeight="1"/>
    <row r="604" s="1055" customFormat="1" ht="14.95" customHeight="1"/>
    <row r="605" s="1055" customFormat="1" ht="14.95" customHeight="1"/>
  </sheetData>
  <mergeCells count="42">
    <mergeCell ref="A98:J98"/>
    <mergeCell ref="A104:J104"/>
    <mergeCell ref="A129:J129"/>
    <mergeCell ref="A130:J130"/>
    <mergeCell ref="A136:J136"/>
    <mergeCell ref="A97:J97"/>
    <mergeCell ref="A58:J58"/>
    <mergeCell ref="A61:J61"/>
    <mergeCell ref="A87:B87"/>
    <mergeCell ref="A88:B88"/>
    <mergeCell ref="A89:B89"/>
    <mergeCell ref="A90:B90"/>
    <mergeCell ref="C90:J90"/>
    <mergeCell ref="A91:B91"/>
    <mergeCell ref="C92:J92"/>
    <mergeCell ref="A93:B93"/>
    <mergeCell ref="A94:B94"/>
    <mergeCell ref="C94:J94"/>
    <mergeCell ref="A57:J57"/>
    <mergeCell ref="A47:B47"/>
    <mergeCell ref="A48:B48"/>
    <mergeCell ref="C48:J48"/>
    <mergeCell ref="A49:B49"/>
    <mergeCell ref="C50:J50"/>
    <mergeCell ref="A51:B51"/>
    <mergeCell ref="A52:B52"/>
    <mergeCell ref="A53:B53"/>
    <mergeCell ref="A54:B54"/>
    <mergeCell ref="C54:J54"/>
    <mergeCell ref="A56:B56"/>
    <mergeCell ref="A46:B46"/>
    <mergeCell ref="A1:J1"/>
    <mergeCell ref="A2:J2"/>
    <mergeCell ref="A3:J3"/>
    <mergeCell ref="A4:J4"/>
    <mergeCell ref="A5:J5"/>
    <mergeCell ref="A6:J6"/>
    <mergeCell ref="A8:J8"/>
    <mergeCell ref="A9:J9"/>
    <mergeCell ref="A13:J13"/>
    <mergeCell ref="A44:B44"/>
    <mergeCell ref="A45:B45"/>
  </mergeCells>
  <pageMargins left="0.56999999999999995" right="0.52" top="0.45" bottom="0.34" header="0.3" footer="0.3"/>
  <pageSetup scale="72" fitToHeight="2" orientation="portrait" r:id="rId1"/>
  <headerFooter>
    <oddHeader>&amp;R&amp;P of &amp;N</oddHeader>
  </headerFooter>
  <rowBreaks count="3" manualBreakCount="3">
    <brk id="56" max="9" man="1"/>
    <brk id="96" max="9" man="1"/>
    <brk id="128" max="9" man="1"/>
  </rowBreaks>
</worksheet>
</file>

<file path=xl/worksheets/sheet5.xml><?xml version="1.0" encoding="utf-8"?>
<worksheet xmlns="http://schemas.openxmlformats.org/spreadsheetml/2006/main" xmlns:r="http://schemas.openxmlformats.org/officeDocument/2006/relationships">
  <dimension ref="A1:J259"/>
  <sheetViews>
    <sheetView zoomScale="85" zoomScaleNormal="85" zoomScalePageLayoutView="85" workbookViewId="0">
      <selection sqref="A1:J1"/>
    </sheetView>
  </sheetViews>
  <sheetFormatPr defaultColWidth="15.375" defaultRowHeight="12.75" customHeight="1"/>
  <cols>
    <col min="1" max="1" width="8" style="1097" customWidth="1"/>
    <col min="2" max="2" width="10.75" style="1098" customWidth="1"/>
    <col min="3" max="3" width="7.375" style="1098" customWidth="1"/>
    <col min="4" max="4" width="16.625" style="1097" bestFit="1" customWidth="1"/>
    <col min="5" max="5" width="15.75" style="1097" bestFit="1" customWidth="1"/>
    <col min="6" max="6" width="11.125" style="1097" customWidth="1"/>
    <col min="7" max="7" width="13.25" style="1097" customWidth="1"/>
    <col min="8" max="8" width="16.375" style="1097" customWidth="1"/>
    <col min="9" max="9" width="16.875" style="1097" customWidth="1"/>
    <col min="10" max="10" width="16.625" style="1097" customWidth="1"/>
    <col min="11" max="11" width="15.375" style="1097"/>
    <col min="12" max="12" width="14.875" style="1097" customWidth="1"/>
    <col min="13" max="13" width="15.375" style="1097"/>
    <col min="14" max="14" width="19.375" style="1097" bestFit="1" customWidth="1"/>
    <col min="15" max="16384" width="15.375" style="1097"/>
  </cols>
  <sheetData>
    <row r="1" spans="1:10" ht="18.2" customHeight="1">
      <c r="A1" s="1166" t="s">
        <v>101</v>
      </c>
      <c r="B1" s="1167"/>
      <c r="C1" s="1167"/>
      <c r="D1" s="1167"/>
      <c r="E1" s="1167"/>
      <c r="F1" s="1167"/>
      <c r="G1" s="1167"/>
      <c r="H1" s="1167"/>
      <c r="I1" s="1167"/>
      <c r="J1" s="1167"/>
    </row>
    <row r="2" spans="1:10" ht="18.2" customHeight="1">
      <c r="A2" s="1166" t="s">
        <v>880</v>
      </c>
      <c r="B2" s="1167"/>
      <c r="C2" s="1167"/>
      <c r="D2" s="1167"/>
      <c r="E2" s="1167"/>
      <c r="F2" s="1167"/>
      <c r="G2" s="1167"/>
      <c r="H2" s="1167"/>
      <c r="I2" s="1167"/>
      <c r="J2" s="1167"/>
    </row>
    <row r="3" spans="1:10" ht="16" customHeight="1">
      <c r="A3" s="1168" t="s">
        <v>1807</v>
      </c>
      <c r="B3" s="1167"/>
      <c r="C3" s="1167"/>
      <c r="D3" s="1167"/>
      <c r="E3" s="1167"/>
      <c r="F3" s="1167"/>
      <c r="G3" s="1167"/>
      <c r="H3" s="1167"/>
      <c r="I3" s="1167"/>
      <c r="J3" s="1167"/>
    </row>
    <row r="4" spans="1:10" ht="16" customHeight="1">
      <c r="A4" s="1168" t="s">
        <v>316</v>
      </c>
      <c r="B4" s="1167"/>
      <c r="C4" s="1167"/>
      <c r="D4" s="1167"/>
      <c r="E4" s="1167"/>
      <c r="F4" s="1167"/>
      <c r="G4" s="1167"/>
      <c r="H4" s="1167"/>
      <c r="I4" s="1167"/>
      <c r="J4" s="1167"/>
    </row>
    <row r="5" spans="1:10" ht="16" customHeight="1">
      <c r="A5" s="1168" t="s">
        <v>1806</v>
      </c>
      <c r="B5" s="1167"/>
      <c r="C5" s="1167"/>
      <c r="D5" s="1167"/>
      <c r="E5" s="1167"/>
      <c r="F5" s="1167"/>
      <c r="G5" s="1167"/>
      <c r="H5" s="1167"/>
      <c r="I5" s="1167"/>
      <c r="J5" s="1167"/>
    </row>
    <row r="6" spans="1:10" ht="16" customHeight="1">
      <c r="A6" s="1168" t="s">
        <v>1774</v>
      </c>
      <c r="B6" s="1167"/>
      <c r="C6" s="1167"/>
      <c r="D6" s="1167"/>
      <c r="E6" s="1167"/>
      <c r="F6" s="1167"/>
      <c r="G6" s="1167"/>
      <c r="H6" s="1167"/>
      <c r="I6" s="1167"/>
      <c r="J6" s="1167"/>
    </row>
    <row r="7" spans="1:10" ht="16" customHeight="1">
      <c r="A7" s="1093"/>
      <c r="B7" s="1093"/>
      <c r="C7" s="1093"/>
      <c r="D7" s="1093"/>
      <c r="E7" s="1093"/>
      <c r="F7" s="1093"/>
      <c r="G7" s="1093"/>
      <c r="H7" s="1093"/>
      <c r="I7" s="1093"/>
      <c r="J7" s="1093"/>
    </row>
    <row r="8" spans="1:10" ht="16" customHeight="1">
      <c r="A8" s="1170" t="s">
        <v>1805</v>
      </c>
      <c r="B8" s="1171"/>
      <c r="C8" s="1171"/>
      <c r="D8" s="1171"/>
      <c r="E8" s="1171"/>
      <c r="F8" s="1171"/>
      <c r="G8" s="1171"/>
      <c r="H8" s="1171"/>
      <c r="I8" s="1171"/>
      <c r="J8" s="1171"/>
    </row>
    <row r="9" spans="1:10" ht="16" customHeight="1">
      <c r="A9" s="1094"/>
      <c r="B9" s="1095"/>
      <c r="C9" s="1095"/>
      <c r="D9" s="1095"/>
      <c r="E9" s="1095"/>
      <c r="F9" s="1095"/>
      <c r="G9" s="1095"/>
      <c r="H9" s="1095"/>
      <c r="I9" s="1096" t="s">
        <v>1804</v>
      </c>
      <c r="J9" s="1095"/>
    </row>
    <row r="10" spans="1:10" ht="16" customHeight="1">
      <c r="A10" s="1059" t="s">
        <v>1690</v>
      </c>
      <c r="B10" s="1095"/>
      <c r="C10" s="1095"/>
      <c r="D10" s="1095"/>
      <c r="E10" s="1095"/>
      <c r="F10" s="1095"/>
      <c r="G10" s="1095"/>
      <c r="H10" s="1095"/>
      <c r="I10" s="1096" t="s">
        <v>1803</v>
      </c>
      <c r="J10" s="1095"/>
    </row>
    <row r="11" spans="1:10" ht="14.95" customHeight="1">
      <c r="A11" s="1094"/>
      <c r="B11" s="1095"/>
      <c r="C11" s="1095"/>
      <c r="D11" s="1095"/>
      <c r="E11" s="1095"/>
      <c r="F11" s="1095"/>
      <c r="G11" s="1095"/>
      <c r="H11" s="1095"/>
      <c r="I11" s="1096" t="s">
        <v>1802</v>
      </c>
      <c r="J11" s="1095"/>
    </row>
    <row r="12" spans="1:10" ht="14.95" customHeight="1">
      <c r="A12" s="1174" t="s">
        <v>1693</v>
      </c>
      <c r="B12" s="1175"/>
      <c r="C12" s="1175"/>
      <c r="D12" s="1175"/>
      <c r="E12" s="1175"/>
      <c r="F12" s="1175"/>
      <c r="G12" s="1175"/>
      <c r="H12" s="1175"/>
      <c r="I12" s="1175"/>
      <c r="J12" s="1175"/>
    </row>
    <row r="13" spans="1:10" ht="14.95" customHeight="1">
      <c r="A13" s="1096"/>
      <c r="B13" s="1096"/>
      <c r="C13" s="1096"/>
      <c r="D13" s="1096"/>
      <c r="E13" s="1096"/>
      <c r="F13" s="1096"/>
      <c r="G13" s="1096"/>
      <c r="H13" s="1096"/>
      <c r="I13" s="1096"/>
      <c r="J13" s="1096"/>
    </row>
    <row r="14" spans="1:10" ht="14.95" customHeight="1">
      <c r="A14" s="1096" t="s">
        <v>1801</v>
      </c>
      <c r="B14" s="1096"/>
      <c r="C14" s="1096"/>
      <c r="D14" s="1096"/>
      <c r="E14" s="1096"/>
      <c r="F14" s="1096"/>
      <c r="G14" s="1096"/>
      <c r="H14" s="1096"/>
      <c r="I14" s="1096"/>
      <c r="J14" s="1096"/>
    </row>
    <row r="15" spans="1:10" ht="14.95" customHeight="1">
      <c r="A15" s="1096"/>
      <c r="B15" s="1096"/>
      <c r="C15" s="1096"/>
      <c r="D15" s="1096"/>
      <c r="E15" s="1096"/>
      <c r="F15" s="1096"/>
      <c r="G15" s="1096"/>
      <c r="H15" s="1096"/>
      <c r="I15" s="1096"/>
      <c r="J15" s="1096"/>
    </row>
    <row r="16" spans="1:10" ht="14.95" customHeight="1">
      <c r="A16" s="1096" t="s">
        <v>1800</v>
      </c>
      <c r="B16" s="1096"/>
      <c r="C16" s="1096"/>
      <c r="D16" s="1096"/>
      <c r="E16" s="1096"/>
      <c r="F16" s="1096"/>
      <c r="G16" s="1096"/>
      <c r="H16" s="1096"/>
      <c r="I16" s="1096"/>
      <c r="J16" s="1096"/>
    </row>
    <row r="17" spans="1:10" ht="14.95" customHeight="1">
      <c r="A17" s="1096"/>
      <c r="B17" s="1096"/>
      <c r="C17" s="1096"/>
      <c r="D17" s="1096"/>
      <c r="E17" s="1096"/>
      <c r="F17" s="1096"/>
      <c r="G17" s="1096"/>
      <c r="H17" s="1096"/>
      <c r="I17" s="1096"/>
      <c r="J17" s="1096"/>
    </row>
    <row r="18" spans="1:10" ht="14.95" customHeight="1">
      <c r="B18" s="1118" t="s">
        <v>1698</v>
      </c>
      <c r="C18" s="1118" t="s">
        <v>1699</v>
      </c>
      <c r="D18" s="1118" t="s">
        <v>1700</v>
      </c>
      <c r="E18" s="1118" t="s">
        <v>1701</v>
      </c>
      <c r="F18" s="1118" t="s">
        <v>1702</v>
      </c>
      <c r="G18" s="1118" t="s">
        <v>1703</v>
      </c>
      <c r="H18" s="1118" t="s">
        <v>1704</v>
      </c>
      <c r="I18" s="1118" t="s">
        <v>1705</v>
      </c>
      <c r="J18" s="1118">
        <v>-9</v>
      </c>
    </row>
    <row r="19" spans="1:10" ht="14.95" customHeight="1">
      <c r="B19" s="1118"/>
      <c r="C19" s="1118"/>
      <c r="D19" s="1098" t="s">
        <v>312</v>
      </c>
      <c r="E19" s="1118"/>
      <c r="F19" s="1118"/>
      <c r="G19" s="1118"/>
      <c r="H19" s="1118"/>
      <c r="I19" s="1118"/>
      <c r="J19" s="1118"/>
    </row>
    <row r="20" spans="1:10" ht="14.95" customHeight="1">
      <c r="B20" s="1118"/>
      <c r="C20" s="1118"/>
      <c r="D20" s="1098" t="s">
        <v>683</v>
      </c>
      <c r="E20" s="1118"/>
      <c r="F20" s="1098" t="s">
        <v>1706</v>
      </c>
      <c r="G20" s="1118"/>
      <c r="H20" s="1098" t="s">
        <v>1707</v>
      </c>
      <c r="I20" s="1098" t="s">
        <v>1708</v>
      </c>
      <c r="J20" s="1098" t="s">
        <v>1771</v>
      </c>
    </row>
    <row r="21" spans="1:10" ht="14.95" customHeight="1" thickBot="1">
      <c r="A21" s="1117" t="s">
        <v>1710</v>
      </c>
      <c r="B21" s="1117" t="s">
        <v>541</v>
      </c>
      <c r="C21" s="1117" t="s">
        <v>540</v>
      </c>
      <c r="D21" s="1117" t="s">
        <v>326</v>
      </c>
      <c r="E21" s="1117" t="s">
        <v>1711</v>
      </c>
      <c r="F21" s="1117" t="s">
        <v>1712</v>
      </c>
      <c r="G21" s="1117" t="s">
        <v>1713</v>
      </c>
      <c r="H21" s="1117" t="s">
        <v>1711</v>
      </c>
      <c r="I21" s="1117" t="s">
        <v>326</v>
      </c>
      <c r="J21" s="1117" t="s">
        <v>1770</v>
      </c>
    </row>
    <row r="22" spans="1:10" ht="14.95" customHeight="1">
      <c r="B22" s="1120"/>
    </row>
    <row r="23" spans="1:10" ht="14.95" customHeight="1">
      <c r="A23" s="1097">
        <v>2</v>
      </c>
      <c r="B23" s="1105">
        <v>2013</v>
      </c>
      <c r="C23" s="1098" t="s">
        <v>1714</v>
      </c>
      <c r="D23" s="1116"/>
      <c r="F23" s="1115"/>
      <c r="I23" s="1097">
        <f>+D23</f>
        <v>0</v>
      </c>
    </row>
    <row r="24" spans="1:10" ht="14.95" customHeight="1">
      <c r="A24" s="1106"/>
      <c r="B24" s="1112"/>
      <c r="C24" s="1111"/>
      <c r="D24" s="1106"/>
      <c r="E24" s="1106"/>
      <c r="F24" s="1114"/>
      <c r="G24" s="1106"/>
      <c r="H24" s="1106"/>
      <c r="I24" s="1106"/>
      <c r="J24" s="1106"/>
    </row>
    <row r="25" spans="1:10" ht="14.95" customHeight="1">
      <c r="A25" s="1106">
        <v>3</v>
      </c>
      <c r="B25" s="1112">
        <v>2014</v>
      </c>
      <c r="C25" s="1111" t="s">
        <v>374</v>
      </c>
      <c r="D25" s="1113"/>
      <c r="E25" s="1110">
        <f>+D25-D23</f>
        <v>0</v>
      </c>
      <c r="F25" s="1108">
        <v>335</v>
      </c>
      <c r="G25" s="1107">
        <f t="shared" ref="G25:G36" si="0">+F25/365</f>
        <v>0.9178082191780822</v>
      </c>
      <c r="H25" s="1106">
        <f t="shared" ref="H25:H36" si="1">ROUND(E25*G25,0)</f>
        <v>0</v>
      </c>
      <c r="I25" s="1106">
        <f>I23+H25</f>
        <v>0</v>
      </c>
      <c r="J25" s="1106"/>
    </row>
    <row r="26" spans="1:10" ht="14.95" customHeight="1">
      <c r="A26" s="1106">
        <v>4</v>
      </c>
      <c r="B26" s="1112">
        <v>2014</v>
      </c>
      <c r="C26" s="1111" t="s">
        <v>375</v>
      </c>
      <c r="D26" s="1113"/>
      <c r="E26" s="1110">
        <f t="shared" ref="E26:E36" si="2">+D26-D25</f>
        <v>0</v>
      </c>
      <c r="F26" s="1108">
        <v>307</v>
      </c>
      <c r="G26" s="1107">
        <f t="shared" si="0"/>
        <v>0.84109589041095889</v>
      </c>
      <c r="H26" s="1106">
        <f t="shared" si="1"/>
        <v>0</v>
      </c>
      <c r="I26" s="1106">
        <f t="shared" ref="I26:I36" si="3">I25+H26</f>
        <v>0</v>
      </c>
      <c r="J26" s="1106"/>
    </row>
    <row r="27" spans="1:10" ht="14.95" customHeight="1">
      <c r="A27" s="1106">
        <v>5</v>
      </c>
      <c r="B27" s="1112">
        <v>2014</v>
      </c>
      <c r="C27" s="1111" t="s">
        <v>376</v>
      </c>
      <c r="D27" s="1113"/>
      <c r="E27" s="1110">
        <f t="shared" si="2"/>
        <v>0</v>
      </c>
      <c r="F27" s="1108">
        <v>276</v>
      </c>
      <c r="G27" s="1107">
        <f t="shared" si="0"/>
        <v>0.75616438356164384</v>
      </c>
      <c r="H27" s="1106">
        <f t="shared" si="1"/>
        <v>0</v>
      </c>
      <c r="I27" s="1106">
        <f t="shared" si="3"/>
        <v>0</v>
      </c>
      <c r="J27" s="1106"/>
    </row>
    <row r="28" spans="1:10" ht="14.95" customHeight="1">
      <c r="A28" s="1106">
        <v>6</v>
      </c>
      <c r="B28" s="1112">
        <v>2014</v>
      </c>
      <c r="C28" s="1111" t="s">
        <v>377</v>
      </c>
      <c r="D28" s="1113"/>
      <c r="E28" s="1110">
        <f t="shared" si="2"/>
        <v>0</v>
      </c>
      <c r="F28" s="1108">
        <v>246</v>
      </c>
      <c r="G28" s="1107">
        <f t="shared" si="0"/>
        <v>0.67397260273972603</v>
      </c>
      <c r="H28" s="1106">
        <f t="shared" si="1"/>
        <v>0</v>
      </c>
      <c r="I28" s="1106">
        <f t="shared" si="3"/>
        <v>0</v>
      </c>
      <c r="J28" s="1106"/>
    </row>
    <row r="29" spans="1:10" ht="14.95" customHeight="1">
      <c r="A29" s="1106">
        <v>7</v>
      </c>
      <c r="B29" s="1112">
        <v>2014</v>
      </c>
      <c r="C29" s="1111" t="s">
        <v>379</v>
      </c>
      <c r="D29" s="1113"/>
      <c r="E29" s="1110">
        <f t="shared" si="2"/>
        <v>0</v>
      </c>
      <c r="F29" s="1108">
        <v>215</v>
      </c>
      <c r="G29" s="1107">
        <f t="shared" si="0"/>
        <v>0.58904109589041098</v>
      </c>
      <c r="H29" s="1106">
        <f t="shared" si="1"/>
        <v>0</v>
      </c>
      <c r="I29" s="1106">
        <f t="shared" si="3"/>
        <v>0</v>
      </c>
      <c r="J29" s="1106"/>
    </row>
    <row r="30" spans="1:10" ht="14.95" customHeight="1">
      <c r="A30" s="1106">
        <v>8</v>
      </c>
      <c r="B30" s="1112">
        <v>2014</v>
      </c>
      <c r="C30" s="1111" t="s">
        <v>380</v>
      </c>
      <c r="D30" s="1113"/>
      <c r="E30" s="1110">
        <f t="shared" si="2"/>
        <v>0</v>
      </c>
      <c r="F30" s="1108">
        <v>185</v>
      </c>
      <c r="G30" s="1107">
        <f t="shared" si="0"/>
        <v>0.50684931506849318</v>
      </c>
      <c r="H30" s="1106">
        <f t="shared" si="1"/>
        <v>0</v>
      </c>
      <c r="I30" s="1106">
        <f t="shared" si="3"/>
        <v>0</v>
      </c>
      <c r="J30" s="1106"/>
    </row>
    <row r="31" spans="1:10" ht="14.95" customHeight="1">
      <c r="A31" s="1106">
        <v>9</v>
      </c>
      <c r="B31" s="1112">
        <v>2014</v>
      </c>
      <c r="C31" s="1111" t="s">
        <v>381</v>
      </c>
      <c r="D31" s="1113"/>
      <c r="E31" s="1110">
        <f t="shared" si="2"/>
        <v>0</v>
      </c>
      <c r="F31" s="1108">
        <v>154</v>
      </c>
      <c r="G31" s="1107">
        <f t="shared" si="0"/>
        <v>0.42191780821917807</v>
      </c>
      <c r="H31" s="1106">
        <f t="shared" si="1"/>
        <v>0</v>
      </c>
      <c r="I31" s="1106">
        <f t="shared" si="3"/>
        <v>0</v>
      </c>
      <c r="J31" s="1106"/>
    </row>
    <row r="32" spans="1:10" ht="14.95" customHeight="1">
      <c r="A32" s="1106">
        <v>10</v>
      </c>
      <c r="B32" s="1112">
        <v>2014</v>
      </c>
      <c r="C32" s="1111" t="s">
        <v>382</v>
      </c>
      <c r="D32" s="1113"/>
      <c r="E32" s="1110">
        <f t="shared" si="2"/>
        <v>0</v>
      </c>
      <c r="F32" s="1108">
        <v>123</v>
      </c>
      <c r="G32" s="1107">
        <f t="shared" si="0"/>
        <v>0.33698630136986302</v>
      </c>
      <c r="H32" s="1106">
        <f t="shared" si="1"/>
        <v>0</v>
      </c>
      <c r="I32" s="1106">
        <f t="shared" si="3"/>
        <v>0</v>
      </c>
      <c r="J32" s="1106"/>
    </row>
    <row r="33" spans="1:10" ht="14.95" customHeight="1">
      <c r="A33" s="1106">
        <v>11</v>
      </c>
      <c r="B33" s="1112">
        <v>2014</v>
      </c>
      <c r="C33" s="1111" t="s">
        <v>383</v>
      </c>
      <c r="D33" s="1113"/>
      <c r="E33" s="1110">
        <f t="shared" si="2"/>
        <v>0</v>
      </c>
      <c r="F33" s="1108">
        <v>93</v>
      </c>
      <c r="G33" s="1107">
        <f t="shared" si="0"/>
        <v>0.25479452054794521</v>
      </c>
      <c r="H33" s="1106">
        <f t="shared" si="1"/>
        <v>0</v>
      </c>
      <c r="I33" s="1106">
        <f t="shared" si="3"/>
        <v>0</v>
      </c>
      <c r="J33" s="1106"/>
    </row>
    <row r="34" spans="1:10" ht="14.95" customHeight="1">
      <c r="A34" s="1106">
        <v>12</v>
      </c>
      <c r="B34" s="1112">
        <v>2014</v>
      </c>
      <c r="C34" s="1111" t="s">
        <v>384</v>
      </c>
      <c r="D34" s="1113"/>
      <c r="E34" s="1110">
        <f t="shared" si="2"/>
        <v>0</v>
      </c>
      <c r="F34" s="1108">
        <v>62</v>
      </c>
      <c r="G34" s="1107">
        <f t="shared" si="0"/>
        <v>0.16986301369863013</v>
      </c>
      <c r="H34" s="1106">
        <f t="shared" si="1"/>
        <v>0</v>
      </c>
      <c r="I34" s="1106">
        <f t="shared" si="3"/>
        <v>0</v>
      </c>
      <c r="J34" s="1106"/>
    </row>
    <row r="35" spans="1:10" ht="14.95" customHeight="1">
      <c r="A35" s="1106">
        <v>13</v>
      </c>
      <c r="B35" s="1112">
        <v>2014</v>
      </c>
      <c r="C35" s="1111" t="s">
        <v>385</v>
      </c>
      <c r="D35" s="1113"/>
      <c r="E35" s="1110">
        <f t="shared" si="2"/>
        <v>0</v>
      </c>
      <c r="F35" s="1108">
        <v>32</v>
      </c>
      <c r="G35" s="1107">
        <f t="shared" si="0"/>
        <v>8.7671232876712329E-2</v>
      </c>
      <c r="H35" s="1106">
        <f t="shared" si="1"/>
        <v>0</v>
      </c>
      <c r="I35" s="1106">
        <f t="shared" si="3"/>
        <v>0</v>
      </c>
      <c r="J35" s="1106"/>
    </row>
    <row r="36" spans="1:10" ht="14.95" customHeight="1">
      <c r="A36" s="1106">
        <v>14</v>
      </c>
      <c r="B36" s="1112">
        <v>2014</v>
      </c>
      <c r="C36" s="1111" t="s">
        <v>1714</v>
      </c>
      <c r="D36" s="1113"/>
      <c r="E36" s="1110">
        <f t="shared" si="2"/>
        <v>0</v>
      </c>
      <c r="F36" s="1108">
        <v>1</v>
      </c>
      <c r="G36" s="1107">
        <f t="shared" si="0"/>
        <v>2.7397260273972603E-3</v>
      </c>
      <c r="H36" s="1106">
        <f t="shared" si="1"/>
        <v>0</v>
      </c>
      <c r="I36" s="1106">
        <f t="shared" si="3"/>
        <v>0</v>
      </c>
      <c r="J36" s="1106"/>
    </row>
    <row r="37" spans="1:10" ht="14.95" customHeight="1">
      <c r="A37" s="1106"/>
      <c r="B37" s="1112"/>
      <c r="C37" s="1111"/>
      <c r="D37" s="1110"/>
      <c r="E37" s="1109"/>
      <c r="F37" s="1108"/>
      <c r="G37" s="1107"/>
      <c r="H37" s="1106"/>
      <c r="I37" s="1106"/>
      <c r="J37" s="1106"/>
    </row>
    <row r="38" spans="1:10" ht="14.95" customHeight="1">
      <c r="A38" s="1097">
        <v>15</v>
      </c>
      <c r="B38" s="1105"/>
      <c r="D38" s="1101"/>
      <c r="E38" s="1104"/>
      <c r="F38" s="1103"/>
      <c r="G38" s="1074"/>
      <c r="I38" s="1099" t="s">
        <v>1769</v>
      </c>
      <c r="J38" s="1097">
        <f>+(D23+D28)/2</f>
        <v>0</v>
      </c>
    </row>
    <row r="39" spans="1:10" ht="14.95" customHeight="1">
      <c r="A39" s="1097">
        <v>16</v>
      </c>
      <c r="B39" s="1105"/>
      <c r="D39" s="1101"/>
      <c r="E39" s="1104"/>
      <c r="F39" s="1103"/>
      <c r="G39" s="1074"/>
      <c r="I39" s="1099" t="s">
        <v>1768</v>
      </c>
      <c r="J39" s="1102">
        <f>(4)/(12)</f>
        <v>0.33333333333333331</v>
      </c>
    </row>
    <row r="40" spans="1:10" ht="14.95" customHeight="1">
      <c r="A40" s="1097">
        <v>17</v>
      </c>
      <c r="B40" s="1105"/>
      <c r="D40" s="1101"/>
      <c r="E40" s="1104"/>
      <c r="F40" s="1103"/>
      <c r="G40" s="1074"/>
      <c r="I40" s="1099" t="s">
        <v>1767</v>
      </c>
      <c r="J40" s="1097">
        <f>+J38*J39</f>
        <v>0</v>
      </c>
    </row>
    <row r="41" spans="1:10" ht="14.95" customHeight="1">
      <c r="B41" s="1105"/>
      <c r="D41" s="1101"/>
      <c r="E41" s="1104"/>
      <c r="F41" s="1103"/>
      <c r="G41" s="1074"/>
    </row>
    <row r="42" spans="1:10" ht="14.95" customHeight="1">
      <c r="A42" s="1097">
        <v>18</v>
      </c>
      <c r="B42" s="1101"/>
      <c r="C42" s="1097"/>
      <c r="E42" s="1099"/>
      <c r="F42" s="1100"/>
      <c r="I42" s="1099" t="s">
        <v>1766</v>
      </c>
      <c r="J42" s="1097">
        <f>AVERAGE(I28:I36)</f>
        <v>0</v>
      </c>
    </row>
    <row r="43" spans="1:10" ht="14.95" customHeight="1">
      <c r="A43" s="1097">
        <v>19</v>
      </c>
      <c r="B43" s="1101"/>
      <c r="C43" s="1097"/>
      <c r="E43" s="1099"/>
      <c r="F43" s="1100"/>
      <c r="I43" s="1099" t="s">
        <v>1765</v>
      </c>
      <c r="J43" s="1102">
        <f>(8)/(12)</f>
        <v>0.66666666666666663</v>
      </c>
    </row>
    <row r="44" spans="1:10" ht="14.95" customHeight="1">
      <c r="A44" s="1097">
        <v>20</v>
      </c>
      <c r="B44" s="1101"/>
      <c r="C44" s="1097"/>
      <c r="E44" s="1099"/>
      <c r="F44" s="1100"/>
      <c r="I44" s="1099" t="s">
        <v>1764</v>
      </c>
      <c r="J44" s="1097">
        <f>+J42*J43</f>
        <v>0</v>
      </c>
    </row>
    <row r="45" spans="1:10" ht="14.95" customHeight="1">
      <c r="B45" s="1101"/>
      <c r="C45" s="1097"/>
      <c r="E45" s="1099"/>
      <c r="F45" s="1100"/>
      <c r="I45" s="1099"/>
    </row>
    <row r="46" spans="1:10" ht="14.95" customHeight="1">
      <c r="A46" s="1097">
        <v>21</v>
      </c>
      <c r="B46" s="1101"/>
      <c r="C46" s="1097"/>
      <c r="E46" s="1099"/>
      <c r="F46" s="1100"/>
      <c r="I46" s="1099" t="s">
        <v>1799</v>
      </c>
      <c r="J46" s="1097">
        <f>+J40+J44</f>
        <v>0</v>
      </c>
    </row>
    <row r="47" spans="1:10" ht="14.95" customHeight="1"/>
    <row r="48" spans="1:10" ht="14.95" customHeight="1">
      <c r="A48" s="1097">
        <v>22</v>
      </c>
      <c r="I48" s="1099" t="s">
        <v>1715</v>
      </c>
      <c r="J48" s="1128"/>
    </row>
    <row r="49" spans="1:10" ht="14.95" customHeight="1">
      <c r="J49" s="1127"/>
    </row>
    <row r="50" spans="1:10" ht="14.95" customHeight="1">
      <c r="A50" s="1097">
        <v>23</v>
      </c>
      <c r="I50" s="1099" t="s">
        <v>1798</v>
      </c>
      <c r="J50" s="1097">
        <f>+J46*J48</f>
        <v>0</v>
      </c>
    </row>
    <row r="51" spans="1:10" ht="14.95" customHeight="1">
      <c r="C51" s="1123"/>
    </row>
    <row r="52" spans="1:10" ht="14.95" customHeight="1">
      <c r="A52" s="1124" t="s">
        <v>1717</v>
      </c>
      <c r="C52" s="1123"/>
    </row>
    <row r="53" spans="1:10" ht="14.95" customHeight="1">
      <c r="A53" s="1182" t="s">
        <v>1720</v>
      </c>
      <c r="B53" s="1183"/>
      <c r="C53" s="1123" t="s">
        <v>1786</v>
      </c>
    </row>
    <row r="54" spans="1:10" ht="14.95" customHeight="1">
      <c r="A54" s="1182" t="s">
        <v>1722</v>
      </c>
      <c r="B54" s="1183"/>
      <c r="C54" s="1123" t="s">
        <v>1723</v>
      </c>
    </row>
    <row r="55" spans="1:10" ht="14.95" customHeight="1">
      <c r="A55" s="1182" t="s">
        <v>1724</v>
      </c>
      <c r="B55" s="1183"/>
      <c r="C55" s="1123" t="s">
        <v>1725</v>
      </c>
    </row>
    <row r="56" spans="1:10" ht="14.95" customHeight="1">
      <c r="A56" s="1182" t="s">
        <v>1726</v>
      </c>
      <c r="B56" s="1183"/>
      <c r="C56" s="1184" t="s">
        <v>1785</v>
      </c>
      <c r="D56" s="1185"/>
      <c r="E56" s="1185"/>
      <c r="F56" s="1185"/>
      <c r="G56" s="1185"/>
      <c r="H56" s="1185"/>
      <c r="I56" s="1185"/>
      <c r="J56" s="1185"/>
    </row>
    <row r="57" spans="1:10" ht="14.95" customHeight="1">
      <c r="A57" s="1182" t="s">
        <v>1728</v>
      </c>
      <c r="B57" s="1183" t="s">
        <v>1728</v>
      </c>
      <c r="C57" s="1123" t="s">
        <v>1729</v>
      </c>
    </row>
    <row r="58" spans="1:10" ht="14.95" customHeight="1">
      <c r="A58" s="1122" t="s">
        <v>1730</v>
      </c>
      <c r="B58" s="1121"/>
      <c r="C58" s="1123" t="s">
        <v>1731</v>
      </c>
    </row>
    <row r="59" spans="1:10" ht="14.95" customHeight="1">
      <c r="A59" s="1182" t="s">
        <v>1732</v>
      </c>
      <c r="B59" s="1183" t="s">
        <v>1728</v>
      </c>
      <c r="C59" s="1123" t="s">
        <v>1733</v>
      </c>
    </row>
    <row r="60" spans="1:10" ht="14.95" customHeight="1">
      <c r="A60" s="1122" t="s">
        <v>1737</v>
      </c>
      <c r="B60" s="1121"/>
      <c r="C60" s="1123" t="s">
        <v>1797</v>
      </c>
    </row>
    <row r="61" spans="1:10" ht="14.95" customHeight="1">
      <c r="A61" s="1122" t="s">
        <v>1782</v>
      </c>
      <c r="B61" s="1121"/>
      <c r="C61" s="1123" t="s">
        <v>1796</v>
      </c>
    </row>
    <row r="62" spans="1:10" ht="14.95" customHeight="1">
      <c r="A62" s="1182" t="s">
        <v>1795</v>
      </c>
      <c r="B62" s="1183" t="s">
        <v>1735</v>
      </c>
      <c r="C62" s="1123" t="s">
        <v>1794</v>
      </c>
    </row>
    <row r="63" spans="1:10" ht="14.95" customHeight="1">
      <c r="A63" s="1122" t="s">
        <v>1778</v>
      </c>
      <c r="B63" s="1121"/>
      <c r="C63" s="1123" t="s">
        <v>1793</v>
      </c>
    </row>
    <row r="64" spans="1:10" ht="14.95" customHeight="1">
      <c r="A64" s="1122" t="s">
        <v>1792</v>
      </c>
      <c r="B64" s="1121"/>
      <c r="C64" s="1123" t="s">
        <v>1791</v>
      </c>
    </row>
    <row r="65" spans="1:10" ht="14.95" customHeight="1">
      <c r="A65" s="1182" t="s">
        <v>1790</v>
      </c>
      <c r="B65" s="1183"/>
      <c r="C65" s="1123" t="s">
        <v>1738</v>
      </c>
    </row>
    <row r="66" spans="1:10" ht="30.25" customHeight="1">
      <c r="A66" s="1182" t="s">
        <v>1789</v>
      </c>
      <c r="B66" s="1183"/>
      <c r="C66" s="1184" t="s">
        <v>1788</v>
      </c>
      <c r="D66" s="1178"/>
      <c r="E66" s="1178"/>
      <c r="F66" s="1178"/>
      <c r="G66" s="1178"/>
      <c r="H66" s="1178"/>
      <c r="I66" s="1178"/>
      <c r="J66" s="1178"/>
    </row>
    <row r="67" spans="1:10" ht="14.95" customHeight="1">
      <c r="A67" s="1122"/>
      <c r="B67" s="1121"/>
      <c r="C67" s="1126"/>
      <c r="D67" s="1125"/>
      <c r="E67" s="1125"/>
      <c r="F67" s="1125"/>
      <c r="G67" s="1125"/>
      <c r="H67" s="1125"/>
      <c r="I67" s="1125"/>
      <c r="J67" s="1125"/>
    </row>
    <row r="68" spans="1:10" ht="14.95" customHeight="1">
      <c r="A68" s="1186"/>
      <c r="B68" s="1173"/>
      <c r="C68" s="1123"/>
    </row>
    <row r="69" spans="1:10" ht="14.95" customHeight="1">
      <c r="A69" s="1174" t="s">
        <v>1775</v>
      </c>
      <c r="B69" s="1175"/>
      <c r="C69" s="1175"/>
      <c r="D69" s="1175"/>
      <c r="E69" s="1175"/>
      <c r="F69" s="1175"/>
      <c r="G69" s="1175"/>
      <c r="H69" s="1175"/>
      <c r="I69" s="1175"/>
      <c r="J69" s="1175"/>
    </row>
    <row r="70" spans="1:10" ht="14.95" customHeight="1">
      <c r="A70" s="1180" t="s">
        <v>1774</v>
      </c>
      <c r="B70" s="1181"/>
      <c r="C70" s="1181"/>
      <c r="D70" s="1181"/>
      <c r="E70" s="1181"/>
      <c r="F70" s="1181"/>
      <c r="G70" s="1181"/>
      <c r="H70" s="1181"/>
      <c r="I70" s="1181"/>
      <c r="J70" s="1181"/>
    </row>
    <row r="71" spans="1:10" ht="14.95" customHeight="1">
      <c r="A71" s="1059" t="s">
        <v>1742</v>
      </c>
      <c r="J71" s="1061"/>
    </row>
    <row r="72" spans="1:10" ht="14.95" customHeight="1"/>
    <row r="73" spans="1:10" ht="14.95" customHeight="1">
      <c r="A73" s="1174" t="s">
        <v>1743</v>
      </c>
      <c r="B73" s="1175"/>
      <c r="C73" s="1175"/>
      <c r="D73" s="1175"/>
      <c r="E73" s="1175"/>
      <c r="F73" s="1175"/>
      <c r="G73" s="1175"/>
      <c r="H73" s="1175"/>
      <c r="I73" s="1175"/>
      <c r="J73" s="1175"/>
    </row>
    <row r="74" spans="1:10" ht="14.95" customHeight="1">
      <c r="A74" s="1096"/>
      <c r="B74" s="1096"/>
      <c r="C74" s="1096"/>
      <c r="D74" s="1096"/>
      <c r="E74" s="1096"/>
      <c r="F74" s="1096"/>
      <c r="G74" s="1096"/>
      <c r="H74" s="1096"/>
      <c r="I74" s="1096"/>
      <c r="J74" s="1096"/>
    </row>
    <row r="75" spans="1:10" ht="14.95" customHeight="1">
      <c r="A75" s="1096" t="s">
        <v>1773</v>
      </c>
      <c r="B75" s="1096"/>
      <c r="C75" s="1096"/>
      <c r="D75" s="1096"/>
      <c r="E75" s="1096"/>
      <c r="F75" s="1096"/>
      <c r="G75" s="1096"/>
      <c r="H75" s="1096"/>
      <c r="I75" s="1096"/>
      <c r="J75" s="1096"/>
    </row>
    <row r="76" spans="1:10" ht="14.95" customHeight="1">
      <c r="A76" s="1096"/>
      <c r="B76" s="1096"/>
      <c r="C76" s="1096"/>
      <c r="D76" s="1096"/>
      <c r="E76" s="1096"/>
      <c r="F76" s="1096"/>
      <c r="G76" s="1096"/>
      <c r="H76" s="1096"/>
      <c r="I76" s="1096"/>
      <c r="J76" s="1096"/>
    </row>
    <row r="77" spans="1:10" ht="14.95" customHeight="1">
      <c r="B77" s="1118" t="s">
        <v>1698</v>
      </c>
      <c r="C77" s="1118" t="s">
        <v>1699</v>
      </c>
      <c r="D77" s="1118" t="s">
        <v>1700</v>
      </c>
      <c r="E77" s="1118" t="s">
        <v>1701</v>
      </c>
      <c r="F77" s="1118" t="s">
        <v>1702</v>
      </c>
      <c r="G77" s="1118" t="s">
        <v>1703</v>
      </c>
      <c r="H77" s="1118" t="s">
        <v>1704</v>
      </c>
      <c r="I77" s="1118" t="s">
        <v>1705</v>
      </c>
      <c r="J77" s="1118">
        <v>-9</v>
      </c>
    </row>
    <row r="78" spans="1:10" ht="14.95" customHeight="1">
      <c r="B78" s="1118"/>
      <c r="C78" s="1118"/>
      <c r="D78" s="1098" t="s">
        <v>1022</v>
      </c>
      <c r="E78" s="1118"/>
      <c r="F78" s="1098" t="s">
        <v>1706</v>
      </c>
      <c r="G78" s="1118"/>
      <c r="H78" s="1098" t="s">
        <v>1707</v>
      </c>
      <c r="I78" s="1098" t="s">
        <v>1708</v>
      </c>
      <c r="J78" s="1098" t="s">
        <v>1771</v>
      </c>
    </row>
    <row r="79" spans="1:10" ht="14.95" customHeight="1" thickBot="1">
      <c r="A79" s="1117" t="s">
        <v>1710</v>
      </c>
      <c r="B79" s="1117" t="s">
        <v>541</v>
      </c>
      <c r="C79" s="1117" t="s">
        <v>540</v>
      </c>
      <c r="D79" s="1117" t="s">
        <v>326</v>
      </c>
      <c r="E79" s="1117" t="s">
        <v>1711</v>
      </c>
      <c r="F79" s="1117" t="s">
        <v>1712</v>
      </c>
      <c r="G79" s="1117" t="s">
        <v>1713</v>
      </c>
      <c r="H79" s="1117" t="s">
        <v>1711</v>
      </c>
      <c r="I79" s="1117" t="s">
        <v>326</v>
      </c>
      <c r="J79" s="1117" t="s">
        <v>1770</v>
      </c>
    </row>
    <row r="80" spans="1:10" ht="14.95" customHeight="1">
      <c r="B80" s="1120"/>
    </row>
    <row r="81" spans="1:10" ht="14.95" customHeight="1">
      <c r="A81" s="1097">
        <v>1</v>
      </c>
      <c r="B81" s="1105">
        <v>2013</v>
      </c>
      <c r="C81" s="1098" t="s">
        <v>1714</v>
      </c>
      <c r="D81" s="1116"/>
      <c r="F81" s="1115"/>
      <c r="I81" s="1097">
        <f>+D81</f>
        <v>0</v>
      </c>
    </row>
    <row r="82" spans="1:10" ht="14.95" customHeight="1">
      <c r="A82" s="1106"/>
      <c r="B82" s="1112"/>
      <c r="C82" s="1111"/>
      <c r="D82" s="1106"/>
      <c r="E82" s="1106"/>
      <c r="F82" s="1114"/>
      <c r="G82" s="1106"/>
      <c r="H82" s="1106"/>
      <c r="I82" s="1106"/>
      <c r="J82" s="1106"/>
    </row>
    <row r="83" spans="1:10" ht="14.95" customHeight="1">
      <c r="A83" s="1106">
        <v>2</v>
      </c>
      <c r="B83" s="1112">
        <v>2014</v>
      </c>
      <c r="C83" s="1111" t="s">
        <v>374</v>
      </c>
      <c r="D83" s="1113"/>
      <c r="E83" s="1110">
        <f>+D83-D81</f>
        <v>0</v>
      </c>
      <c r="F83" s="1108">
        <v>335</v>
      </c>
      <c r="G83" s="1107">
        <f t="shared" ref="G83:G94" si="4">+F83/365</f>
        <v>0.9178082191780822</v>
      </c>
      <c r="H83" s="1106">
        <f t="shared" ref="H83:H94" si="5">ROUND(E83*G83,0)</f>
        <v>0</v>
      </c>
      <c r="I83" s="1106">
        <f>I81+H83</f>
        <v>0</v>
      </c>
      <c r="J83" s="1106"/>
    </row>
    <row r="84" spans="1:10" ht="14.95" customHeight="1">
      <c r="A84" s="1106">
        <v>3</v>
      </c>
      <c r="B84" s="1112">
        <v>2014</v>
      </c>
      <c r="C84" s="1111" t="s">
        <v>375</v>
      </c>
      <c r="D84" s="1113"/>
      <c r="E84" s="1110">
        <f t="shared" ref="E84:E94" si="6">+D84-D83</f>
        <v>0</v>
      </c>
      <c r="F84" s="1108">
        <v>307</v>
      </c>
      <c r="G84" s="1107">
        <f t="shared" si="4"/>
        <v>0.84109589041095889</v>
      </c>
      <c r="H84" s="1106">
        <f t="shared" si="5"/>
        <v>0</v>
      </c>
      <c r="I84" s="1106">
        <f t="shared" ref="I84:I94" si="7">I83+H84</f>
        <v>0</v>
      </c>
      <c r="J84" s="1106"/>
    </row>
    <row r="85" spans="1:10" ht="14.95" customHeight="1">
      <c r="A85" s="1106">
        <v>4</v>
      </c>
      <c r="B85" s="1112">
        <v>2014</v>
      </c>
      <c r="C85" s="1111" t="s">
        <v>376</v>
      </c>
      <c r="D85" s="1113"/>
      <c r="E85" s="1110">
        <f t="shared" si="6"/>
        <v>0</v>
      </c>
      <c r="F85" s="1108">
        <v>276</v>
      </c>
      <c r="G85" s="1107">
        <f t="shared" si="4"/>
        <v>0.75616438356164384</v>
      </c>
      <c r="H85" s="1106">
        <f t="shared" si="5"/>
        <v>0</v>
      </c>
      <c r="I85" s="1106">
        <f t="shared" si="7"/>
        <v>0</v>
      </c>
      <c r="J85" s="1106"/>
    </row>
    <row r="86" spans="1:10" ht="14.95" customHeight="1">
      <c r="A86" s="1106">
        <v>5</v>
      </c>
      <c r="B86" s="1112">
        <v>2014</v>
      </c>
      <c r="C86" s="1111" t="s">
        <v>377</v>
      </c>
      <c r="D86" s="1113"/>
      <c r="E86" s="1110">
        <f t="shared" si="6"/>
        <v>0</v>
      </c>
      <c r="F86" s="1108">
        <v>246</v>
      </c>
      <c r="G86" s="1107">
        <f t="shared" si="4"/>
        <v>0.67397260273972603</v>
      </c>
      <c r="H86" s="1106">
        <f t="shared" si="5"/>
        <v>0</v>
      </c>
      <c r="I86" s="1106">
        <f t="shared" si="7"/>
        <v>0</v>
      </c>
      <c r="J86" s="1106"/>
    </row>
    <row r="87" spans="1:10" ht="14.95" customHeight="1">
      <c r="A87" s="1106">
        <v>6</v>
      </c>
      <c r="B87" s="1112">
        <v>2014</v>
      </c>
      <c r="C87" s="1111" t="s">
        <v>379</v>
      </c>
      <c r="D87" s="1113"/>
      <c r="E87" s="1110">
        <f t="shared" si="6"/>
        <v>0</v>
      </c>
      <c r="F87" s="1108">
        <v>215</v>
      </c>
      <c r="G87" s="1107">
        <f t="shared" si="4"/>
        <v>0.58904109589041098</v>
      </c>
      <c r="H87" s="1106">
        <f t="shared" si="5"/>
        <v>0</v>
      </c>
      <c r="I87" s="1106">
        <f t="shared" si="7"/>
        <v>0</v>
      </c>
      <c r="J87" s="1106"/>
    </row>
    <row r="88" spans="1:10" ht="14.95" customHeight="1">
      <c r="A88" s="1106">
        <v>7</v>
      </c>
      <c r="B88" s="1112">
        <v>2014</v>
      </c>
      <c r="C88" s="1111" t="s">
        <v>380</v>
      </c>
      <c r="D88" s="1113"/>
      <c r="E88" s="1110">
        <f t="shared" si="6"/>
        <v>0</v>
      </c>
      <c r="F88" s="1108">
        <v>185</v>
      </c>
      <c r="G88" s="1107">
        <f t="shared" si="4"/>
        <v>0.50684931506849318</v>
      </c>
      <c r="H88" s="1106">
        <f t="shared" si="5"/>
        <v>0</v>
      </c>
      <c r="I88" s="1106">
        <f t="shared" si="7"/>
        <v>0</v>
      </c>
      <c r="J88" s="1106"/>
    </row>
    <row r="89" spans="1:10" ht="14.95" customHeight="1">
      <c r="A89" s="1106">
        <v>8</v>
      </c>
      <c r="B89" s="1112">
        <v>2014</v>
      </c>
      <c r="C89" s="1111" t="s">
        <v>381</v>
      </c>
      <c r="D89" s="1113"/>
      <c r="E89" s="1110">
        <f t="shared" si="6"/>
        <v>0</v>
      </c>
      <c r="F89" s="1108">
        <v>154</v>
      </c>
      <c r="G89" s="1107">
        <f t="shared" si="4"/>
        <v>0.42191780821917807</v>
      </c>
      <c r="H89" s="1106">
        <f t="shared" si="5"/>
        <v>0</v>
      </c>
      <c r="I89" s="1106">
        <f t="shared" si="7"/>
        <v>0</v>
      </c>
      <c r="J89" s="1106"/>
    </row>
    <row r="90" spans="1:10" ht="14.95" customHeight="1">
      <c r="A90" s="1106">
        <v>9</v>
      </c>
      <c r="B90" s="1112">
        <v>2014</v>
      </c>
      <c r="C90" s="1111" t="s">
        <v>382</v>
      </c>
      <c r="D90" s="1113"/>
      <c r="E90" s="1110">
        <f t="shared" si="6"/>
        <v>0</v>
      </c>
      <c r="F90" s="1108">
        <v>123</v>
      </c>
      <c r="G90" s="1107">
        <f t="shared" si="4"/>
        <v>0.33698630136986302</v>
      </c>
      <c r="H90" s="1106">
        <f t="shared" si="5"/>
        <v>0</v>
      </c>
      <c r="I90" s="1106">
        <f t="shared" si="7"/>
        <v>0</v>
      </c>
      <c r="J90" s="1106"/>
    </row>
    <row r="91" spans="1:10" ht="14.95" customHeight="1">
      <c r="A91" s="1106">
        <v>10</v>
      </c>
      <c r="B91" s="1112">
        <v>2014</v>
      </c>
      <c r="C91" s="1111" t="s">
        <v>383</v>
      </c>
      <c r="D91" s="1113"/>
      <c r="E91" s="1110">
        <f t="shared" si="6"/>
        <v>0</v>
      </c>
      <c r="F91" s="1108">
        <v>93</v>
      </c>
      <c r="G91" s="1107">
        <f t="shared" si="4"/>
        <v>0.25479452054794521</v>
      </c>
      <c r="H91" s="1106">
        <f t="shared" si="5"/>
        <v>0</v>
      </c>
      <c r="I91" s="1106">
        <f t="shared" si="7"/>
        <v>0</v>
      </c>
      <c r="J91" s="1106"/>
    </row>
    <row r="92" spans="1:10" ht="14.95" customHeight="1">
      <c r="A92" s="1106">
        <v>11</v>
      </c>
      <c r="B92" s="1112">
        <v>2014</v>
      </c>
      <c r="C92" s="1111" t="s">
        <v>384</v>
      </c>
      <c r="D92" s="1113"/>
      <c r="E92" s="1110">
        <f t="shared" si="6"/>
        <v>0</v>
      </c>
      <c r="F92" s="1108">
        <v>62</v>
      </c>
      <c r="G92" s="1107">
        <f t="shared" si="4"/>
        <v>0.16986301369863013</v>
      </c>
      <c r="H92" s="1106">
        <f t="shared" si="5"/>
        <v>0</v>
      </c>
      <c r="I92" s="1106">
        <f t="shared" si="7"/>
        <v>0</v>
      </c>
      <c r="J92" s="1106"/>
    </row>
    <row r="93" spans="1:10" ht="14.95" customHeight="1">
      <c r="A93" s="1106">
        <v>12</v>
      </c>
      <c r="B93" s="1112">
        <v>2014</v>
      </c>
      <c r="C93" s="1111" t="s">
        <v>385</v>
      </c>
      <c r="D93" s="1113"/>
      <c r="E93" s="1110">
        <f t="shared" si="6"/>
        <v>0</v>
      </c>
      <c r="F93" s="1108">
        <v>32</v>
      </c>
      <c r="G93" s="1107">
        <f t="shared" si="4"/>
        <v>8.7671232876712329E-2</v>
      </c>
      <c r="H93" s="1106">
        <f t="shared" si="5"/>
        <v>0</v>
      </c>
      <c r="I93" s="1106">
        <f t="shared" si="7"/>
        <v>0</v>
      </c>
      <c r="J93" s="1106"/>
    </row>
    <row r="94" spans="1:10" ht="14.95" customHeight="1">
      <c r="A94" s="1106">
        <v>13</v>
      </c>
      <c r="B94" s="1112">
        <v>2014</v>
      </c>
      <c r="C94" s="1111" t="s">
        <v>1714</v>
      </c>
      <c r="D94" s="1113"/>
      <c r="E94" s="1110">
        <f t="shared" si="6"/>
        <v>0</v>
      </c>
      <c r="F94" s="1108">
        <v>1</v>
      </c>
      <c r="G94" s="1107">
        <f t="shared" si="4"/>
        <v>2.7397260273972603E-3</v>
      </c>
      <c r="H94" s="1106">
        <f t="shared" si="5"/>
        <v>0</v>
      </c>
      <c r="I94" s="1106">
        <f t="shared" si="7"/>
        <v>0</v>
      </c>
      <c r="J94" s="1106"/>
    </row>
    <row r="95" spans="1:10" ht="14.95" customHeight="1">
      <c r="A95" s="1106"/>
      <c r="B95" s="1112"/>
      <c r="C95" s="1111"/>
      <c r="D95" s="1110"/>
      <c r="E95" s="1109"/>
      <c r="F95" s="1108"/>
      <c r="G95" s="1107"/>
      <c r="H95" s="1106"/>
      <c r="I95" s="1106"/>
      <c r="J95" s="1106"/>
    </row>
    <row r="96" spans="1:10" ht="14.95" customHeight="1">
      <c r="A96" s="1097">
        <v>14</v>
      </c>
      <c r="B96" s="1105"/>
      <c r="D96" s="1101"/>
      <c r="E96" s="1104"/>
      <c r="F96" s="1103"/>
      <c r="G96" s="1074"/>
      <c r="I96" s="1099" t="s">
        <v>1769</v>
      </c>
      <c r="J96" s="1097">
        <f>+(D81+D86)/2</f>
        <v>0</v>
      </c>
    </row>
    <row r="97" spans="1:10" ht="14.95" customHeight="1">
      <c r="A97" s="1097">
        <v>15</v>
      </c>
      <c r="B97" s="1105"/>
      <c r="D97" s="1101"/>
      <c r="E97" s="1104"/>
      <c r="F97" s="1103"/>
      <c r="G97" s="1074"/>
      <c r="I97" s="1099" t="s">
        <v>1768</v>
      </c>
      <c r="J97" s="1102">
        <f>(4)/(12)</f>
        <v>0.33333333333333331</v>
      </c>
    </row>
    <row r="98" spans="1:10" ht="14.95" customHeight="1">
      <c r="A98" s="1097">
        <v>16</v>
      </c>
      <c r="B98" s="1105"/>
      <c r="D98" s="1101"/>
      <c r="E98" s="1104"/>
      <c r="F98" s="1103"/>
      <c r="G98" s="1074"/>
      <c r="I98" s="1099" t="s">
        <v>1767</v>
      </c>
      <c r="J98" s="1097">
        <f>+J96*J97</f>
        <v>0</v>
      </c>
    </row>
    <row r="99" spans="1:10" ht="14.95" customHeight="1">
      <c r="B99" s="1105"/>
      <c r="D99" s="1101"/>
      <c r="E99" s="1104"/>
      <c r="F99" s="1103"/>
      <c r="G99" s="1074"/>
    </row>
    <row r="100" spans="1:10" ht="14.95" customHeight="1">
      <c r="A100" s="1097">
        <v>17</v>
      </c>
      <c r="B100" s="1101"/>
      <c r="C100" s="1097"/>
      <c r="E100" s="1099"/>
      <c r="F100" s="1100"/>
      <c r="I100" s="1099" t="s">
        <v>1766</v>
      </c>
      <c r="J100" s="1097">
        <f>AVERAGE(I86:I94)</f>
        <v>0</v>
      </c>
    </row>
    <row r="101" spans="1:10" ht="14.95" customHeight="1">
      <c r="A101" s="1097">
        <v>18</v>
      </c>
      <c r="B101" s="1101"/>
      <c r="C101" s="1097"/>
      <c r="E101" s="1099"/>
      <c r="F101" s="1100"/>
      <c r="I101" s="1099" t="s">
        <v>1765</v>
      </c>
      <c r="J101" s="1102">
        <f>(8)/(12)</f>
        <v>0.66666666666666663</v>
      </c>
    </row>
    <row r="102" spans="1:10" ht="14.95" customHeight="1">
      <c r="A102" s="1097">
        <v>19</v>
      </c>
      <c r="B102" s="1101"/>
      <c r="C102" s="1097"/>
      <c r="E102" s="1099"/>
      <c r="F102" s="1100"/>
      <c r="I102" s="1099" t="s">
        <v>1764</v>
      </c>
      <c r="J102" s="1097">
        <f>+J100*J101</f>
        <v>0</v>
      </c>
    </row>
    <row r="103" spans="1:10" ht="14.95" customHeight="1">
      <c r="B103" s="1101"/>
      <c r="C103" s="1097"/>
      <c r="E103" s="1099"/>
      <c r="F103" s="1100"/>
    </row>
    <row r="104" spans="1:10" ht="14.95" customHeight="1">
      <c r="A104" s="1097">
        <v>20</v>
      </c>
      <c r="B104" s="1101"/>
      <c r="C104" s="1097"/>
      <c r="E104" s="1099"/>
      <c r="F104" s="1100"/>
      <c r="I104" s="1099" t="s">
        <v>1787</v>
      </c>
      <c r="J104" s="1097">
        <f>+J98+J102</f>
        <v>0</v>
      </c>
    </row>
    <row r="105" spans="1:10" ht="14.95" customHeight="1"/>
    <row r="106" spans="1:10" ht="14.95" customHeight="1">
      <c r="A106" s="1124" t="s">
        <v>1717</v>
      </c>
      <c r="C106" s="1123"/>
    </row>
    <row r="107" spans="1:10" ht="14.95" customHeight="1">
      <c r="A107" s="1182" t="s">
        <v>1720</v>
      </c>
      <c r="B107" s="1183"/>
      <c r="C107" s="1123" t="s">
        <v>1786</v>
      </c>
    </row>
    <row r="108" spans="1:10" ht="14.95" customHeight="1">
      <c r="A108" s="1182" t="s">
        <v>1722</v>
      </c>
      <c r="B108" s="1183"/>
      <c r="C108" s="1123" t="s">
        <v>1723</v>
      </c>
    </row>
    <row r="109" spans="1:10" ht="14.95" customHeight="1">
      <c r="A109" s="1182" t="s">
        <v>1724</v>
      </c>
      <c r="B109" s="1183"/>
      <c r="C109" s="1123" t="s">
        <v>1725</v>
      </c>
    </row>
    <row r="110" spans="1:10" ht="14.95" customHeight="1">
      <c r="A110" s="1182" t="s">
        <v>1726</v>
      </c>
      <c r="B110" s="1183"/>
      <c r="C110" s="1184" t="s">
        <v>1785</v>
      </c>
      <c r="D110" s="1185"/>
      <c r="E110" s="1185"/>
      <c r="F110" s="1185"/>
      <c r="G110" s="1185"/>
      <c r="H110" s="1185"/>
      <c r="I110" s="1185"/>
      <c r="J110" s="1185"/>
    </row>
    <row r="111" spans="1:10" ht="14.95" customHeight="1">
      <c r="A111" s="1182" t="s">
        <v>1728</v>
      </c>
      <c r="B111" s="1183" t="s">
        <v>1728</v>
      </c>
      <c r="C111" s="1123" t="s">
        <v>1729</v>
      </c>
    </row>
    <row r="112" spans="1:10" ht="14.95" customHeight="1">
      <c r="A112" s="1122" t="s">
        <v>1747</v>
      </c>
      <c r="B112" s="1121"/>
      <c r="C112" s="1123" t="s">
        <v>1748</v>
      </c>
    </row>
    <row r="113" spans="1:10" ht="14.95" customHeight="1">
      <c r="A113" s="1182" t="s">
        <v>1749</v>
      </c>
      <c r="B113" s="1183" t="s">
        <v>1728</v>
      </c>
      <c r="C113" s="1123" t="s">
        <v>1733</v>
      </c>
    </row>
    <row r="114" spans="1:10" ht="14.95" customHeight="1">
      <c r="A114" s="1122" t="s">
        <v>1734</v>
      </c>
      <c r="B114" s="1121"/>
      <c r="C114" s="1123" t="s">
        <v>1784</v>
      </c>
    </row>
    <row r="115" spans="1:10" ht="14.95" customHeight="1">
      <c r="A115" s="1122" t="s">
        <v>1739</v>
      </c>
      <c r="B115" s="1121"/>
      <c r="C115" s="1123" t="s">
        <v>1783</v>
      </c>
    </row>
    <row r="116" spans="1:10" ht="14.95" customHeight="1">
      <c r="A116" s="1182" t="s">
        <v>1782</v>
      </c>
      <c r="B116" s="1183" t="s">
        <v>1735</v>
      </c>
      <c r="C116" s="1123" t="s">
        <v>1781</v>
      </c>
    </row>
    <row r="117" spans="1:10" ht="14.95" customHeight="1">
      <c r="A117" s="1122" t="s">
        <v>1780</v>
      </c>
      <c r="B117" s="1121"/>
      <c r="C117" s="1123" t="s">
        <v>1779</v>
      </c>
    </row>
    <row r="118" spans="1:10" ht="29.9" customHeight="1">
      <c r="A118" s="1122" t="s">
        <v>1778</v>
      </c>
      <c r="B118" s="1121"/>
      <c r="C118" s="1184" t="s">
        <v>1777</v>
      </c>
      <c r="D118" s="1184"/>
      <c r="E118" s="1184"/>
      <c r="F118" s="1184"/>
      <c r="G118" s="1184"/>
      <c r="H118" s="1184"/>
      <c r="I118" s="1184"/>
      <c r="J118" s="1184"/>
    </row>
    <row r="119" spans="1:10" ht="14.95" customHeight="1"/>
    <row r="120" spans="1:10" ht="14.95" customHeight="1"/>
    <row r="121" spans="1:10" ht="14.95" customHeight="1">
      <c r="A121" s="1174" t="s">
        <v>1775</v>
      </c>
      <c r="B121" s="1175"/>
      <c r="C121" s="1175"/>
      <c r="D121" s="1175"/>
      <c r="E121" s="1175"/>
      <c r="F121" s="1175"/>
      <c r="G121" s="1175"/>
      <c r="H121" s="1175"/>
      <c r="I121" s="1175"/>
      <c r="J121" s="1175"/>
    </row>
    <row r="122" spans="1:10" ht="14.95" customHeight="1">
      <c r="A122" s="1180" t="s">
        <v>1774</v>
      </c>
      <c r="B122" s="1181"/>
      <c r="C122" s="1181"/>
      <c r="D122" s="1181"/>
      <c r="E122" s="1181"/>
      <c r="F122" s="1181"/>
      <c r="G122" s="1181"/>
      <c r="H122" s="1181"/>
      <c r="I122" s="1181"/>
      <c r="J122" s="1181"/>
    </row>
    <row r="123" spans="1:10" ht="14.95" customHeight="1">
      <c r="A123" s="1059" t="s">
        <v>1752</v>
      </c>
      <c r="J123" s="1061"/>
    </row>
    <row r="124" spans="1:10" ht="14.95" customHeight="1">
      <c r="A124" s="1059"/>
      <c r="J124" s="1061"/>
    </row>
    <row r="125" spans="1:10" ht="14.95" customHeight="1">
      <c r="A125" s="1096" t="s">
        <v>1773</v>
      </c>
      <c r="J125" s="1061"/>
    </row>
    <row r="126" spans="1:10" ht="14.95" customHeight="1">
      <c r="A126" s="1097" t="s">
        <v>1772</v>
      </c>
      <c r="J126" s="1061"/>
    </row>
    <row r="127" spans="1:10" ht="14.95" customHeight="1"/>
    <row r="128" spans="1:10" ht="14.95" customHeight="1">
      <c r="A128" s="1174" t="s">
        <v>1754</v>
      </c>
      <c r="B128" s="1175"/>
      <c r="C128" s="1175"/>
      <c r="D128" s="1175"/>
      <c r="E128" s="1175"/>
      <c r="F128" s="1175"/>
      <c r="G128" s="1175"/>
      <c r="H128" s="1175"/>
      <c r="I128" s="1175"/>
      <c r="J128" s="1175"/>
    </row>
    <row r="129" spans="1:10" ht="14.95" customHeight="1">
      <c r="A129" s="1096"/>
      <c r="B129" s="1096"/>
      <c r="C129" s="1096"/>
      <c r="D129" s="1096"/>
      <c r="E129" s="1096"/>
      <c r="F129" s="1096"/>
      <c r="G129" s="1096"/>
      <c r="H129" s="1096"/>
      <c r="I129" s="1096"/>
      <c r="J129" s="1096"/>
    </row>
    <row r="130" spans="1:10" ht="14.95" customHeight="1">
      <c r="B130" s="1118" t="s">
        <v>1698</v>
      </c>
      <c r="C130" s="1118" t="s">
        <v>1699</v>
      </c>
      <c r="D130" s="1118" t="s">
        <v>1700</v>
      </c>
      <c r="E130" s="1118" t="s">
        <v>1701</v>
      </c>
      <c r="F130" s="1118" t="s">
        <v>1702</v>
      </c>
      <c r="G130" s="1118" t="s">
        <v>1703</v>
      </c>
      <c r="H130" s="1118" t="s">
        <v>1704</v>
      </c>
      <c r="I130" s="1118" t="s">
        <v>1705</v>
      </c>
      <c r="J130" s="1118">
        <v>-9</v>
      </c>
    </row>
    <row r="131" spans="1:10" ht="14.95" customHeight="1">
      <c r="B131" s="1118"/>
      <c r="C131" s="1118"/>
      <c r="D131" s="1098" t="s">
        <v>1755</v>
      </c>
      <c r="E131" s="1118"/>
      <c r="F131" s="1118"/>
      <c r="G131" s="1118"/>
      <c r="H131" s="1118"/>
      <c r="I131" s="1118"/>
      <c r="J131" s="1118"/>
    </row>
    <row r="132" spans="1:10" ht="14.95" customHeight="1">
      <c r="B132" s="1118"/>
      <c r="C132" s="1118"/>
      <c r="D132" s="1098" t="s">
        <v>1756</v>
      </c>
      <c r="E132" s="1118"/>
      <c r="F132" s="1098" t="s">
        <v>1706</v>
      </c>
      <c r="G132" s="1118"/>
      <c r="H132" s="1098" t="s">
        <v>1707</v>
      </c>
      <c r="I132" s="1098" t="s">
        <v>1708</v>
      </c>
      <c r="J132" s="1098" t="s">
        <v>1771</v>
      </c>
    </row>
    <row r="133" spans="1:10" ht="14.95" customHeight="1" thickBot="1">
      <c r="A133" s="1117" t="s">
        <v>1710</v>
      </c>
      <c r="B133" s="1117" t="s">
        <v>541</v>
      </c>
      <c r="C133" s="1117" t="s">
        <v>540</v>
      </c>
      <c r="D133" s="1117" t="s">
        <v>326</v>
      </c>
      <c r="E133" s="1117" t="s">
        <v>1711</v>
      </c>
      <c r="F133" s="1117" t="s">
        <v>1712</v>
      </c>
      <c r="G133" s="1117" t="s">
        <v>1713</v>
      </c>
      <c r="H133" s="1117" t="s">
        <v>1711</v>
      </c>
      <c r="I133" s="1117" t="s">
        <v>326</v>
      </c>
      <c r="J133" s="1117" t="s">
        <v>1770</v>
      </c>
    </row>
    <row r="134" spans="1:10" ht="14.95" customHeight="1">
      <c r="B134" s="1120"/>
    </row>
    <row r="135" spans="1:10" ht="14.95" customHeight="1">
      <c r="A135" s="1097">
        <v>1</v>
      </c>
      <c r="B135" s="1105">
        <v>2013</v>
      </c>
      <c r="C135" s="1098" t="s">
        <v>1714</v>
      </c>
      <c r="D135" s="1116"/>
      <c r="F135" s="1115"/>
      <c r="I135" s="1097">
        <f>+D135</f>
        <v>0</v>
      </c>
    </row>
    <row r="136" spans="1:10" ht="14.95" customHeight="1">
      <c r="A136" s="1106"/>
      <c r="B136" s="1112"/>
      <c r="C136" s="1111"/>
      <c r="D136" s="1106"/>
      <c r="E136" s="1106"/>
      <c r="F136" s="1114"/>
      <c r="G136" s="1106"/>
      <c r="H136" s="1106"/>
      <c r="I136" s="1106"/>
      <c r="J136" s="1106"/>
    </row>
    <row r="137" spans="1:10" ht="14.95" customHeight="1">
      <c r="A137" s="1106">
        <v>2</v>
      </c>
      <c r="B137" s="1112">
        <v>2014</v>
      </c>
      <c r="C137" s="1111" t="s">
        <v>374</v>
      </c>
      <c r="D137" s="1113"/>
      <c r="E137" s="1110">
        <f>+D137-D135</f>
        <v>0</v>
      </c>
      <c r="F137" s="1108">
        <v>335</v>
      </c>
      <c r="G137" s="1107">
        <f t="shared" ref="G137:G148" si="8">+F137/365</f>
        <v>0.9178082191780822</v>
      </c>
      <c r="H137" s="1106">
        <f t="shared" ref="H137:H148" si="9">ROUND(E137*G137,0)</f>
        <v>0</v>
      </c>
      <c r="I137" s="1106">
        <f>I135+H137</f>
        <v>0</v>
      </c>
      <c r="J137" s="1106"/>
    </row>
    <row r="138" spans="1:10" ht="14.95" customHeight="1">
      <c r="A138" s="1106">
        <v>3</v>
      </c>
      <c r="B138" s="1112">
        <v>2014</v>
      </c>
      <c r="C138" s="1111" t="s">
        <v>375</v>
      </c>
      <c r="D138" s="1113"/>
      <c r="E138" s="1110">
        <f t="shared" ref="E138:E148" si="10">+D138-D137</f>
        <v>0</v>
      </c>
      <c r="F138" s="1108">
        <v>307</v>
      </c>
      <c r="G138" s="1107">
        <f t="shared" si="8"/>
        <v>0.84109589041095889</v>
      </c>
      <c r="H138" s="1106">
        <f t="shared" si="9"/>
        <v>0</v>
      </c>
      <c r="I138" s="1106">
        <f t="shared" ref="I138:I148" si="11">I137+H138</f>
        <v>0</v>
      </c>
      <c r="J138" s="1106"/>
    </row>
    <row r="139" spans="1:10" ht="14.95" customHeight="1">
      <c r="A139" s="1106">
        <v>4</v>
      </c>
      <c r="B139" s="1112">
        <v>2014</v>
      </c>
      <c r="C139" s="1111" t="s">
        <v>376</v>
      </c>
      <c r="D139" s="1113"/>
      <c r="E139" s="1110">
        <f t="shared" si="10"/>
        <v>0</v>
      </c>
      <c r="F139" s="1108">
        <v>276</v>
      </c>
      <c r="G139" s="1107">
        <f t="shared" si="8"/>
        <v>0.75616438356164384</v>
      </c>
      <c r="H139" s="1106">
        <f t="shared" si="9"/>
        <v>0</v>
      </c>
      <c r="I139" s="1106">
        <f t="shared" si="11"/>
        <v>0</v>
      </c>
      <c r="J139" s="1106"/>
    </row>
    <row r="140" spans="1:10" ht="14.95" customHeight="1">
      <c r="A140" s="1106">
        <v>5</v>
      </c>
      <c r="B140" s="1112">
        <v>2014</v>
      </c>
      <c r="C140" s="1111" t="s">
        <v>377</v>
      </c>
      <c r="D140" s="1113"/>
      <c r="E140" s="1110">
        <f t="shared" si="10"/>
        <v>0</v>
      </c>
      <c r="F140" s="1108">
        <v>246</v>
      </c>
      <c r="G140" s="1107">
        <f t="shared" si="8"/>
        <v>0.67397260273972603</v>
      </c>
      <c r="H140" s="1106">
        <f t="shared" si="9"/>
        <v>0</v>
      </c>
      <c r="I140" s="1106">
        <f t="shared" si="11"/>
        <v>0</v>
      </c>
      <c r="J140" s="1106"/>
    </row>
    <row r="141" spans="1:10" ht="14.95" customHeight="1">
      <c r="A141" s="1106">
        <v>6</v>
      </c>
      <c r="B141" s="1112">
        <v>2014</v>
      </c>
      <c r="C141" s="1111" t="s">
        <v>379</v>
      </c>
      <c r="D141" s="1113"/>
      <c r="E141" s="1110">
        <f t="shared" si="10"/>
        <v>0</v>
      </c>
      <c r="F141" s="1108">
        <v>215</v>
      </c>
      <c r="G141" s="1107">
        <f t="shared" si="8"/>
        <v>0.58904109589041098</v>
      </c>
      <c r="H141" s="1106">
        <f t="shared" si="9"/>
        <v>0</v>
      </c>
      <c r="I141" s="1106">
        <f t="shared" si="11"/>
        <v>0</v>
      </c>
      <c r="J141" s="1106"/>
    </row>
    <row r="142" spans="1:10" ht="14.95" customHeight="1">
      <c r="A142" s="1106">
        <v>7</v>
      </c>
      <c r="B142" s="1112">
        <v>2014</v>
      </c>
      <c r="C142" s="1111" t="s">
        <v>380</v>
      </c>
      <c r="D142" s="1113"/>
      <c r="E142" s="1110">
        <f t="shared" si="10"/>
        <v>0</v>
      </c>
      <c r="F142" s="1108">
        <v>185</v>
      </c>
      <c r="G142" s="1107">
        <f t="shared" si="8"/>
        <v>0.50684931506849318</v>
      </c>
      <c r="H142" s="1106">
        <f t="shared" si="9"/>
        <v>0</v>
      </c>
      <c r="I142" s="1106">
        <f t="shared" si="11"/>
        <v>0</v>
      </c>
      <c r="J142" s="1106"/>
    </row>
    <row r="143" spans="1:10" ht="14.95" customHeight="1">
      <c r="A143" s="1106">
        <v>8</v>
      </c>
      <c r="B143" s="1112">
        <v>2014</v>
      </c>
      <c r="C143" s="1111" t="s">
        <v>381</v>
      </c>
      <c r="D143" s="1113"/>
      <c r="E143" s="1110">
        <f t="shared" si="10"/>
        <v>0</v>
      </c>
      <c r="F143" s="1108">
        <v>154</v>
      </c>
      <c r="G143" s="1107">
        <f t="shared" si="8"/>
        <v>0.42191780821917807</v>
      </c>
      <c r="H143" s="1106">
        <f t="shared" si="9"/>
        <v>0</v>
      </c>
      <c r="I143" s="1106">
        <f t="shared" si="11"/>
        <v>0</v>
      </c>
      <c r="J143" s="1106"/>
    </row>
    <row r="144" spans="1:10" ht="14.95" customHeight="1">
      <c r="A144" s="1106">
        <v>9</v>
      </c>
      <c r="B144" s="1112">
        <v>2014</v>
      </c>
      <c r="C144" s="1111" t="s">
        <v>382</v>
      </c>
      <c r="D144" s="1113"/>
      <c r="E144" s="1110">
        <f t="shared" si="10"/>
        <v>0</v>
      </c>
      <c r="F144" s="1108">
        <v>123</v>
      </c>
      <c r="G144" s="1107">
        <f t="shared" si="8"/>
        <v>0.33698630136986302</v>
      </c>
      <c r="H144" s="1106">
        <f t="shared" si="9"/>
        <v>0</v>
      </c>
      <c r="I144" s="1106">
        <f t="shared" si="11"/>
        <v>0</v>
      </c>
      <c r="J144" s="1106"/>
    </row>
    <row r="145" spans="1:10" ht="14.95" customHeight="1">
      <c r="A145" s="1106">
        <v>10</v>
      </c>
      <c r="B145" s="1112">
        <v>2014</v>
      </c>
      <c r="C145" s="1111" t="s">
        <v>383</v>
      </c>
      <c r="D145" s="1113"/>
      <c r="E145" s="1110">
        <f t="shared" si="10"/>
        <v>0</v>
      </c>
      <c r="F145" s="1108">
        <v>93</v>
      </c>
      <c r="G145" s="1107">
        <f t="shared" si="8"/>
        <v>0.25479452054794521</v>
      </c>
      <c r="H145" s="1106">
        <f t="shared" si="9"/>
        <v>0</v>
      </c>
      <c r="I145" s="1106">
        <f t="shared" si="11"/>
        <v>0</v>
      </c>
      <c r="J145" s="1106"/>
    </row>
    <row r="146" spans="1:10" ht="14.95" customHeight="1">
      <c r="A146" s="1106">
        <v>11</v>
      </c>
      <c r="B146" s="1112">
        <v>2014</v>
      </c>
      <c r="C146" s="1111" t="s">
        <v>384</v>
      </c>
      <c r="D146" s="1113"/>
      <c r="E146" s="1110">
        <f t="shared" si="10"/>
        <v>0</v>
      </c>
      <c r="F146" s="1108">
        <v>62</v>
      </c>
      <c r="G146" s="1107">
        <f t="shared" si="8"/>
        <v>0.16986301369863013</v>
      </c>
      <c r="H146" s="1106">
        <f t="shared" si="9"/>
        <v>0</v>
      </c>
      <c r="I146" s="1106">
        <f t="shared" si="11"/>
        <v>0</v>
      </c>
      <c r="J146" s="1106"/>
    </row>
    <row r="147" spans="1:10" ht="14.95" customHeight="1">
      <c r="A147" s="1106">
        <v>12</v>
      </c>
      <c r="B147" s="1112">
        <v>2014</v>
      </c>
      <c r="C147" s="1111" t="s">
        <v>385</v>
      </c>
      <c r="D147" s="1113"/>
      <c r="E147" s="1110">
        <f t="shared" si="10"/>
        <v>0</v>
      </c>
      <c r="F147" s="1108">
        <v>32</v>
      </c>
      <c r="G147" s="1107">
        <f t="shared" si="8"/>
        <v>8.7671232876712329E-2</v>
      </c>
      <c r="H147" s="1106">
        <f t="shared" si="9"/>
        <v>0</v>
      </c>
      <c r="I147" s="1106">
        <f t="shared" si="11"/>
        <v>0</v>
      </c>
      <c r="J147" s="1106"/>
    </row>
    <row r="148" spans="1:10" ht="14.95" customHeight="1">
      <c r="A148" s="1106">
        <v>13</v>
      </c>
      <c r="B148" s="1112">
        <v>2014</v>
      </c>
      <c r="C148" s="1111" t="s">
        <v>1714</v>
      </c>
      <c r="D148" s="1113"/>
      <c r="E148" s="1110">
        <f t="shared" si="10"/>
        <v>0</v>
      </c>
      <c r="F148" s="1108">
        <v>1</v>
      </c>
      <c r="G148" s="1107">
        <f t="shared" si="8"/>
        <v>2.7397260273972603E-3</v>
      </c>
      <c r="H148" s="1106">
        <f t="shared" si="9"/>
        <v>0</v>
      </c>
      <c r="I148" s="1106">
        <f t="shared" si="11"/>
        <v>0</v>
      </c>
      <c r="J148" s="1106"/>
    </row>
    <row r="149" spans="1:10" ht="14.95" customHeight="1">
      <c r="A149" s="1106"/>
      <c r="B149" s="1112"/>
      <c r="C149" s="1111"/>
      <c r="D149" s="1110"/>
      <c r="E149" s="1109"/>
      <c r="F149" s="1108"/>
      <c r="G149" s="1107"/>
      <c r="H149" s="1106"/>
      <c r="I149" s="1106"/>
      <c r="J149" s="1106"/>
    </row>
    <row r="150" spans="1:10" ht="14.95" customHeight="1">
      <c r="A150" s="1097">
        <v>14</v>
      </c>
      <c r="B150" s="1105"/>
      <c r="D150" s="1101"/>
      <c r="E150" s="1104"/>
      <c r="F150" s="1103"/>
      <c r="G150" s="1074"/>
      <c r="I150" s="1099" t="s">
        <v>1769</v>
      </c>
      <c r="J150" s="1097">
        <f>+(D135+D140)/2</f>
        <v>0</v>
      </c>
    </row>
    <row r="151" spans="1:10" ht="14.95" customHeight="1">
      <c r="A151" s="1097">
        <v>15</v>
      </c>
      <c r="B151" s="1105"/>
      <c r="D151" s="1101"/>
      <c r="E151" s="1104"/>
      <c r="F151" s="1103"/>
      <c r="G151" s="1074"/>
      <c r="I151" s="1099" t="s">
        <v>1768</v>
      </c>
      <c r="J151" s="1102">
        <f>(4)/(12)</f>
        <v>0.33333333333333331</v>
      </c>
    </row>
    <row r="152" spans="1:10" ht="14.95" customHeight="1">
      <c r="A152" s="1097">
        <v>16</v>
      </c>
      <c r="B152" s="1105"/>
      <c r="D152" s="1101"/>
      <c r="E152" s="1104"/>
      <c r="F152" s="1103"/>
      <c r="G152" s="1074"/>
      <c r="I152" s="1099" t="s">
        <v>1767</v>
      </c>
      <c r="J152" s="1097">
        <f>+J150*J151</f>
        <v>0</v>
      </c>
    </row>
    <row r="153" spans="1:10" ht="14.95" customHeight="1">
      <c r="B153" s="1105"/>
      <c r="D153" s="1101"/>
      <c r="E153" s="1104"/>
      <c r="F153" s="1103"/>
      <c r="G153" s="1074"/>
    </row>
    <row r="154" spans="1:10" ht="14.95" customHeight="1">
      <c r="A154" s="1097">
        <v>17</v>
      </c>
      <c r="B154" s="1101"/>
      <c r="C154" s="1097"/>
      <c r="E154" s="1099"/>
      <c r="F154" s="1100"/>
      <c r="I154" s="1099" t="s">
        <v>1766</v>
      </c>
      <c r="J154" s="1097">
        <f>AVERAGE(I140:I148)</f>
        <v>0</v>
      </c>
    </row>
    <row r="155" spans="1:10" ht="14.95" customHeight="1">
      <c r="A155" s="1097">
        <v>18</v>
      </c>
      <c r="B155" s="1101"/>
      <c r="C155" s="1097"/>
      <c r="E155" s="1099"/>
      <c r="F155" s="1100"/>
      <c r="I155" s="1099" t="s">
        <v>1765</v>
      </c>
      <c r="J155" s="1102">
        <f>(8)/(12)</f>
        <v>0.66666666666666663</v>
      </c>
    </row>
    <row r="156" spans="1:10" ht="14.95" customHeight="1">
      <c r="A156" s="1097">
        <v>19</v>
      </c>
      <c r="B156" s="1101"/>
      <c r="C156" s="1097"/>
      <c r="E156" s="1099"/>
      <c r="F156" s="1100"/>
      <c r="I156" s="1099" t="s">
        <v>1764</v>
      </c>
      <c r="J156" s="1097">
        <f>+J154*J155</f>
        <v>0</v>
      </c>
    </row>
    <row r="157" spans="1:10" ht="14.95" customHeight="1">
      <c r="B157" s="1101"/>
      <c r="C157" s="1097"/>
      <c r="E157" s="1099"/>
      <c r="F157" s="1100"/>
    </row>
    <row r="158" spans="1:10" ht="14.95" customHeight="1">
      <c r="A158" s="1097">
        <v>20</v>
      </c>
      <c r="B158" s="1101"/>
      <c r="C158" s="1097"/>
      <c r="E158" s="1099"/>
      <c r="F158" s="1100"/>
      <c r="I158" s="1099" t="s">
        <v>1776</v>
      </c>
      <c r="J158" s="1097">
        <f>+J152+J156</f>
        <v>0</v>
      </c>
    </row>
    <row r="159" spans="1:10" ht="14.95" customHeight="1">
      <c r="B159" s="1101"/>
      <c r="C159" s="1097"/>
      <c r="E159" s="1099"/>
      <c r="F159" s="1100"/>
      <c r="I159" s="1099"/>
    </row>
    <row r="160" spans="1:10" ht="14.95" customHeight="1">
      <c r="B160" s="1101"/>
      <c r="C160" s="1097"/>
      <c r="E160" s="1099"/>
      <c r="F160" s="1100"/>
      <c r="I160" s="1099"/>
    </row>
    <row r="161" spans="1:10" ht="14.95" customHeight="1">
      <c r="A161" s="1174" t="s">
        <v>1775</v>
      </c>
      <c r="B161" s="1175"/>
      <c r="C161" s="1175"/>
      <c r="D161" s="1175"/>
      <c r="E161" s="1175"/>
      <c r="F161" s="1175"/>
      <c r="G161" s="1175"/>
      <c r="H161" s="1175"/>
      <c r="I161" s="1175"/>
      <c r="J161" s="1175"/>
    </row>
    <row r="162" spans="1:10" ht="14.95" customHeight="1">
      <c r="A162" s="1180" t="s">
        <v>1774</v>
      </c>
      <c r="B162" s="1181"/>
      <c r="C162" s="1181"/>
      <c r="D162" s="1181"/>
      <c r="E162" s="1181"/>
      <c r="F162" s="1181"/>
      <c r="G162" s="1181"/>
      <c r="H162" s="1181"/>
      <c r="I162" s="1181"/>
      <c r="J162" s="1181"/>
    </row>
    <row r="163" spans="1:10" ht="14.95" customHeight="1">
      <c r="A163" s="1059" t="s">
        <v>1758</v>
      </c>
      <c r="J163" s="1061"/>
    </row>
    <row r="164" spans="1:10" ht="14.95" customHeight="1">
      <c r="A164" s="1059"/>
      <c r="J164" s="1061"/>
    </row>
    <row r="165" spans="1:10" ht="14.95" customHeight="1">
      <c r="A165" s="1096" t="s">
        <v>1773</v>
      </c>
      <c r="J165" s="1061"/>
    </row>
    <row r="166" spans="1:10" ht="14.95" customHeight="1">
      <c r="A166" s="1097" t="s">
        <v>1772</v>
      </c>
      <c r="J166" s="1061"/>
    </row>
    <row r="167" spans="1:10" ht="14.95" customHeight="1"/>
    <row r="168" spans="1:10" ht="14.95" customHeight="1">
      <c r="A168" s="1174" t="s">
        <v>1759</v>
      </c>
      <c r="B168" s="1175"/>
      <c r="C168" s="1175"/>
      <c r="D168" s="1175"/>
      <c r="E168" s="1175"/>
      <c r="F168" s="1175"/>
      <c r="G168" s="1175"/>
      <c r="H168" s="1175"/>
      <c r="I168" s="1175"/>
      <c r="J168" s="1175"/>
    </row>
    <row r="169" spans="1:10" ht="14.95" customHeight="1">
      <c r="A169" s="1119"/>
      <c r="B169" s="1059"/>
      <c r="C169" s="1059"/>
      <c r="D169" s="1059"/>
      <c r="E169" s="1059"/>
      <c r="F169" s="1059"/>
      <c r="G169" s="1059"/>
      <c r="H169" s="1059"/>
      <c r="I169" s="1059"/>
      <c r="J169" s="1059"/>
    </row>
    <row r="170" spans="1:10" ht="14.95" customHeight="1">
      <c r="A170" s="1119"/>
      <c r="B170" s="1118" t="s">
        <v>1698</v>
      </c>
      <c r="C170" s="1118" t="s">
        <v>1699</v>
      </c>
      <c r="D170" s="1118" t="s">
        <v>1700</v>
      </c>
      <c r="E170" s="1118" t="s">
        <v>1701</v>
      </c>
      <c r="F170" s="1118" t="s">
        <v>1702</v>
      </c>
      <c r="G170" s="1118" t="s">
        <v>1703</v>
      </c>
      <c r="H170" s="1118" t="s">
        <v>1704</v>
      </c>
      <c r="I170" s="1118" t="s">
        <v>1705</v>
      </c>
      <c r="J170" s="1118">
        <v>-9</v>
      </c>
    </row>
    <row r="171" spans="1:10" ht="14.95" customHeight="1">
      <c r="D171" s="1098" t="s">
        <v>1755</v>
      </c>
      <c r="I171" s="1099"/>
    </row>
    <row r="172" spans="1:10" ht="14.95" customHeight="1">
      <c r="D172" s="1098" t="s">
        <v>1760</v>
      </c>
      <c r="F172" s="1098" t="s">
        <v>1706</v>
      </c>
      <c r="G172" s="1118"/>
      <c r="H172" s="1098" t="s">
        <v>1707</v>
      </c>
      <c r="I172" s="1098" t="s">
        <v>1708</v>
      </c>
      <c r="J172" s="1098" t="s">
        <v>1771</v>
      </c>
    </row>
    <row r="173" spans="1:10" ht="14.95" customHeight="1" thickBot="1">
      <c r="A173" s="1117" t="s">
        <v>1710</v>
      </c>
      <c r="B173" s="1117" t="s">
        <v>541</v>
      </c>
      <c r="C173" s="1117" t="s">
        <v>540</v>
      </c>
      <c r="D173" s="1117" t="s">
        <v>326</v>
      </c>
      <c r="E173" s="1117" t="s">
        <v>1711</v>
      </c>
      <c r="F173" s="1117" t="s">
        <v>1712</v>
      </c>
      <c r="G173" s="1117" t="s">
        <v>1713</v>
      </c>
      <c r="H173" s="1117" t="s">
        <v>1711</v>
      </c>
      <c r="I173" s="1117" t="s">
        <v>326</v>
      </c>
      <c r="J173" s="1117" t="s">
        <v>1770</v>
      </c>
    </row>
    <row r="174" spans="1:10" ht="14.95" customHeight="1"/>
    <row r="175" spans="1:10" ht="14.95" customHeight="1">
      <c r="A175" s="1097">
        <v>1</v>
      </c>
      <c r="B175" s="1105">
        <v>2013</v>
      </c>
      <c r="C175" s="1098" t="s">
        <v>1714</v>
      </c>
      <c r="D175" s="1116"/>
      <c r="F175" s="1115"/>
      <c r="I175" s="1097">
        <f>+D175</f>
        <v>0</v>
      </c>
    </row>
    <row r="176" spans="1:10" ht="14.95" customHeight="1">
      <c r="A176" s="1106"/>
      <c r="B176" s="1112"/>
      <c r="C176" s="1111"/>
      <c r="D176" s="1106"/>
      <c r="E176" s="1106"/>
      <c r="F176" s="1114"/>
      <c r="G176" s="1106"/>
      <c r="H176" s="1106"/>
      <c r="I176" s="1106"/>
      <c r="J176" s="1106"/>
    </row>
    <row r="177" spans="1:10" ht="14.95" customHeight="1">
      <c r="A177" s="1106">
        <v>2</v>
      </c>
      <c r="B177" s="1112">
        <v>2014</v>
      </c>
      <c r="C177" s="1111" t="s">
        <v>374</v>
      </c>
      <c r="D177" s="1113"/>
      <c r="E177" s="1110">
        <f>+D177-D175</f>
        <v>0</v>
      </c>
      <c r="F177" s="1108">
        <v>335</v>
      </c>
      <c r="G177" s="1107">
        <f t="shared" ref="G177:G188" si="12">+F177/365</f>
        <v>0.9178082191780822</v>
      </c>
      <c r="H177" s="1106">
        <f t="shared" ref="H177:H188" si="13">ROUND(E177*G177,0)</f>
        <v>0</v>
      </c>
      <c r="I177" s="1106">
        <f>I175+H177</f>
        <v>0</v>
      </c>
      <c r="J177" s="1106"/>
    </row>
    <row r="178" spans="1:10" ht="14.95" customHeight="1">
      <c r="A178" s="1106">
        <v>3</v>
      </c>
      <c r="B178" s="1112">
        <v>2014</v>
      </c>
      <c r="C178" s="1111" t="s">
        <v>375</v>
      </c>
      <c r="D178" s="1113"/>
      <c r="E178" s="1110">
        <f t="shared" ref="E178:E188" si="14">+D178-D177</f>
        <v>0</v>
      </c>
      <c r="F178" s="1108">
        <v>307</v>
      </c>
      <c r="G178" s="1107">
        <f t="shared" si="12"/>
        <v>0.84109589041095889</v>
      </c>
      <c r="H178" s="1106">
        <f t="shared" si="13"/>
        <v>0</v>
      </c>
      <c r="I178" s="1106">
        <f t="shared" ref="I178:I188" si="15">I177+H178</f>
        <v>0</v>
      </c>
      <c r="J178" s="1106"/>
    </row>
    <row r="179" spans="1:10" ht="14.95" customHeight="1">
      <c r="A179" s="1106">
        <v>4</v>
      </c>
      <c r="B179" s="1112">
        <v>2014</v>
      </c>
      <c r="C179" s="1111" t="s">
        <v>376</v>
      </c>
      <c r="D179" s="1113"/>
      <c r="E179" s="1110">
        <f t="shared" si="14"/>
        <v>0</v>
      </c>
      <c r="F179" s="1108">
        <v>276</v>
      </c>
      <c r="G179" s="1107">
        <f t="shared" si="12"/>
        <v>0.75616438356164384</v>
      </c>
      <c r="H179" s="1106">
        <f t="shared" si="13"/>
        <v>0</v>
      </c>
      <c r="I179" s="1106">
        <f t="shared" si="15"/>
        <v>0</v>
      </c>
      <c r="J179" s="1106"/>
    </row>
    <row r="180" spans="1:10" ht="14.95" customHeight="1">
      <c r="A180" s="1106">
        <v>5</v>
      </c>
      <c r="B180" s="1112">
        <v>2014</v>
      </c>
      <c r="C180" s="1111" t="s">
        <v>377</v>
      </c>
      <c r="D180" s="1113"/>
      <c r="E180" s="1110">
        <f t="shared" si="14"/>
        <v>0</v>
      </c>
      <c r="F180" s="1108">
        <v>246</v>
      </c>
      <c r="G180" s="1107">
        <f t="shared" si="12"/>
        <v>0.67397260273972603</v>
      </c>
      <c r="H180" s="1106">
        <f t="shared" si="13"/>
        <v>0</v>
      </c>
      <c r="I180" s="1106">
        <f t="shared" si="15"/>
        <v>0</v>
      </c>
      <c r="J180" s="1106"/>
    </row>
    <row r="181" spans="1:10" ht="14.95" customHeight="1">
      <c r="A181" s="1106">
        <v>6</v>
      </c>
      <c r="B181" s="1112">
        <v>2014</v>
      </c>
      <c r="C181" s="1111" t="s">
        <v>379</v>
      </c>
      <c r="D181" s="1113"/>
      <c r="E181" s="1110">
        <f t="shared" si="14"/>
        <v>0</v>
      </c>
      <c r="F181" s="1108">
        <v>215</v>
      </c>
      <c r="G181" s="1107">
        <f t="shared" si="12"/>
        <v>0.58904109589041098</v>
      </c>
      <c r="H181" s="1106">
        <f t="shared" si="13"/>
        <v>0</v>
      </c>
      <c r="I181" s="1106">
        <f t="shared" si="15"/>
        <v>0</v>
      </c>
      <c r="J181" s="1106"/>
    </row>
    <row r="182" spans="1:10" ht="14.95" customHeight="1">
      <c r="A182" s="1106">
        <v>7</v>
      </c>
      <c r="B182" s="1112">
        <v>2014</v>
      </c>
      <c r="C182" s="1111" t="s">
        <v>380</v>
      </c>
      <c r="D182" s="1113"/>
      <c r="E182" s="1110">
        <f t="shared" si="14"/>
        <v>0</v>
      </c>
      <c r="F182" s="1108">
        <v>185</v>
      </c>
      <c r="G182" s="1107">
        <f t="shared" si="12"/>
        <v>0.50684931506849318</v>
      </c>
      <c r="H182" s="1106">
        <f t="shared" si="13"/>
        <v>0</v>
      </c>
      <c r="I182" s="1106">
        <f t="shared" si="15"/>
        <v>0</v>
      </c>
      <c r="J182" s="1106"/>
    </row>
    <row r="183" spans="1:10" ht="14.95" customHeight="1">
      <c r="A183" s="1106">
        <v>8</v>
      </c>
      <c r="B183" s="1112">
        <v>2014</v>
      </c>
      <c r="C183" s="1111" t="s">
        <v>381</v>
      </c>
      <c r="D183" s="1113"/>
      <c r="E183" s="1110">
        <f t="shared" si="14"/>
        <v>0</v>
      </c>
      <c r="F183" s="1108">
        <v>154</v>
      </c>
      <c r="G183" s="1107">
        <f t="shared" si="12"/>
        <v>0.42191780821917807</v>
      </c>
      <c r="H183" s="1106">
        <f t="shared" si="13"/>
        <v>0</v>
      </c>
      <c r="I183" s="1106">
        <f t="shared" si="15"/>
        <v>0</v>
      </c>
      <c r="J183" s="1106"/>
    </row>
    <row r="184" spans="1:10" ht="14.95" customHeight="1">
      <c r="A184" s="1106">
        <v>9</v>
      </c>
      <c r="B184" s="1112">
        <v>2014</v>
      </c>
      <c r="C184" s="1111" t="s">
        <v>382</v>
      </c>
      <c r="D184" s="1113"/>
      <c r="E184" s="1110">
        <f t="shared" si="14"/>
        <v>0</v>
      </c>
      <c r="F184" s="1108">
        <v>123</v>
      </c>
      <c r="G184" s="1107">
        <f t="shared" si="12"/>
        <v>0.33698630136986302</v>
      </c>
      <c r="H184" s="1106">
        <f t="shared" si="13"/>
        <v>0</v>
      </c>
      <c r="I184" s="1106">
        <f t="shared" si="15"/>
        <v>0</v>
      </c>
      <c r="J184" s="1106"/>
    </row>
    <row r="185" spans="1:10" ht="14.95" customHeight="1">
      <c r="A185" s="1106">
        <v>10</v>
      </c>
      <c r="B185" s="1112">
        <v>2014</v>
      </c>
      <c r="C185" s="1111" t="s">
        <v>383</v>
      </c>
      <c r="D185" s="1113"/>
      <c r="E185" s="1110">
        <f t="shared" si="14"/>
        <v>0</v>
      </c>
      <c r="F185" s="1108">
        <v>93</v>
      </c>
      <c r="G185" s="1107">
        <f t="shared" si="12"/>
        <v>0.25479452054794521</v>
      </c>
      <c r="H185" s="1106">
        <f t="shared" si="13"/>
        <v>0</v>
      </c>
      <c r="I185" s="1106">
        <f t="shared" si="15"/>
        <v>0</v>
      </c>
      <c r="J185" s="1106"/>
    </row>
    <row r="186" spans="1:10" ht="14.95" customHeight="1">
      <c r="A186" s="1106">
        <v>11</v>
      </c>
      <c r="B186" s="1112">
        <v>2014</v>
      </c>
      <c r="C186" s="1111" t="s">
        <v>384</v>
      </c>
      <c r="D186" s="1113"/>
      <c r="E186" s="1110">
        <f t="shared" si="14"/>
        <v>0</v>
      </c>
      <c r="F186" s="1108">
        <v>62</v>
      </c>
      <c r="G186" s="1107">
        <f t="shared" si="12"/>
        <v>0.16986301369863013</v>
      </c>
      <c r="H186" s="1106">
        <f t="shared" si="13"/>
        <v>0</v>
      </c>
      <c r="I186" s="1106">
        <f t="shared" si="15"/>
        <v>0</v>
      </c>
      <c r="J186" s="1106"/>
    </row>
    <row r="187" spans="1:10" ht="14.95" customHeight="1">
      <c r="A187" s="1106">
        <v>12</v>
      </c>
      <c r="B187" s="1112">
        <v>2014</v>
      </c>
      <c r="C187" s="1111" t="s">
        <v>385</v>
      </c>
      <c r="D187" s="1113"/>
      <c r="E187" s="1110">
        <f t="shared" si="14"/>
        <v>0</v>
      </c>
      <c r="F187" s="1108">
        <v>32</v>
      </c>
      <c r="G187" s="1107">
        <f t="shared" si="12"/>
        <v>8.7671232876712329E-2</v>
      </c>
      <c r="H187" s="1106">
        <f t="shared" si="13"/>
        <v>0</v>
      </c>
      <c r="I187" s="1106">
        <f t="shared" si="15"/>
        <v>0</v>
      </c>
      <c r="J187" s="1106"/>
    </row>
    <row r="188" spans="1:10" ht="14.95" customHeight="1">
      <c r="A188" s="1106">
        <v>13</v>
      </c>
      <c r="B188" s="1112">
        <v>2014</v>
      </c>
      <c r="C188" s="1111" t="s">
        <v>1714</v>
      </c>
      <c r="D188" s="1113"/>
      <c r="E188" s="1110">
        <f t="shared" si="14"/>
        <v>0</v>
      </c>
      <c r="F188" s="1108">
        <v>1</v>
      </c>
      <c r="G188" s="1107">
        <f t="shared" si="12"/>
        <v>2.7397260273972603E-3</v>
      </c>
      <c r="H188" s="1106">
        <f t="shared" si="13"/>
        <v>0</v>
      </c>
      <c r="I188" s="1106">
        <f t="shared" si="15"/>
        <v>0</v>
      </c>
      <c r="J188" s="1106"/>
    </row>
    <row r="189" spans="1:10" ht="14.95" customHeight="1">
      <c r="A189" s="1106"/>
      <c r="B189" s="1112"/>
      <c r="C189" s="1111"/>
      <c r="D189" s="1110"/>
      <c r="E189" s="1109"/>
      <c r="F189" s="1108"/>
      <c r="G189" s="1107"/>
      <c r="H189" s="1106"/>
      <c r="I189" s="1106"/>
      <c r="J189" s="1106"/>
    </row>
    <row r="190" spans="1:10" ht="14.95" customHeight="1">
      <c r="A190" s="1097">
        <v>14</v>
      </c>
      <c r="B190" s="1105"/>
      <c r="D190" s="1101"/>
      <c r="E190" s="1104"/>
      <c r="F190" s="1103"/>
      <c r="G190" s="1074"/>
      <c r="I190" s="1099" t="s">
        <v>1769</v>
      </c>
      <c r="J190" s="1097">
        <f>+(D175+D180)/2</f>
        <v>0</v>
      </c>
    </row>
    <row r="191" spans="1:10" ht="14.95" customHeight="1">
      <c r="A191" s="1097">
        <v>15</v>
      </c>
      <c r="B191" s="1105"/>
      <c r="D191" s="1101"/>
      <c r="E191" s="1104"/>
      <c r="F191" s="1103"/>
      <c r="G191" s="1074"/>
      <c r="I191" s="1099" t="s">
        <v>1768</v>
      </c>
      <c r="J191" s="1102">
        <f>(4)/(12)</f>
        <v>0.33333333333333331</v>
      </c>
    </row>
    <row r="192" spans="1:10" ht="14.95" customHeight="1">
      <c r="A192" s="1097">
        <v>16</v>
      </c>
      <c r="B192" s="1105"/>
      <c r="D192" s="1101"/>
      <c r="E192" s="1104"/>
      <c r="F192" s="1103"/>
      <c r="G192" s="1074"/>
      <c r="I192" s="1099" t="s">
        <v>1767</v>
      </c>
      <c r="J192" s="1097">
        <f>+J190*J191</f>
        <v>0</v>
      </c>
    </row>
    <row r="193" spans="1:10" ht="14.95" customHeight="1">
      <c r="B193" s="1105"/>
      <c r="D193" s="1101"/>
      <c r="E193" s="1104"/>
      <c r="F193" s="1103"/>
      <c r="G193" s="1074"/>
    </row>
    <row r="194" spans="1:10" ht="14.95" customHeight="1">
      <c r="A194" s="1097">
        <v>17</v>
      </c>
      <c r="B194" s="1101"/>
      <c r="C194" s="1097"/>
      <c r="E194" s="1099"/>
      <c r="F194" s="1100"/>
      <c r="I194" s="1099" t="s">
        <v>1766</v>
      </c>
      <c r="J194" s="1097">
        <f>AVERAGE(I180:I188)</f>
        <v>0</v>
      </c>
    </row>
    <row r="195" spans="1:10" ht="14.95" customHeight="1">
      <c r="A195" s="1097">
        <v>18</v>
      </c>
      <c r="B195" s="1101"/>
      <c r="C195" s="1097"/>
      <c r="E195" s="1099"/>
      <c r="F195" s="1100"/>
      <c r="I195" s="1099" t="s">
        <v>1765</v>
      </c>
      <c r="J195" s="1102">
        <f>(8)/(12)</f>
        <v>0.66666666666666663</v>
      </c>
    </row>
    <row r="196" spans="1:10" ht="14.95" customHeight="1">
      <c r="A196" s="1097">
        <v>19</v>
      </c>
      <c r="B196" s="1101"/>
      <c r="C196" s="1097"/>
      <c r="E196" s="1099"/>
      <c r="F196" s="1100"/>
      <c r="I196" s="1099" t="s">
        <v>1764</v>
      </c>
      <c r="J196" s="1097">
        <f>+J194*J195</f>
        <v>0</v>
      </c>
    </row>
    <row r="197" spans="1:10" ht="14.95" customHeight="1">
      <c r="B197" s="1101"/>
      <c r="C197" s="1097"/>
      <c r="E197" s="1099"/>
      <c r="F197" s="1100"/>
    </row>
    <row r="198" spans="1:10" ht="14.95" customHeight="1">
      <c r="A198" s="1097">
        <v>20</v>
      </c>
      <c r="B198" s="1101"/>
      <c r="C198" s="1097"/>
      <c r="E198" s="1099"/>
      <c r="F198" s="1100"/>
      <c r="I198" s="1099" t="s">
        <v>1763</v>
      </c>
      <c r="J198" s="1097">
        <f>+J192+J196</f>
        <v>0</v>
      </c>
    </row>
    <row r="199" spans="1:10" ht="14.95" customHeight="1"/>
    <row r="200" spans="1:10" ht="14.95" customHeight="1"/>
    <row r="201" spans="1:10" ht="14.95" customHeight="1"/>
    <row r="202" spans="1:10" ht="14.95" customHeight="1"/>
    <row r="203" spans="1:10" ht="14.95" customHeight="1"/>
    <row r="204" spans="1:10" ht="14.95" customHeight="1"/>
    <row r="205" spans="1:10" ht="14.95" customHeight="1"/>
    <row r="206" spans="1:10" ht="14.95" customHeight="1"/>
    <row r="207" spans="1:10" ht="14.95" customHeight="1"/>
    <row r="208" spans="1:10" ht="14.95" customHeight="1"/>
    <row r="209" s="1097" customFormat="1" ht="14.95" customHeight="1"/>
    <row r="210" s="1097" customFormat="1" ht="14.95" customHeight="1"/>
    <row r="211" s="1097" customFormat="1" ht="14.95" customHeight="1"/>
    <row r="212" s="1097" customFormat="1" ht="14.95" customHeight="1"/>
    <row r="213" s="1097" customFormat="1" ht="14.95" customHeight="1"/>
    <row r="214" s="1097" customFormat="1" ht="14.95" customHeight="1"/>
    <row r="215" s="1097" customFormat="1" ht="14.95" customHeight="1"/>
    <row r="216" s="1097" customFormat="1" ht="14.95" customHeight="1"/>
    <row r="217" s="1097" customFormat="1" ht="14.95" customHeight="1"/>
    <row r="218" s="1097" customFormat="1" ht="14.95" customHeight="1"/>
    <row r="219" s="1097" customFormat="1" ht="14.95" customHeight="1"/>
    <row r="220" s="1097" customFormat="1" ht="14.95" customHeight="1"/>
    <row r="221" s="1097" customFormat="1" ht="14.95" customHeight="1"/>
    <row r="222" s="1097" customFormat="1" ht="14.95" customHeight="1"/>
    <row r="223" s="1097" customFormat="1" ht="14.95" customHeight="1"/>
    <row r="224" s="1097" customFormat="1" ht="14.95" customHeight="1"/>
    <row r="225" s="1097" customFormat="1" ht="14.95" customHeight="1"/>
    <row r="226" s="1097" customFormat="1" ht="14.95" customHeight="1"/>
    <row r="227" s="1097" customFormat="1" ht="14.95" customHeight="1"/>
    <row r="228" s="1097" customFormat="1" ht="14.95" customHeight="1"/>
    <row r="229" s="1097" customFormat="1" ht="14.95" customHeight="1"/>
    <row r="230" s="1097" customFormat="1" ht="14.95" customHeight="1"/>
    <row r="231" s="1097" customFormat="1" ht="14.95" customHeight="1"/>
    <row r="232" s="1097" customFormat="1" ht="14.95" customHeight="1"/>
    <row r="233" s="1097" customFormat="1" ht="14.95" customHeight="1"/>
    <row r="234" s="1097" customFormat="1" ht="14.95" customHeight="1"/>
    <row r="235" s="1097" customFormat="1" ht="14.95" customHeight="1"/>
    <row r="236" s="1097" customFormat="1" ht="14.95" customHeight="1"/>
    <row r="237" s="1097" customFormat="1" ht="14.95" customHeight="1"/>
    <row r="238" s="1097" customFormat="1" ht="14.95" customHeight="1"/>
    <row r="239" s="1097" customFormat="1" ht="14.95" customHeight="1"/>
    <row r="240" s="1097" customFormat="1" ht="14.95" customHeight="1"/>
    <row r="241" s="1097" customFormat="1" ht="14.95" customHeight="1"/>
    <row r="242" s="1097" customFormat="1" ht="14.95" customHeight="1"/>
    <row r="243" s="1097" customFormat="1" ht="14.95" customHeight="1"/>
    <row r="244" s="1097" customFormat="1" ht="14.95" customHeight="1"/>
    <row r="245" s="1097" customFormat="1" ht="14.95" customHeight="1"/>
    <row r="246" s="1097" customFormat="1" ht="14.95" customHeight="1"/>
    <row r="247" s="1097" customFormat="1" ht="14.95" customHeight="1"/>
    <row r="248" s="1097" customFormat="1" ht="14.95" customHeight="1"/>
    <row r="249" s="1097" customFormat="1" ht="14.95" customHeight="1"/>
    <row r="250" s="1097" customFormat="1" ht="14.95" customHeight="1"/>
    <row r="251" s="1097" customFormat="1" ht="14.95" customHeight="1"/>
    <row r="252" s="1097" customFormat="1" ht="14.95" customHeight="1"/>
    <row r="253" s="1097" customFormat="1" ht="14.95" customHeight="1"/>
    <row r="254" s="1097" customFormat="1" ht="14.95" customHeight="1"/>
    <row r="255" s="1097" customFormat="1" ht="14.95" customHeight="1"/>
    <row r="256" s="1097" customFormat="1" ht="14.95" customHeight="1"/>
    <row r="257" s="1097" customFormat="1" ht="14.95" customHeight="1"/>
    <row r="258" s="1097" customFormat="1" ht="14.95" customHeight="1"/>
    <row r="259" s="1097" customFormat="1" ht="14.95" customHeight="1"/>
  </sheetData>
  <mergeCells count="38">
    <mergeCell ref="A168:J168"/>
    <mergeCell ref="A116:B116"/>
    <mergeCell ref="C118:J118"/>
    <mergeCell ref="A111:B111"/>
    <mergeCell ref="A113:B113"/>
    <mergeCell ref="A121:J121"/>
    <mergeCell ref="A122:J122"/>
    <mergeCell ref="A161:J161"/>
    <mergeCell ref="A162:J162"/>
    <mergeCell ref="A128:J128"/>
    <mergeCell ref="A65:B65"/>
    <mergeCell ref="A66:B66"/>
    <mergeCell ref="C66:J66"/>
    <mergeCell ref="A68:B68"/>
    <mergeCell ref="A6:J6"/>
    <mergeCell ref="A8:J8"/>
    <mergeCell ref="A53:B53"/>
    <mergeCell ref="A54:B54"/>
    <mergeCell ref="A55:B55"/>
    <mergeCell ref="A12:J12"/>
    <mergeCell ref="A62:B62"/>
    <mergeCell ref="A59:B59"/>
    <mergeCell ref="A56:B56"/>
    <mergeCell ref="C56:J56"/>
    <mergeCell ref="A57:B57"/>
    <mergeCell ref="A1:J1"/>
    <mergeCell ref="A2:J2"/>
    <mergeCell ref="A3:J3"/>
    <mergeCell ref="A4:J4"/>
    <mergeCell ref="A5:J5"/>
    <mergeCell ref="A69:J69"/>
    <mergeCell ref="A70:J70"/>
    <mergeCell ref="A73:J73"/>
    <mergeCell ref="A107:B107"/>
    <mergeCell ref="C110:J110"/>
    <mergeCell ref="A108:B108"/>
    <mergeCell ref="A109:B109"/>
    <mergeCell ref="A110:B110"/>
  </mergeCells>
  <pageMargins left="0.56999999999999995" right="0.52" top="0.45" bottom="0.34" header="0.3" footer="0.3"/>
  <pageSetup scale="71" fitToHeight="2" orientation="portrait" r:id="rId1"/>
  <headerFooter>
    <oddHeader>&amp;R&amp;P of &amp;N</oddHeader>
  </headerFooter>
  <rowBreaks count="3" manualBreakCount="3">
    <brk id="68" max="9" man="1"/>
    <brk id="120" max="9" man="1"/>
    <brk id="160" max="9" man="1"/>
  </rowBreaks>
</worksheet>
</file>

<file path=xl/worksheets/sheet6.xml><?xml version="1.0" encoding="utf-8"?>
<worksheet xmlns="http://schemas.openxmlformats.org/spreadsheetml/2006/main" xmlns:r="http://schemas.openxmlformats.org/officeDocument/2006/relationships">
  <sheetPr codeName="Sheet3">
    <pageSetUpPr fitToPage="1"/>
  </sheetPr>
  <dimension ref="A1:S90"/>
  <sheetViews>
    <sheetView zoomScale="85" zoomScaleNormal="85" zoomScaleSheetLayoutView="70" workbookViewId="0">
      <selection activeCell="A3" sqref="A3:H3"/>
    </sheetView>
  </sheetViews>
  <sheetFormatPr defaultRowHeight="12.9"/>
  <cols>
    <col min="1" max="2" width="4.75" customWidth="1"/>
    <col min="3" max="3" width="59.875" customWidth="1"/>
    <col min="4" max="4" width="3.125" customWidth="1"/>
    <col min="5" max="5" width="14.375" style="132" customWidth="1"/>
    <col min="6" max="6" width="15.25" customWidth="1"/>
    <col min="7" max="7" width="12" customWidth="1"/>
    <col min="9" max="9" width="14.375" customWidth="1"/>
  </cols>
  <sheetData>
    <row r="1" spans="1:14" ht="18.350000000000001">
      <c r="A1" s="1160" t="str">
        <f>+'Appendix A'!A4</f>
        <v xml:space="preserve">Virginia Electric and Power Company  </v>
      </c>
      <c r="B1" s="1160"/>
      <c r="C1" s="1160"/>
      <c r="D1" s="1160"/>
      <c r="E1" s="1160"/>
      <c r="F1" s="1160"/>
      <c r="G1" s="1160"/>
      <c r="H1" s="1187"/>
      <c r="I1" s="167"/>
    </row>
    <row r="2" spans="1:14" ht="18.350000000000001">
      <c r="A2" s="1160" t="s">
        <v>880</v>
      </c>
      <c r="B2" s="1160"/>
      <c r="C2" s="1160"/>
      <c r="D2" s="1160"/>
      <c r="E2" s="1160"/>
      <c r="F2" s="1160"/>
      <c r="G2" s="1160"/>
      <c r="H2" s="1187"/>
      <c r="I2" s="155"/>
    </row>
    <row r="3" spans="1:14" ht="15.65">
      <c r="A3" s="1188" t="s">
        <v>462</v>
      </c>
      <c r="B3" s="1189"/>
      <c r="C3" s="1189"/>
      <c r="D3" s="1189"/>
      <c r="E3" s="1189"/>
      <c r="F3" s="1187"/>
      <c r="G3" s="1187"/>
      <c r="H3" s="1187"/>
      <c r="I3" s="167"/>
    </row>
    <row r="4" spans="1:14" ht="14.3">
      <c r="A4" s="1190" t="s">
        <v>1609</v>
      </c>
      <c r="B4" s="1190"/>
      <c r="C4" s="1190"/>
      <c r="D4" s="1190"/>
      <c r="E4" s="1190"/>
      <c r="F4" s="1190"/>
      <c r="G4" s="1190"/>
      <c r="H4" s="167"/>
      <c r="I4" s="167"/>
    </row>
    <row r="5" spans="1:14" ht="13.6">
      <c r="A5" s="167"/>
      <c r="B5" s="167"/>
      <c r="C5" s="167"/>
      <c r="D5" s="138"/>
      <c r="E5" s="286"/>
      <c r="F5" s="167"/>
      <c r="G5" s="167"/>
      <c r="H5" s="167"/>
      <c r="I5" s="167"/>
    </row>
    <row r="6" spans="1:14">
      <c r="A6" s="167"/>
      <c r="B6" s="167"/>
      <c r="C6" s="167"/>
      <c r="D6" s="167"/>
      <c r="E6" s="286"/>
      <c r="F6" s="167"/>
      <c r="G6" s="167"/>
      <c r="H6" s="167"/>
      <c r="I6" s="167"/>
    </row>
    <row r="7" spans="1:14">
      <c r="A7" s="167"/>
      <c r="B7" s="167"/>
      <c r="C7" s="167"/>
      <c r="D7" s="128"/>
      <c r="E7" s="128" t="s">
        <v>328</v>
      </c>
      <c r="F7" s="128"/>
      <c r="G7" s="128" t="s">
        <v>336</v>
      </c>
      <c r="H7" s="128"/>
      <c r="I7" s="177"/>
      <c r="J7" s="144"/>
      <c r="K7" s="144"/>
      <c r="L7" s="144"/>
      <c r="M7" s="144"/>
      <c r="N7" s="144"/>
    </row>
    <row r="8" spans="1:14" ht="13.6">
      <c r="A8" s="121" t="s">
        <v>645</v>
      </c>
      <c r="B8" s="121"/>
      <c r="C8" s="167"/>
      <c r="D8" s="128"/>
      <c r="E8" s="128" t="s">
        <v>329</v>
      </c>
      <c r="F8" s="128" t="s">
        <v>850</v>
      </c>
      <c r="G8" s="128" t="s">
        <v>337</v>
      </c>
      <c r="H8" s="128"/>
      <c r="I8" s="229"/>
      <c r="J8" s="144"/>
      <c r="K8" s="144"/>
      <c r="L8" s="144"/>
      <c r="M8" s="144"/>
      <c r="N8" s="144"/>
    </row>
    <row r="9" spans="1:14" ht="13.6">
      <c r="A9" s="121"/>
      <c r="B9" s="121"/>
      <c r="C9" s="167"/>
      <c r="D9" s="128"/>
      <c r="E9" s="148"/>
      <c r="F9" s="128"/>
      <c r="G9" s="128"/>
      <c r="H9" s="128"/>
      <c r="I9" s="229"/>
      <c r="J9" s="144"/>
      <c r="K9" s="144"/>
      <c r="L9" s="144"/>
      <c r="M9" s="144"/>
      <c r="N9" s="144"/>
    </row>
    <row r="10" spans="1:14" ht="13.6">
      <c r="A10" s="121"/>
      <c r="B10" s="121"/>
      <c r="C10" s="167"/>
      <c r="D10" s="128"/>
      <c r="E10" s="148"/>
      <c r="F10" s="128"/>
      <c r="G10" s="128"/>
      <c r="H10" s="128"/>
      <c r="I10" s="229"/>
      <c r="J10" s="144"/>
      <c r="K10" s="144"/>
      <c r="L10" s="144"/>
      <c r="M10" s="144"/>
      <c r="N10" s="144"/>
    </row>
    <row r="11" spans="1:14" ht="13.6">
      <c r="A11" s="167"/>
      <c r="B11" s="167"/>
      <c r="C11" s="167"/>
      <c r="D11" s="128"/>
      <c r="E11" s="148"/>
      <c r="F11" s="167"/>
      <c r="G11" s="128"/>
      <c r="H11" s="131"/>
      <c r="I11" s="179"/>
      <c r="J11" s="144"/>
      <c r="K11" s="144"/>
      <c r="L11" s="144"/>
      <c r="M11" s="144"/>
      <c r="N11" s="144"/>
    </row>
    <row r="12" spans="1:14" ht="13.6">
      <c r="A12" s="167"/>
      <c r="B12" s="121" t="s">
        <v>327</v>
      </c>
      <c r="C12" s="167"/>
      <c r="D12" s="128"/>
      <c r="E12" s="133"/>
      <c r="F12" s="137" t="s">
        <v>612</v>
      </c>
      <c r="G12" s="128"/>
      <c r="H12" s="131"/>
      <c r="I12" s="179"/>
      <c r="J12" s="144"/>
      <c r="K12" s="144"/>
      <c r="L12" s="144"/>
      <c r="M12" s="144"/>
      <c r="N12" s="144"/>
    </row>
    <row r="13" spans="1:14">
      <c r="A13" s="167"/>
      <c r="B13" s="167"/>
      <c r="C13" s="167"/>
      <c r="D13" s="128"/>
      <c r="E13" s="133"/>
      <c r="F13" s="128"/>
      <c r="G13" s="128"/>
      <c r="H13" s="131"/>
      <c r="I13" s="177"/>
      <c r="J13" s="144"/>
      <c r="K13" s="144"/>
      <c r="L13" s="144"/>
      <c r="M13" s="144"/>
      <c r="N13" s="144"/>
    </row>
    <row r="14" spans="1:14" ht="25.85">
      <c r="A14" s="167"/>
      <c r="B14" s="167">
        <v>1</v>
      </c>
      <c r="C14" s="478" t="s">
        <v>539</v>
      </c>
      <c r="D14" s="478"/>
      <c r="E14" s="479">
        <f>'ATT2A Prop Taxes per Function'!C24</f>
        <v>34603.308587983905</v>
      </c>
      <c r="F14" s="480">
        <v>1</v>
      </c>
      <c r="G14" s="289">
        <f t="shared" ref="G14:G20" si="0">+F14*E14</f>
        <v>34603.308587983905</v>
      </c>
      <c r="H14" s="288"/>
      <c r="I14" s="177"/>
      <c r="J14" s="144"/>
      <c r="K14" s="144"/>
      <c r="L14" s="144"/>
      <c r="M14" s="144"/>
      <c r="N14" s="144"/>
    </row>
    <row r="15" spans="1:14" ht="12.75" customHeight="1">
      <c r="A15" s="167"/>
      <c r="B15" s="286" t="s">
        <v>537</v>
      </c>
      <c r="C15" s="478" t="s">
        <v>489</v>
      </c>
      <c r="D15" s="478"/>
      <c r="E15" s="301">
        <v>0</v>
      </c>
      <c r="F15" s="480">
        <f>'Appendix A'!H34</f>
        <v>0.17746429425606966</v>
      </c>
      <c r="G15" s="291">
        <f t="shared" si="0"/>
        <v>0</v>
      </c>
      <c r="H15" s="288"/>
      <c r="I15" s="167"/>
    </row>
    <row r="16" spans="1:14" ht="12.75" customHeight="1">
      <c r="A16" s="167"/>
      <c r="B16" s="167">
        <v>2</v>
      </c>
      <c r="C16" s="125"/>
      <c r="D16" s="478"/>
      <c r="E16" s="301"/>
      <c r="F16" s="481"/>
      <c r="G16" s="291">
        <f t="shared" si="0"/>
        <v>0</v>
      </c>
      <c r="H16" s="288"/>
      <c r="I16" s="167"/>
    </row>
    <row r="17" spans="1:9" ht="12.75" customHeight="1">
      <c r="A17" s="167"/>
      <c r="B17" s="167">
        <v>3</v>
      </c>
      <c r="C17" s="125"/>
      <c r="D17" s="478"/>
      <c r="E17" s="301"/>
      <c r="F17" s="481"/>
      <c r="G17" s="291">
        <f t="shared" si="0"/>
        <v>0</v>
      </c>
      <c r="H17" s="288"/>
      <c r="I17" s="167"/>
    </row>
    <row r="18" spans="1:9" ht="12.75" customHeight="1">
      <c r="A18" s="167"/>
      <c r="B18" s="167">
        <v>4</v>
      </c>
      <c r="C18" s="125"/>
      <c r="D18" s="478"/>
      <c r="E18" s="301"/>
      <c r="F18" s="481"/>
      <c r="G18" s="291">
        <f t="shared" si="0"/>
        <v>0</v>
      </c>
      <c r="H18" s="288"/>
      <c r="I18" s="167"/>
    </row>
    <row r="19" spans="1:9" ht="12.75" customHeight="1">
      <c r="A19" s="167"/>
      <c r="B19" s="167">
        <v>5</v>
      </c>
      <c r="C19" s="125"/>
      <c r="D19" s="478"/>
      <c r="E19" s="482"/>
      <c r="F19" s="481"/>
      <c r="G19" s="291">
        <f t="shared" si="0"/>
        <v>0</v>
      </c>
      <c r="H19" s="288"/>
      <c r="I19" s="167"/>
    </row>
    <row r="20" spans="1:9" ht="12.75" customHeight="1">
      <c r="A20" s="167"/>
      <c r="B20" s="167"/>
      <c r="C20" s="125"/>
      <c r="D20" s="478"/>
      <c r="E20" s="482"/>
      <c r="F20" s="481"/>
      <c r="G20" s="291">
        <f t="shared" si="0"/>
        <v>0</v>
      </c>
      <c r="H20" s="288"/>
      <c r="I20" s="167"/>
    </row>
    <row r="21" spans="1:9" ht="12.75" customHeight="1">
      <c r="A21" s="167"/>
      <c r="B21" s="121" t="s">
        <v>332</v>
      </c>
      <c r="C21" s="167"/>
      <c r="D21" s="288"/>
      <c r="E21" s="292">
        <f>SUM(E14:E20)</f>
        <v>34603.308587983905</v>
      </c>
      <c r="F21" s="167"/>
      <c r="G21" s="292">
        <f>SUM(G14:G20)</f>
        <v>34603.308587983905</v>
      </c>
      <c r="H21" s="288"/>
      <c r="I21" s="425"/>
    </row>
    <row r="22" spans="1:9" ht="12.75" customHeight="1">
      <c r="A22" s="167"/>
      <c r="B22" s="167"/>
      <c r="C22" s="167"/>
      <c r="D22" s="288"/>
      <c r="E22" s="293"/>
      <c r="F22" s="288"/>
      <c r="G22" s="288"/>
      <c r="H22" s="288"/>
      <c r="I22" s="167"/>
    </row>
    <row r="23" spans="1:9" ht="12.75" customHeight="1">
      <c r="A23" s="167"/>
      <c r="B23" s="167"/>
      <c r="C23" s="167"/>
      <c r="D23" s="288"/>
      <c r="E23" s="293"/>
      <c r="F23" s="288"/>
      <c r="G23" s="288"/>
      <c r="H23" s="288"/>
      <c r="I23" s="167"/>
    </row>
    <row r="24" spans="1:9" ht="12.75" customHeight="1">
      <c r="A24" s="167"/>
      <c r="B24" s="121" t="s">
        <v>330</v>
      </c>
      <c r="C24" s="167"/>
      <c r="D24" s="288"/>
      <c r="E24" s="293"/>
      <c r="F24" s="136" t="s">
        <v>833</v>
      </c>
      <c r="G24" s="288"/>
      <c r="H24" s="288"/>
      <c r="I24" s="167"/>
    </row>
    <row r="25" spans="1:9" ht="12.75" customHeight="1">
      <c r="A25" s="167"/>
      <c r="B25" s="121"/>
      <c r="C25" s="167"/>
      <c r="D25" s="288"/>
      <c r="E25" s="286"/>
      <c r="F25" s="167"/>
      <c r="G25" s="288"/>
      <c r="H25" s="288"/>
      <c r="I25" s="167"/>
    </row>
    <row r="26" spans="1:9" ht="12.75" customHeight="1">
      <c r="A26" s="167"/>
      <c r="B26" s="167"/>
      <c r="C26" s="167"/>
      <c r="D26" s="288"/>
      <c r="E26" s="293"/>
      <c r="F26" s="288"/>
      <c r="G26" s="288"/>
      <c r="H26" s="288"/>
      <c r="I26" s="167"/>
    </row>
    <row r="27" spans="1:9" ht="12.75" customHeight="1">
      <c r="A27" s="167"/>
      <c r="B27" s="167">
        <v>6</v>
      </c>
      <c r="C27" s="134" t="s">
        <v>490</v>
      </c>
      <c r="D27" s="294"/>
      <c r="E27" s="864">
        <v>48375.149388222439</v>
      </c>
      <c r="F27" s="902"/>
      <c r="G27" s="294"/>
      <c r="H27" s="294"/>
      <c r="I27" s="167"/>
    </row>
    <row r="28" spans="1:9">
      <c r="A28" s="167"/>
      <c r="B28" s="167"/>
      <c r="C28" s="134"/>
      <c r="D28" s="167"/>
      <c r="E28" s="290"/>
      <c r="F28" s="167"/>
      <c r="G28" s="167"/>
      <c r="H28" s="167"/>
      <c r="I28" s="167"/>
    </row>
    <row r="29" spans="1:9">
      <c r="A29" s="167"/>
      <c r="B29" s="167"/>
      <c r="C29" s="134"/>
      <c r="D29" s="167"/>
      <c r="E29" s="295"/>
      <c r="F29" s="167"/>
      <c r="G29" s="167"/>
      <c r="H29" s="167"/>
      <c r="I29" s="167"/>
    </row>
    <row r="30" spans="1:9">
      <c r="A30" s="167"/>
      <c r="B30" s="167"/>
      <c r="C30" s="134"/>
      <c r="D30" s="167"/>
      <c r="E30" s="295"/>
      <c r="F30" s="167"/>
      <c r="G30" s="167"/>
      <c r="H30" s="167"/>
      <c r="I30" s="167"/>
    </row>
    <row r="31" spans="1:9">
      <c r="A31" s="167"/>
      <c r="B31" s="167"/>
      <c r="C31" s="134"/>
      <c r="D31" s="167"/>
      <c r="E31" s="295"/>
      <c r="F31" s="167"/>
      <c r="G31" s="167"/>
      <c r="H31" s="167"/>
      <c r="I31" s="167"/>
    </row>
    <row r="32" spans="1:9">
      <c r="A32" s="167"/>
      <c r="B32" s="121" t="s">
        <v>333</v>
      </c>
      <c r="C32" s="167"/>
      <c r="D32" s="167"/>
      <c r="E32" s="292">
        <f>SUM(E27:E31)</f>
        <v>48375.149388222439</v>
      </c>
      <c r="F32" s="481">
        <f>'Appendix A'!H18</f>
        <v>7.4610569211962935E-2</v>
      </c>
      <c r="G32" s="292">
        <f>+F32*E32</f>
        <v>3609.2974315690167</v>
      </c>
      <c r="H32" s="167"/>
      <c r="I32" s="167"/>
    </row>
    <row r="33" spans="1:10">
      <c r="A33" s="167"/>
      <c r="B33" s="121"/>
      <c r="C33" s="293"/>
      <c r="D33" s="167"/>
      <c r="E33" s="286"/>
      <c r="F33" s="125"/>
      <c r="G33" s="167"/>
      <c r="H33" s="167"/>
      <c r="I33" s="167"/>
    </row>
    <row r="34" spans="1:10">
      <c r="A34" s="167"/>
      <c r="B34" s="167"/>
      <c r="C34" s="167"/>
      <c r="D34" s="167"/>
      <c r="E34" s="286"/>
      <c r="F34" s="167"/>
      <c r="G34" s="167"/>
      <c r="H34" s="167"/>
      <c r="I34" s="167"/>
    </row>
    <row r="35" spans="1:10">
      <c r="A35" s="167"/>
      <c r="B35" s="121" t="s">
        <v>331</v>
      </c>
      <c r="C35" s="167"/>
      <c r="D35" s="167"/>
      <c r="E35" s="286"/>
      <c r="F35" s="137" t="s">
        <v>612</v>
      </c>
      <c r="G35" s="167"/>
      <c r="H35" s="167"/>
      <c r="I35" s="167"/>
    </row>
    <row r="36" spans="1:10">
      <c r="A36" s="167"/>
      <c r="B36" s="167"/>
      <c r="C36" s="167"/>
      <c r="D36" s="167"/>
      <c r="E36" s="286"/>
      <c r="F36" s="167"/>
      <c r="G36" s="167"/>
      <c r="H36" s="167"/>
      <c r="I36" s="167"/>
    </row>
    <row r="37" spans="1:10">
      <c r="A37" s="167"/>
      <c r="B37" s="167">
        <v>7</v>
      </c>
      <c r="C37" s="296" t="s">
        <v>61</v>
      </c>
      <c r="D37" s="167"/>
      <c r="E37" s="742">
        <v>0</v>
      </c>
      <c r="F37" s="125"/>
      <c r="G37" s="167"/>
      <c r="H37" s="167"/>
      <c r="I37" s="167"/>
    </row>
    <row r="38" spans="1:10">
      <c r="A38" s="167"/>
      <c r="B38" s="167"/>
      <c r="C38" s="134"/>
      <c r="D38" s="167"/>
      <c r="E38" s="290"/>
      <c r="F38" s="167"/>
      <c r="G38" s="167"/>
      <c r="H38" s="167"/>
      <c r="I38" s="167"/>
    </row>
    <row r="39" spans="1:10">
      <c r="A39" s="167"/>
      <c r="B39" s="167"/>
      <c r="C39" s="134"/>
      <c r="D39" s="167"/>
      <c r="E39" s="295"/>
      <c r="F39" s="167"/>
      <c r="G39" s="167"/>
      <c r="H39" s="167"/>
      <c r="I39" s="167"/>
    </row>
    <row r="40" spans="1:10">
      <c r="A40" s="167"/>
      <c r="B40" s="167"/>
      <c r="C40" s="134"/>
      <c r="D40" s="167"/>
      <c r="E40" s="295"/>
      <c r="F40" s="167"/>
      <c r="G40" s="167"/>
      <c r="H40" s="167"/>
      <c r="I40" s="167"/>
    </row>
    <row r="41" spans="1:10">
      <c r="A41" s="167"/>
      <c r="B41" s="121" t="s">
        <v>334</v>
      </c>
      <c r="C41" s="167"/>
      <c r="D41" s="167"/>
      <c r="E41" s="292">
        <f>SUM(E37:E40)</f>
        <v>0</v>
      </c>
      <c r="F41" s="481">
        <f>'Appendix A'!H34</f>
        <v>0.17746429425606966</v>
      </c>
      <c r="G41" s="292">
        <f>+F41*E41</f>
        <v>0</v>
      </c>
      <c r="H41" s="167"/>
      <c r="I41" s="167"/>
    </row>
    <row r="42" spans="1:10">
      <c r="A42" s="167"/>
      <c r="B42" s="167"/>
      <c r="C42" s="167"/>
      <c r="D42" s="167"/>
      <c r="E42" s="286"/>
      <c r="F42" s="167"/>
      <c r="G42" s="167"/>
      <c r="H42" s="167"/>
      <c r="I42" s="167"/>
    </row>
    <row r="43" spans="1:10">
      <c r="A43" s="167"/>
      <c r="B43" s="121" t="s">
        <v>339</v>
      </c>
      <c r="C43" s="167"/>
      <c r="D43" s="167"/>
      <c r="E43" s="292">
        <f>+E41+E32+E21</f>
        <v>82978.457976206351</v>
      </c>
      <c r="F43" s="167"/>
      <c r="G43" s="292">
        <f>+G41+G32+G21</f>
        <v>38212.606019552921</v>
      </c>
      <c r="H43" s="167"/>
      <c r="I43" s="167"/>
    </row>
    <row r="44" spans="1:10">
      <c r="A44" s="167"/>
      <c r="B44" s="167"/>
      <c r="C44" s="149"/>
      <c r="D44" s="167"/>
      <c r="E44" s="286"/>
      <c r="F44" s="167"/>
      <c r="G44" s="167"/>
      <c r="H44" s="167"/>
      <c r="I44" s="167"/>
    </row>
    <row r="45" spans="1:10">
      <c r="A45" s="167"/>
      <c r="B45" s="167"/>
      <c r="C45" s="149"/>
      <c r="D45" s="167"/>
      <c r="E45" s="286"/>
      <c r="F45" s="167"/>
      <c r="G45" s="167"/>
      <c r="H45" s="167"/>
      <c r="I45" s="167"/>
    </row>
    <row r="46" spans="1:10">
      <c r="A46" s="167"/>
      <c r="B46" s="167"/>
      <c r="C46" s="149"/>
      <c r="D46" s="167"/>
      <c r="E46" s="286"/>
      <c r="F46" s="167"/>
      <c r="G46" s="167"/>
      <c r="H46" s="167"/>
      <c r="I46" s="167"/>
    </row>
    <row r="47" spans="1:10">
      <c r="A47" s="167"/>
      <c r="B47" s="167"/>
      <c r="C47" s="121" t="s">
        <v>335</v>
      </c>
      <c r="D47" s="167"/>
      <c r="E47" s="286"/>
      <c r="F47" s="167"/>
      <c r="G47" s="167"/>
      <c r="H47" s="167"/>
      <c r="I47" s="167"/>
    </row>
    <row r="48" spans="1:10">
      <c r="A48" s="167"/>
      <c r="B48" s="167"/>
      <c r="C48" s="167"/>
      <c r="D48" s="167"/>
      <c r="E48" s="286"/>
      <c r="F48" s="167"/>
      <c r="G48" s="172"/>
      <c r="H48" s="125"/>
      <c r="I48" s="125"/>
      <c r="J48" s="176"/>
    </row>
    <row r="49" spans="1:19">
      <c r="A49" s="167"/>
      <c r="B49" s="167">
        <f>+B37+1</f>
        <v>8</v>
      </c>
      <c r="C49" s="134" t="s">
        <v>491</v>
      </c>
      <c r="D49" s="134"/>
      <c r="E49" s="864">
        <v>21296.050999999999</v>
      </c>
      <c r="F49" s="159"/>
      <c r="G49" s="125"/>
      <c r="H49" s="149"/>
      <c r="I49" s="125"/>
      <c r="J49" s="176"/>
      <c r="K49" s="2"/>
      <c r="L49" s="2"/>
      <c r="M49" s="2"/>
      <c r="N49" s="2"/>
      <c r="O49" s="2"/>
      <c r="P49" s="2"/>
      <c r="Q49" s="2"/>
      <c r="R49" s="2"/>
      <c r="S49" s="2"/>
    </row>
    <row r="50" spans="1:19">
      <c r="A50" s="167"/>
      <c r="B50" s="167">
        <f t="shared" ref="B50:B61" si="1">+B49+1</f>
        <v>9</v>
      </c>
      <c r="C50" s="134" t="s">
        <v>62</v>
      </c>
      <c r="D50" s="134"/>
      <c r="E50" s="781">
        <v>0</v>
      </c>
      <c r="F50" s="159"/>
      <c r="G50" s="125"/>
      <c r="H50" s="149"/>
      <c r="I50" s="125"/>
      <c r="J50" s="176"/>
      <c r="K50" s="2"/>
      <c r="L50" s="2"/>
      <c r="M50" s="2"/>
      <c r="N50" s="2"/>
      <c r="O50" s="2"/>
      <c r="P50" s="2"/>
      <c r="Q50" s="2"/>
      <c r="R50" s="2"/>
      <c r="S50" s="2"/>
    </row>
    <row r="51" spans="1:19">
      <c r="A51" s="167"/>
      <c r="B51" s="167">
        <f t="shared" si="1"/>
        <v>10</v>
      </c>
      <c r="C51" s="287" t="s">
        <v>63</v>
      </c>
      <c r="D51" s="134"/>
      <c r="E51" s="781">
        <v>0</v>
      </c>
      <c r="F51" s="167"/>
      <c r="G51" s="795"/>
      <c r="H51" s="149"/>
      <c r="I51" s="125"/>
      <c r="J51" s="176"/>
      <c r="K51" s="2"/>
      <c r="L51" s="2"/>
      <c r="M51" s="2"/>
      <c r="N51" s="2"/>
      <c r="O51" s="2"/>
      <c r="P51" s="2"/>
      <c r="Q51" s="2"/>
      <c r="R51" s="2"/>
      <c r="S51" s="2"/>
    </row>
    <row r="52" spans="1:19">
      <c r="A52" s="167"/>
      <c r="B52" s="167">
        <f t="shared" si="1"/>
        <v>11</v>
      </c>
      <c r="C52" s="478" t="s">
        <v>65</v>
      </c>
      <c r="D52" s="125"/>
      <c r="E52" s="782">
        <f>'ATT2A Prop Taxes per Function'!C6-'ATT2 - Other Tax'!E14-E53</f>
        <v>157708.67351658089</v>
      </c>
      <c r="F52" s="167"/>
      <c r="G52" s="795"/>
      <c r="H52" s="149"/>
      <c r="I52" s="125"/>
      <c r="J52" s="176"/>
      <c r="K52" s="2"/>
      <c r="L52" s="2"/>
      <c r="M52" s="2"/>
      <c r="N52" s="2"/>
      <c r="O52" s="2"/>
      <c r="P52" s="2"/>
      <c r="Q52" s="2"/>
      <c r="R52" s="2"/>
      <c r="S52" s="2"/>
    </row>
    <row r="53" spans="1:19">
      <c r="A53" s="167"/>
      <c r="B53" s="167">
        <v>12</v>
      </c>
      <c r="C53" s="478" t="s">
        <v>924</v>
      </c>
      <c r="D53" s="478"/>
      <c r="E53" s="782">
        <f>'ATT2A Prop Taxes per Function'!C10</f>
        <v>1936.316</v>
      </c>
      <c r="F53" s="167"/>
      <c r="G53" s="795"/>
      <c r="H53" s="149"/>
      <c r="I53" s="125"/>
      <c r="J53" s="176"/>
      <c r="K53" s="2"/>
      <c r="L53" s="2"/>
      <c r="M53" s="2"/>
      <c r="N53" s="2"/>
      <c r="O53" s="2"/>
      <c r="P53" s="2"/>
      <c r="Q53" s="2"/>
      <c r="R53" s="2"/>
      <c r="S53" s="2"/>
    </row>
    <row r="54" spans="1:19">
      <c r="A54" s="167"/>
      <c r="B54" s="167">
        <v>13</v>
      </c>
      <c r="C54" s="134" t="s">
        <v>43</v>
      </c>
      <c r="D54" s="134"/>
      <c r="E54" s="781">
        <v>6367.5609599999998</v>
      </c>
      <c r="F54" s="167"/>
      <c r="G54" s="167"/>
      <c r="H54" s="167"/>
      <c r="I54" s="167"/>
    </row>
    <row r="55" spans="1:19">
      <c r="A55" s="167"/>
      <c r="B55" s="167">
        <v>14</v>
      </c>
      <c r="C55" s="287" t="s">
        <v>552</v>
      </c>
      <c r="D55" s="134"/>
      <c r="E55" s="781">
        <v>0</v>
      </c>
      <c r="F55" s="167"/>
      <c r="G55" s="167"/>
      <c r="H55" s="167"/>
      <c r="I55" s="167"/>
    </row>
    <row r="56" spans="1:19">
      <c r="A56" s="125"/>
      <c r="B56" s="167">
        <v>15</v>
      </c>
      <c r="C56" s="287" t="s">
        <v>410</v>
      </c>
      <c r="D56" s="287"/>
      <c r="E56" s="781">
        <v>17700</v>
      </c>
      <c r="F56" s="167"/>
      <c r="G56" s="167"/>
      <c r="H56" s="167"/>
      <c r="I56" s="167"/>
    </row>
    <row r="57" spans="1:19">
      <c r="A57" s="125"/>
      <c r="B57" s="167">
        <f t="shared" si="1"/>
        <v>16</v>
      </c>
      <c r="C57" s="134"/>
      <c r="D57" s="287"/>
      <c r="E57" s="290"/>
      <c r="F57" s="167"/>
      <c r="G57" s="167"/>
      <c r="H57" s="167"/>
      <c r="I57" s="167"/>
    </row>
    <row r="58" spans="1:19">
      <c r="A58" s="125"/>
      <c r="B58" s="167">
        <f t="shared" si="1"/>
        <v>17</v>
      </c>
      <c r="C58" s="134"/>
      <c r="D58" s="134"/>
      <c r="E58" s="290"/>
      <c r="F58" s="167"/>
      <c r="G58" s="167"/>
      <c r="H58" s="167"/>
      <c r="I58" s="167"/>
    </row>
    <row r="59" spans="1:19">
      <c r="A59" s="125"/>
      <c r="B59" s="167">
        <f t="shared" si="1"/>
        <v>18</v>
      </c>
      <c r="C59" s="134"/>
      <c r="D59" s="134"/>
      <c r="E59" s="290"/>
      <c r="F59" s="167"/>
      <c r="G59" s="167"/>
      <c r="H59" s="167"/>
      <c r="I59" s="167"/>
    </row>
    <row r="60" spans="1:19">
      <c r="A60" s="125"/>
      <c r="B60" s="167">
        <f t="shared" si="1"/>
        <v>19</v>
      </c>
      <c r="C60" s="134"/>
      <c r="D60" s="134"/>
      <c r="E60" s="290"/>
      <c r="F60" s="167"/>
      <c r="G60" s="167"/>
      <c r="H60" s="167"/>
      <c r="I60" s="167"/>
    </row>
    <row r="61" spans="1:19">
      <c r="A61" s="125"/>
      <c r="B61" s="167">
        <f t="shared" si="1"/>
        <v>20</v>
      </c>
      <c r="C61" s="134"/>
      <c r="D61" s="134"/>
      <c r="E61" s="290"/>
      <c r="F61" s="167"/>
      <c r="G61" s="167"/>
      <c r="H61" s="167"/>
      <c r="I61" s="167"/>
    </row>
    <row r="62" spans="1:19">
      <c r="A62" s="167"/>
      <c r="B62" s="167"/>
      <c r="C62" s="134"/>
      <c r="D62" s="134"/>
      <c r="E62" s="295"/>
      <c r="F62" s="167"/>
      <c r="G62" s="167"/>
      <c r="H62" s="167"/>
      <c r="I62" s="167"/>
    </row>
    <row r="63" spans="1:19">
      <c r="A63" s="167"/>
      <c r="B63" s="125">
        <f>B61+1</f>
        <v>21</v>
      </c>
      <c r="C63" s="285" t="s">
        <v>839</v>
      </c>
      <c r="D63" s="125"/>
      <c r="E63" s="483">
        <f>SUM(E49:E62)</f>
        <v>205008.60147658089</v>
      </c>
      <c r="F63" s="167"/>
      <c r="G63" s="167"/>
      <c r="H63" s="167"/>
      <c r="I63" s="167"/>
    </row>
    <row r="64" spans="1:19">
      <c r="A64" s="167"/>
      <c r="B64" s="125"/>
      <c r="C64" s="285"/>
      <c r="D64" s="125"/>
      <c r="E64" s="484"/>
      <c r="F64" s="167"/>
      <c r="G64" s="167"/>
      <c r="H64" s="167"/>
      <c r="I64" s="167"/>
    </row>
    <row r="65" spans="1:9">
      <c r="A65" s="167"/>
      <c r="B65" s="125">
        <f>+B63+1</f>
        <v>22</v>
      </c>
      <c r="C65" s="285" t="s">
        <v>840</v>
      </c>
      <c r="D65" s="485"/>
      <c r="E65" s="783">
        <f>E21+E32+E41+E63</f>
        <v>287987.05945278727</v>
      </c>
      <c r="F65" s="297"/>
      <c r="G65" s="297"/>
      <c r="H65" s="175"/>
      <c r="I65" s="167"/>
    </row>
    <row r="66" spans="1:9">
      <c r="A66" s="167"/>
      <c r="B66" s="125"/>
      <c r="C66" s="183"/>
      <c r="D66" s="183"/>
      <c r="E66" s="298"/>
      <c r="F66" s="297"/>
      <c r="G66" s="297"/>
      <c r="H66" s="175"/>
      <c r="I66" s="167"/>
    </row>
    <row r="67" spans="1:9">
      <c r="A67" s="167"/>
      <c r="B67" s="167">
        <f>+B65+1</f>
        <v>23</v>
      </c>
      <c r="C67" s="183" t="s">
        <v>516</v>
      </c>
      <c r="D67" s="183"/>
      <c r="E67" s="299">
        <f>+E63-E65</f>
        <v>-82978.45797620638</v>
      </c>
      <c r="F67" s="297"/>
      <c r="G67" s="297"/>
      <c r="H67" s="175"/>
      <c r="I67" s="167"/>
    </row>
    <row r="68" spans="1:9">
      <c r="A68" s="167"/>
      <c r="B68" s="167"/>
      <c r="C68" s="183"/>
      <c r="D68" s="183"/>
      <c r="E68" s="300"/>
      <c r="F68" s="297"/>
      <c r="G68" s="297"/>
      <c r="H68" s="175"/>
      <c r="I68" s="167"/>
    </row>
    <row r="69" spans="1:9">
      <c r="A69" s="167"/>
      <c r="B69" s="125" t="s">
        <v>832</v>
      </c>
      <c r="C69" s="125"/>
      <c r="D69" s="125"/>
      <c r="E69" s="301"/>
      <c r="F69" s="159"/>
      <c r="G69" s="159"/>
      <c r="H69" s="159"/>
      <c r="I69" s="167"/>
    </row>
    <row r="70" spans="1:9">
      <c r="A70" s="167"/>
      <c r="B70" s="125" t="s">
        <v>632</v>
      </c>
      <c r="C70" s="125" t="s">
        <v>132</v>
      </c>
      <c r="D70" s="125"/>
      <c r="E70" s="301"/>
      <c r="F70" s="159"/>
      <c r="G70" s="159"/>
      <c r="H70" s="159"/>
      <c r="I70" s="167"/>
    </row>
    <row r="71" spans="1:9">
      <c r="A71" s="167"/>
      <c r="B71" s="125"/>
      <c r="C71" s="282" t="s">
        <v>282</v>
      </c>
      <c r="D71" s="125"/>
      <c r="E71" s="301"/>
      <c r="F71" s="125"/>
      <c r="G71" s="159"/>
      <c r="H71" s="159"/>
      <c r="I71" s="167"/>
    </row>
    <row r="72" spans="1:9">
      <c r="A72" s="167"/>
      <c r="B72" s="125" t="s">
        <v>814</v>
      </c>
      <c r="C72" s="125" t="s">
        <v>517</v>
      </c>
      <c r="D72" s="125"/>
      <c r="E72" s="301"/>
      <c r="F72" s="125"/>
      <c r="G72" s="159"/>
      <c r="H72" s="159"/>
      <c r="I72" s="167"/>
    </row>
    <row r="73" spans="1:9">
      <c r="A73" s="167"/>
      <c r="B73" s="125"/>
      <c r="C73" s="282" t="s">
        <v>282</v>
      </c>
      <c r="D73" s="125"/>
      <c r="E73" s="301"/>
      <c r="F73" s="125"/>
      <c r="G73" s="159"/>
      <c r="H73" s="159"/>
      <c r="I73" s="167"/>
    </row>
    <row r="74" spans="1:9">
      <c r="A74" s="167"/>
      <c r="B74" s="125" t="s">
        <v>610</v>
      </c>
      <c r="C74" s="125" t="s">
        <v>283</v>
      </c>
      <c r="D74" s="125"/>
      <c r="E74" s="301"/>
      <c r="F74" s="125"/>
      <c r="G74" s="159"/>
      <c r="H74" s="159"/>
      <c r="I74" s="167"/>
    </row>
    <row r="75" spans="1:9">
      <c r="A75" s="167"/>
      <c r="B75" s="125" t="s">
        <v>633</v>
      </c>
      <c r="C75" s="282" t="s">
        <v>53</v>
      </c>
      <c r="D75" s="125"/>
      <c r="E75" s="301"/>
      <c r="F75" s="125"/>
      <c r="G75" s="159"/>
      <c r="H75" s="159"/>
      <c r="I75" s="167"/>
    </row>
    <row r="76" spans="1:9">
      <c r="A76" s="167"/>
      <c r="B76" s="125"/>
      <c r="C76" s="125" t="s">
        <v>54</v>
      </c>
      <c r="D76" s="125"/>
      <c r="E76" s="301"/>
      <c r="F76" s="125"/>
      <c r="G76" s="125"/>
      <c r="H76" s="125"/>
      <c r="I76" s="167"/>
    </row>
    <row r="77" spans="1:9">
      <c r="A77" s="167"/>
      <c r="B77" s="125"/>
      <c r="C77" s="125" t="s">
        <v>242</v>
      </c>
      <c r="D77" s="167"/>
      <c r="E77" s="286"/>
      <c r="F77" s="167"/>
      <c r="G77" s="167"/>
      <c r="H77" s="167"/>
      <c r="I77" s="167"/>
    </row>
    <row r="78" spans="1:9">
      <c r="A78" s="167"/>
      <c r="B78" s="125"/>
      <c r="C78" s="125"/>
      <c r="D78" s="167"/>
      <c r="E78" s="286"/>
      <c r="F78" s="167"/>
      <c r="G78" s="167"/>
      <c r="H78" s="167"/>
      <c r="I78" s="167"/>
    </row>
    <row r="79" spans="1:9">
      <c r="A79" s="167"/>
      <c r="B79" s="167"/>
      <c r="C79" s="167"/>
      <c r="D79" s="167"/>
      <c r="E79" s="286"/>
      <c r="F79" s="167"/>
      <c r="G79" s="167"/>
      <c r="H79" s="167"/>
      <c r="I79" s="167"/>
    </row>
    <row r="80" spans="1:9">
      <c r="A80" s="167"/>
      <c r="B80" s="167"/>
      <c r="C80" s="167"/>
      <c r="D80" s="167"/>
      <c r="E80" s="286"/>
      <c r="F80" s="167"/>
      <c r="G80" s="167"/>
      <c r="H80" s="167"/>
      <c r="I80" s="167"/>
    </row>
    <row r="81" spans="1:9">
      <c r="A81" s="167"/>
      <c r="B81" s="167"/>
      <c r="C81" s="167"/>
      <c r="D81" s="167"/>
      <c r="E81" s="286"/>
      <c r="F81" s="167"/>
      <c r="G81" s="167"/>
      <c r="H81" s="167"/>
      <c r="I81" s="167"/>
    </row>
    <row r="82" spans="1:9">
      <c r="A82" s="167"/>
      <c r="B82" s="167"/>
      <c r="C82" s="167"/>
      <c r="D82" s="167"/>
      <c r="E82" s="286"/>
      <c r="F82" s="167"/>
      <c r="G82" s="167"/>
      <c r="H82" s="167"/>
    </row>
    <row r="83" spans="1:9">
      <c r="A83" s="167"/>
      <c r="B83" s="167"/>
      <c r="C83" s="167"/>
      <c r="D83" s="167"/>
      <c r="E83" s="286"/>
      <c r="F83" s="167"/>
      <c r="G83" s="167"/>
      <c r="H83" s="167"/>
    </row>
    <row r="84" spans="1:9">
      <c r="A84" s="167"/>
      <c r="B84" s="167"/>
      <c r="C84" s="167"/>
      <c r="D84" s="167"/>
      <c r="E84" s="286"/>
      <c r="F84" s="167"/>
      <c r="G84" s="167"/>
      <c r="H84" s="167"/>
    </row>
    <row r="85" spans="1:9">
      <c r="A85" s="167"/>
      <c r="B85" s="167"/>
      <c r="C85" s="167"/>
      <c r="D85" s="167"/>
      <c r="E85" s="286"/>
      <c r="F85" s="167"/>
      <c r="G85" s="167"/>
      <c r="H85" s="167"/>
    </row>
    <row r="86" spans="1:9">
      <c r="A86" s="167"/>
      <c r="B86" s="167"/>
      <c r="C86" s="167"/>
      <c r="D86" s="167"/>
      <c r="E86" s="286"/>
      <c r="F86" s="167"/>
      <c r="G86" s="167"/>
      <c r="H86" s="167"/>
    </row>
    <row r="87" spans="1:9">
      <c r="A87" s="167"/>
      <c r="B87" s="167"/>
      <c r="C87" s="167"/>
      <c r="D87" s="167"/>
      <c r="E87" s="286"/>
      <c r="F87" s="167"/>
      <c r="G87" s="167"/>
      <c r="H87" s="167"/>
    </row>
    <row r="88" spans="1:9">
      <c r="A88" s="167"/>
      <c r="B88" s="167"/>
      <c r="C88" s="167"/>
      <c r="D88" s="167"/>
      <c r="E88" s="286"/>
      <c r="F88" s="167"/>
      <c r="G88" s="167"/>
      <c r="H88" s="167"/>
    </row>
    <row r="89" spans="1:9">
      <c r="A89" s="167"/>
      <c r="B89" s="167"/>
      <c r="C89" s="167"/>
      <c r="D89" s="167"/>
      <c r="E89" s="286"/>
      <c r="F89" s="167"/>
      <c r="G89" s="167"/>
      <c r="H89" s="167"/>
    </row>
    <row r="90" spans="1:9">
      <c r="A90" s="167"/>
      <c r="B90" s="167"/>
      <c r="C90" s="167"/>
      <c r="D90" s="167"/>
      <c r="E90" s="286"/>
      <c r="F90" s="167"/>
      <c r="G90" s="167"/>
      <c r="H90" s="167"/>
    </row>
  </sheetData>
  <mergeCells count="4">
    <mergeCell ref="A1:H1"/>
    <mergeCell ref="A3:H3"/>
    <mergeCell ref="A4:G4"/>
    <mergeCell ref="A2:H2"/>
  </mergeCells>
  <phoneticPr fontId="45" type="noConversion"/>
  <printOptions horizontalCentered="1"/>
  <pageMargins left="0.5" right="0.5" top="0.75" bottom="0.5" header="0.5" footer="0.5"/>
  <pageSetup scale="68" orientation="portrait" r:id="rId1"/>
  <headerFooter alignWithMargins="0">
    <oddHeader>&amp;RPage &amp;P of &amp;N</oddHeader>
  </headerFooter>
</worksheet>
</file>

<file path=xl/worksheets/sheet7.xml><?xml version="1.0" encoding="utf-8"?>
<worksheet xmlns="http://schemas.openxmlformats.org/spreadsheetml/2006/main" xmlns:r="http://schemas.openxmlformats.org/officeDocument/2006/relationships">
  <sheetPr codeName="Sheet4">
    <pageSetUpPr fitToPage="1"/>
  </sheetPr>
  <dimension ref="A1:I30"/>
  <sheetViews>
    <sheetView zoomScaleNormal="100" zoomScaleSheetLayoutView="115" workbookViewId="0">
      <selection activeCell="B6" sqref="B6"/>
    </sheetView>
  </sheetViews>
  <sheetFormatPr defaultRowHeight="12.9"/>
  <cols>
    <col min="1" max="1" width="4.375" style="901" customWidth="1"/>
    <col min="2" max="2" width="39.875" customWidth="1"/>
    <col min="3" max="3" width="15.125" customWidth="1"/>
  </cols>
  <sheetData>
    <row r="1" spans="1:9" ht="14.3">
      <c r="B1" s="346" t="s">
        <v>49</v>
      </c>
      <c r="C1" s="346"/>
      <c r="D1" s="167"/>
    </row>
    <row r="2" spans="1:9" ht="14.3">
      <c r="B2" s="1191" t="s">
        <v>880</v>
      </c>
      <c r="C2" s="1191"/>
      <c r="D2" s="346"/>
      <c r="E2" s="346"/>
      <c r="F2" s="346"/>
      <c r="G2" s="346"/>
      <c r="H2" s="346"/>
      <c r="I2" s="346"/>
    </row>
    <row r="3" spans="1:9" ht="31.25">
      <c r="B3" s="347" t="s">
        <v>243</v>
      </c>
      <c r="C3" s="347"/>
      <c r="D3" s="167"/>
    </row>
    <row r="4" spans="1:9" ht="14.3">
      <c r="B4" s="348" t="s">
        <v>1610</v>
      </c>
      <c r="C4" s="348"/>
      <c r="D4" s="167"/>
    </row>
    <row r="5" spans="1:9">
      <c r="B5" s="302"/>
      <c r="C5" s="302"/>
      <c r="D5" s="167"/>
    </row>
    <row r="6" spans="1:9" ht="14.3" customHeight="1">
      <c r="A6" s="901">
        <v>1</v>
      </c>
      <c r="B6" s="189" t="s">
        <v>137</v>
      </c>
      <c r="C6" s="865">
        <v>194248.29810456478</v>
      </c>
      <c r="D6" s="167"/>
    </row>
    <row r="7" spans="1:9" ht="21.25" customHeight="1">
      <c r="B7" s="188"/>
      <c r="C7" s="780"/>
      <c r="D7" s="167"/>
    </row>
    <row r="8" spans="1:9">
      <c r="A8" s="901">
        <v>2</v>
      </c>
      <c r="B8" s="302" t="s">
        <v>370</v>
      </c>
      <c r="C8" s="866">
        <v>80065.9118805568</v>
      </c>
      <c r="D8" s="167"/>
      <c r="E8" s="796"/>
    </row>
    <row r="9" spans="1:9">
      <c r="A9" s="901">
        <v>3</v>
      </c>
      <c r="B9" s="302" t="s">
        <v>530</v>
      </c>
      <c r="C9" s="866">
        <v>34478.764000000003</v>
      </c>
      <c r="D9" s="167"/>
      <c r="E9" s="796"/>
    </row>
    <row r="10" spans="1:9">
      <c r="A10" s="901">
        <v>4</v>
      </c>
      <c r="B10" s="302" t="s">
        <v>923</v>
      </c>
      <c r="C10" s="866">
        <v>1936.316</v>
      </c>
      <c r="D10" s="167"/>
      <c r="E10" s="796"/>
    </row>
    <row r="11" spans="1:9">
      <c r="A11" s="901">
        <v>5</v>
      </c>
      <c r="B11" s="302" t="s">
        <v>531</v>
      </c>
      <c r="C11" s="866">
        <v>76098.044224008001</v>
      </c>
      <c r="D11" s="167"/>
    </row>
    <row r="12" spans="1:9">
      <c r="A12" s="901">
        <v>6</v>
      </c>
      <c r="B12" s="302" t="s">
        <v>532</v>
      </c>
      <c r="C12" s="866">
        <v>1669.2619999999999</v>
      </c>
      <c r="D12" s="167"/>
    </row>
    <row r="13" spans="1:9">
      <c r="B13" s="302" t="s">
        <v>533</v>
      </c>
      <c r="C13" s="303">
        <f>SUM(C8:C12)</f>
        <v>194248.2981045648</v>
      </c>
      <c r="D13" s="167"/>
    </row>
    <row r="14" spans="1:9">
      <c r="B14" s="302"/>
      <c r="C14" s="304"/>
      <c r="D14" s="167"/>
    </row>
    <row r="15" spans="1:9" ht="14.3">
      <c r="B15" s="189" t="s">
        <v>492</v>
      </c>
      <c r="C15" s="304"/>
      <c r="D15" s="167"/>
    </row>
    <row r="16" spans="1:9">
      <c r="B16" s="302" t="s">
        <v>532</v>
      </c>
      <c r="C16" s="779">
        <f>C12</f>
        <v>1669.2619999999999</v>
      </c>
      <c r="D16" s="167"/>
    </row>
    <row r="17" spans="2:4">
      <c r="B17" s="302" t="s">
        <v>723</v>
      </c>
      <c r="C17" s="313">
        <f>'Appendix A'!H18</f>
        <v>7.4610569211962935E-2</v>
      </c>
      <c r="D17" s="167"/>
    </row>
    <row r="18" spans="2:4">
      <c r="B18" s="302" t="s">
        <v>534</v>
      </c>
      <c r="C18" s="305">
        <f>C16*C17</f>
        <v>124.54458798389967</v>
      </c>
      <c r="D18" s="167"/>
    </row>
    <row r="19" spans="2:4">
      <c r="B19" s="302"/>
      <c r="C19" s="304"/>
      <c r="D19" s="167"/>
    </row>
    <row r="20" spans="2:4" ht="13.6" thickBot="1">
      <c r="B20" s="302"/>
      <c r="C20" s="304"/>
      <c r="D20" s="167"/>
    </row>
    <row r="21" spans="2:4" ht="13.6">
      <c r="B21" s="190" t="s">
        <v>536</v>
      </c>
      <c r="C21" s="306"/>
      <c r="D21" s="167"/>
    </row>
    <row r="22" spans="2:4">
      <c r="B22" s="307" t="s">
        <v>312</v>
      </c>
      <c r="C22" s="308">
        <f>C9</f>
        <v>34478.764000000003</v>
      </c>
      <c r="D22" s="167"/>
    </row>
    <row r="23" spans="2:4">
      <c r="B23" s="307" t="s">
        <v>535</v>
      </c>
      <c r="C23" s="309">
        <f>C18</f>
        <v>124.54458798389967</v>
      </c>
      <c r="D23" s="167"/>
    </row>
    <row r="24" spans="2:4">
      <c r="B24" s="307" t="s">
        <v>536</v>
      </c>
      <c r="C24" s="308">
        <f>SUM(C22:C23)</f>
        <v>34603.308587983905</v>
      </c>
      <c r="D24" s="167"/>
    </row>
    <row r="25" spans="2:4">
      <c r="B25" s="307"/>
      <c r="C25" s="310"/>
      <c r="D25" s="167"/>
    </row>
    <row r="26" spans="2:4">
      <c r="B26" s="307"/>
      <c r="C26" s="310"/>
      <c r="D26" s="167"/>
    </row>
    <row r="27" spans="2:4" ht="13.6" thickBot="1">
      <c r="B27" s="311"/>
      <c r="C27" s="312"/>
      <c r="D27" s="167"/>
    </row>
    <row r="28" spans="2:4">
      <c r="B28" s="302"/>
      <c r="C28" s="302"/>
      <c r="D28" s="167"/>
    </row>
    <row r="29" spans="2:4">
      <c r="B29" s="672"/>
      <c r="C29" s="187"/>
    </row>
    <row r="30" spans="2:4">
      <c r="B30" s="191"/>
      <c r="C30" s="187"/>
    </row>
  </sheetData>
  <mergeCells count="1">
    <mergeCell ref="B2:C2"/>
  </mergeCells>
  <phoneticPr fontId="45" type="noConversion"/>
  <printOptions horizontalCentered="1"/>
  <pageMargins left="0.5" right="0.5" top="0.75" bottom="0.5" header="0.5" footer="0.5"/>
  <pageSetup orientation="portrait" r:id="rId1"/>
  <headerFooter alignWithMargins="0">
    <oddHeader>&amp;RPage &amp;P of &amp;N</oddHeader>
  </headerFooter>
</worksheet>
</file>

<file path=xl/worksheets/sheet8.xml><?xml version="1.0" encoding="utf-8"?>
<worksheet xmlns="http://schemas.openxmlformats.org/spreadsheetml/2006/main" xmlns:r="http://schemas.openxmlformats.org/officeDocument/2006/relationships">
  <sheetPr codeName="Sheet5">
    <pageSetUpPr fitToPage="1"/>
  </sheetPr>
  <dimension ref="A1:N63"/>
  <sheetViews>
    <sheetView zoomScale="85" zoomScaleNormal="85" zoomScaleSheetLayoutView="70" workbookViewId="0">
      <selection sqref="A1:F1"/>
    </sheetView>
  </sheetViews>
  <sheetFormatPr defaultRowHeight="12.9"/>
  <cols>
    <col min="1" max="1" width="6.625" style="122" customWidth="1"/>
    <col min="2" max="2" width="76.875" customWidth="1"/>
    <col min="3" max="3" width="23.375" customWidth="1"/>
    <col min="4" max="4" width="14" style="169" customWidth="1"/>
    <col min="5" max="5" width="15" customWidth="1"/>
    <col min="6" max="6" width="10.875" bestFit="1" customWidth="1"/>
    <col min="8" max="8" width="14" customWidth="1"/>
    <col min="10" max="10" width="15" customWidth="1"/>
    <col min="11" max="12" width="12.25" customWidth="1"/>
    <col min="14" max="14" width="11" customWidth="1"/>
  </cols>
  <sheetData>
    <row r="1" spans="1:7" ht="18.350000000000001">
      <c r="A1" s="1160" t="str">
        <f>+'Appendix A'!A4</f>
        <v xml:space="preserve">Virginia Electric and Power Company  </v>
      </c>
      <c r="B1" s="1160"/>
      <c r="C1" s="1160"/>
      <c r="D1" s="1160"/>
      <c r="E1" s="1160"/>
      <c r="F1" s="1160"/>
    </row>
    <row r="2" spans="1:7" ht="18.350000000000001">
      <c r="A2" s="1160" t="s">
        <v>880</v>
      </c>
      <c r="B2" s="1160"/>
      <c r="C2" s="1160"/>
      <c r="D2" s="1160"/>
      <c r="E2" s="1160"/>
      <c r="F2" s="1160"/>
    </row>
    <row r="3" spans="1:7" ht="18.350000000000001">
      <c r="A3" s="1160" t="s">
        <v>463</v>
      </c>
      <c r="B3" s="1160"/>
      <c r="C3" s="1160"/>
      <c r="D3" s="1160"/>
      <c r="E3" s="1160"/>
      <c r="F3" s="1160"/>
    </row>
    <row r="4" spans="1:7" ht="14.3">
      <c r="A4" s="1192" t="s">
        <v>1611</v>
      </c>
      <c r="B4" s="1192"/>
      <c r="C4" s="1192"/>
      <c r="D4" s="1192"/>
      <c r="E4" s="1192"/>
      <c r="F4" s="1192"/>
    </row>
    <row r="5" spans="1:7" ht="13.6">
      <c r="A5" s="315"/>
      <c r="B5" s="160"/>
      <c r="C5" s="315"/>
      <c r="D5" s="316" t="s">
        <v>312</v>
      </c>
      <c r="E5" s="314" t="s">
        <v>576</v>
      </c>
      <c r="F5" s="315"/>
    </row>
    <row r="6" spans="1:7" ht="13.6">
      <c r="A6" s="167"/>
      <c r="B6" s="161" t="s">
        <v>454</v>
      </c>
      <c r="C6" s="167"/>
      <c r="D6" s="317" t="s">
        <v>318</v>
      </c>
      <c r="E6" s="318" t="s">
        <v>318</v>
      </c>
      <c r="F6" s="318" t="s">
        <v>813</v>
      </c>
    </row>
    <row r="7" spans="1:7" ht="14.95">
      <c r="A7" s="167">
        <v>1</v>
      </c>
      <c r="B7" s="283" t="s">
        <v>422</v>
      </c>
      <c r="C7" s="166"/>
      <c r="D7" s="859">
        <v>8837.4439999999995</v>
      </c>
      <c r="E7" s="327"/>
      <c r="F7" s="328">
        <f>SUM(D7:E7)</f>
        <v>8837.4439999999995</v>
      </c>
      <c r="G7" s="123"/>
    </row>
    <row r="8" spans="1:7" s="163" customFormat="1">
      <c r="A8" s="167">
        <v>2</v>
      </c>
      <c r="B8" s="168" t="s">
        <v>455</v>
      </c>
      <c r="C8" s="167" t="s">
        <v>477</v>
      </c>
      <c r="D8" s="329">
        <f>SUM(D7:D7)</f>
        <v>8837.4439999999995</v>
      </c>
      <c r="E8" s="486">
        <f>SUM(E7)</f>
        <v>0</v>
      </c>
      <c r="F8" s="173">
        <f>SUM(F7)</f>
        <v>8837.4439999999995</v>
      </c>
      <c r="G8" s="164"/>
    </row>
    <row r="9" spans="1:7">
      <c r="A9" s="167"/>
      <c r="B9" s="168"/>
      <c r="C9" s="168"/>
      <c r="D9" s="329"/>
      <c r="E9" s="125"/>
      <c r="F9" s="167"/>
      <c r="G9" s="126"/>
    </row>
    <row r="10" spans="1:7" ht="13.6">
      <c r="A10" s="125"/>
      <c r="B10" s="161" t="s">
        <v>423</v>
      </c>
      <c r="C10" s="168"/>
      <c r="D10" s="324"/>
      <c r="E10" s="125"/>
      <c r="F10" s="167"/>
      <c r="G10" s="127"/>
    </row>
    <row r="11" spans="1:7">
      <c r="A11" s="125"/>
      <c r="B11" s="319"/>
      <c r="C11" s="294"/>
      <c r="D11" s="330"/>
      <c r="E11" s="125"/>
      <c r="F11" s="167"/>
      <c r="G11" s="124"/>
    </row>
    <row r="12" spans="1:7">
      <c r="A12" s="125">
        <f>+A8+1</f>
        <v>3</v>
      </c>
      <c r="B12" s="283" t="s">
        <v>644</v>
      </c>
      <c r="C12" s="288"/>
      <c r="D12" s="331"/>
      <c r="E12" s="134"/>
      <c r="F12" s="125"/>
      <c r="G12" s="123"/>
    </row>
    <row r="13" spans="1:7" ht="38.75">
      <c r="A13" s="320">
        <f t="shared" ref="A13:A19" si="0">+A12+1</f>
        <v>4</v>
      </c>
      <c r="B13" s="288" t="s">
        <v>134</v>
      </c>
      <c r="C13" s="288"/>
      <c r="D13" s="860">
        <v>1896</v>
      </c>
      <c r="E13" s="788"/>
      <c r="F13" s="787">
        <f>SUM(D13:E13)</f>
        <v>1896</v>
      </c>
      <c r="G13" s="123"/>
    </row>
    <row r="14" spans="1:7">
      <c r="A14" s="125">
        <f t="shared" si="0"/>
        <v>5</v>
      </c>
      <c r="B14" s="168" t="s">
        <v>19</v>
      </c>
      <c r="C14" s="288"/>
      <c r="D14" s="860"/>
      <c r="E14" s="327"/>
      <c r="F14" s="173">
        <f t="shared" ref="F14:F22" si="1">SUM(D14:E14)</f>
        <v>0</v>
      </c>
      <c r="G14" s="123"/>
    </row>
    <row r="15" spans="1:7">
      <c r="A15" s="167">
        <f t="shared" si="0"/>
        <v>6</v>
      </c>
      <c r="B15" s="168" t="s">
        <v>424</v>
      </c>
      <c r="C15" s="192"/>
      <c r="D15" s="861"/>
      <c r="E15" s="327"/>
      <c r="F15" s="173">
        <f t="shared" si="1"/>
        <v>0</v>
      </c>
      <c r="G15" s="124"/>
    </row>
    <row r="16" spans="1:7">
      <c r="A16" s="167">
        <f t="shared" si="0"/>
        <v>7</v>
      </c>
      <c r="B16" s="168" t="s">
        <v>425</v>
      </c>
      <c r="C16" s="288"/>
      <c r="D16" s="860"/>
      <c r="E16" s="327"/>
      <c r="F16" s="173">
        <f t="shared" si="1"/>
        <v>0</v>
      </c>
      <c r="G16" s="123"/>
    </row>
    <row r="17" spans="1:14">
      <c r="A17" s="167">
        <f t="shared" si="0"/>
        <v>8</v>
      </c>
      <c r="B17" s="168" t="s">
        <v>426</v>
      </c>
      <c r="C17" s="166"/>
      <c r="D17" s="862">
        <v>6667.6360000000004</v>
      </c>
      <c r="E17" s="788"/>
      <c r="F17" s="787">
        <f t="shared" si="1"/>
        <v>6667.6360000000004</v>
      </c>
      <c r="G17" s="127"/>
    </row>
    <row r="18" spans="1:14">
      <c r="A18" s="167">
        <f t="shared" si="0"/>
        <v>9</v>
      </c>
      <c r="B18" s="168" t="s">
        <v>427</v>
      </c>
      <c r="C18" s="125"/>
      <c r="D18" s="862">
        <v>2832.63</v>
      </c>
      <c r="E18" s="327"/>
      <c r="F18" s="173">
        <f t="shared" si="1"/>
        <v>2832.63</v>
      </c>
    </row>
    <row r="19" spans="1:14" ht="14.95">
      <c r="A19" s="167">
        <f t="shared" si="0"/>
        <v>10</v>
      </c>
      <c r="B19" s="168" t="s">
        <v>432</v>
      </c>
      <c r="C19" s="125"/>
      <c r="D19" s="772"/>
      <c r="E19" s="332"/>
      <c r="F19" s="328">
        <f t="shared" si="1"/>
        <v>0</v>
      </c>
    </row>
    <row r="20" spans="1:14">
      <c r="A20" s="167"/>
      <c r="B20" s="168"/>
      <c r="C20" s="125"/>
      <c r="D20" s="333"/>
      <c r="E20" s="125"/>
      <c r="F20" s="167"/>
    </row>
    <row r="21" spans="1:14" ht="14.95">
      <c r="A21" s="167">
        <f>+A19+1</f>
        <v>11</v>
      </c>
      <c r="B21" s="168" t="s">
        <v>266</v>
      </c>
      <c r="C21" s="167" t="s">
        <v>478</v>
      </c>
      <c r="D21" s="333">
        <f>SUM(D12:D19)+D8</f>
        <v>20233.71</v>
      </c>
      <c r="E21" s="334">
        <f>SUM(E12:E19)+E8</f>
        <v>0</v>
      </c>
      <c r="F21" s="173">
        <f t="shared" si="1"/>
        <v>20233.71</v>
      </c>
    </row>
    <row r="22" spans="1:14" ht="14.95">
      <c r="A22" s="125">
        <v>12</v>
      </c>
      <c r="B22" s="166" t="s">
        <v>601</v>
      </c>
      <c r="C22" s="125"/>
      <c r="D22" s="334">
        <f>D34</f>
        <v>-10086.540000000001</v>
      </c>
      <c r="E22" s="334">
        <f>E34</f>
        <v>0</v>
      </c>
      <c r="F22" s="328">
        <f t="shared" si="1"/>
        <v>-10086.540000000001</v>
      </c>
    </row>
    <row r="23" spans="1:14">
      <c r="A23" s="125">
        <v>13</v>
      </c>
      <c r="B23" s="166" t="s">
        <v>506</v>
      </c>
      <c r="C23" s="125"/>
      <c r="D23" s="335">
        <f>+D21+D22</f>
        <v>10147.169999999998</v>
      </c>
      <c r="E23" s="335">
        <f>+E21+E22</f>
        <v>0</v>
      </c>
      <c r="F23" s="335">
        <f>+F21+F22</f>
        <v>10147.169999999998</v>
      </c>
    </row>
    <row r="24" spans="1:14">
      <c r="A24" s="321"/>
      <c r="B24" s="167"/>
      <c r="C24" s="167"/>
      <c r="D24" s="333"/>
      <c r="E24" s="125"/>
      <c r="F24" s="167"/>
      <c r="H24" s="193"/>
      <c r="J24" s="193"/>
      <c r="K24" s="193"/>
      <c r="L24" s="193"/>
      <c r="N24" s="193"/>
    </row>
    <row r="25" spans="1:14">
      <c r="A25" s="321"/>
      <c r="B25" s="167"/>
      <c r="C25" s="167"/>
      <c r="D25" s="333"/>
      <c r="E25" s="125"/>
      <c r="F25" s="167"/>
      <c r="H25" s="193"/>
      <c r="J25" s="193"/>
      <c r="K25" s="193"/>
      <c r="L25" s="193"/>
    </row>
    <row r="26" spans="1:14">
      <c r="A26" s="321"/>
      <c r="B26" s="167" t="s">
        <v>298</v>
      </c>
      <c r="C26" s="167"/>
      <c r="D26" s="333"/>
      <c r="E26" s="125"/>
      <c r="F26" s="167"/>
      <c r="H26" s="193"/>
      <c r="J26" s="193"/>
      <c r="K26" s="193"/>
      <c r="L26" s="193"/>
    </row>
    <row r="27" spans="1:14" ht="15.65">
      <c r="A27" s="320"/>
      <c r="B27" s="167"/>
      <c r="C27" s="322"/>
      <c r="D27" s="333"/>
      <c r="E27" s="336"/>
      <c r="F27" s="167"/>
      <c r="H27" s="193"/>
      <c r="J27" s="193"/>
      <c r="K27" s="193"/>
      <c r="L27" s="193"/>
    </row>
    <row r="28" spans="1:14" ht="15.65">
      <c r="A28" s="320" t="s">
        <v>299</v>
      </c>
      <c r="B28" s="184" t="s">
        <v>20</v>
      </c>
      <c r="C28" s="322"/>
      <c r="D28" s="335">
        <f>D7+D17+D19</f>
        <v>15505.08</v>
      </c>
      <c r="E28" s="335">
        <f>E7+E17+E19</f>
        <v>0</v>
      </c>
      <c r="F28" s="173">
        <f>SUM(D28:E28)</f>
        <v>15505.08</v>
      </c>
      <c r="G28" s="2"/>
      <c r="H28" s="193"/>
    </row>
    <row r="29" spans="1:14" s="163" customFormat="1" ht="15.65">
      <c r="A29" s="320" t="s">
        <v>300</v>
      </c>
      <c r="B29" s="184" t="s">
        <v>306</v>
      </c>
      <c r="C29" s="322"/>
      <c r="D29" s="337">
        <v>4668</v>
      </c>
      <c r="E29" s="337">
        <v>0</v>
      </c>
      <c r="F29" s="328">
        <f>SUM(D29:E29)</f>
        <v>4668</v>
      </c>
      <c r="G29" s="2"/>
    </row>
    <row r="30" spans="1:14" ht="15.65">
      <c r="A30" s="320" t="s">
        <v>301</v>
      </c>
      <c r="B30" s="184" t="s">
        <v>307</v>
      </c>
      <c r="C30" s="322"/>
      <c r="D30" s="335">
        <f>+D28-D29</f>
        <v>10837.08</v>
      </c>
      <c r="E30" s="335">
        <f>+E28-E29</f>
        <v>0</v>
      </c>
      <c r="F30" s="335">
        <f>+F28-F29</f>
        <v>10837.08</v>
      </c>
      <c r="G30" s="2"/>
      <c r="H30" s="193"/>
    </row>
    <row r="31" spans="1:14" s="163" customFormat="1" ht="15.65">
      <c r="A31" s="320" t="s">
        <v>302</v>
      </c>
      <c r="B31" s="184" t="s">
        <v>308</v>
      </c>
      <c r="C31" s="322"/>
      <c r="D31" s="335">
        <f>+D30/2</f>
        <v>5418.54</v>
      </c>
      <c r="E31" s="335">
        <f>+E30/2</f>
        <v>0</v>
      </c>
      <c r="F31" s="335">
        <f>+F30/2</f>
        <v>5418.54</v>
      </c>
      <c r="G31" s="2"/>
      <c r="H31" s="194"/>
      <c r="J31" s="195"/>
    </row>
    <row r="32" spans="1:14" ht="38.75">
      <c r="A32" s="320" t="s">
        <v>303</v>
      </c>
      <c r="B32" s="184" t="s">
        <v>275</v>
      </c>
      <c r="C32" s="322"/>
      <c r="D32" s="335">
        <v>0</v>
      </c>
      <c r="E32" s="335">
        <v>0</v>
      </c>
      <c r="F32" s="335">
        <v>0</v>
      </c>
      <c r="G32" s="2"/>
    </row>
    <row r="33" spans="1:8">
      <c r="A33" s="320" t="s">
        <v>304</v>
      </c>
      <c r="B33" s="166" t="s">
        <v>309</v>
      </c>
      <c r="C33" s="125"/>
      <c r="D33" s="333">
        <f>+D31+D32</f>
        <v>5418.54</v>
      </c>
      <c r="E33" s="335">
        <f>+E31+E32</f>
        <v>0</v>
      </c>
      <c r="F33" s="333">
        <f>+F31+F32</f>
        <v>5418.54</v>
      </c>
      <c r="G33" s="2"/>
      <c r="H33" s="193"/>
    </row>
    <row r="34" spans="1:8">
      <c r="A34" s="320" t="s">
        <v>305</v>
      </c>
      <c r="B34" s="166" t="s">
        <v>310</v>
      </c>
      <c r="C34" s="125"/>
      <c r="D34" s="333">
        <f>+D33-D28</f>
        <v>-10086.540000000001</v>
      </c>
      <c r="E34" s="335">
        <f>+E33-E28</f>
        <v>0</v>
      </c>
      <c r="F34" s="333">
        <f>+F33-F28</f>
        <v>-10086.540000000001</v>
      </c>
      <c r="G34" s="2"/>
      <c r="H34" s="193"/>
    </row>
    <row r="35" spans="1:8">
      <c r="A35" s="323"/>
      <c r="B35" s="167"/>
      <c r="C35" s="167"/>
      <c r="D35" s="333"/>
      <c r="E35" s="333"/>
      <c r="F35" s="333"/>
    </row>
    <row r="36" spans="1:8">
      <c r="A36" s="315"/>
      <c r="B36" s="167"/>
      <c r="C36" s="167"/>
      <c r="D36" s="333"/>
      <c r="E36" s="333"/>
      <c r="F36" s="333"/>
    </row>
    <row r="37" spans="1:8">
      <c r="A37" s="315"/>
      <c r="B37" s="167"/>
      <c r="C37" s="167"/>
      <c r="D37" s="167"/>
      <c r="E37" s="167"/>
      <c r="F37" s="333"/>
    </row>
    <row r="38" spans="1:8">
      <c r="A38" s="315"/>
      <c r="B38" s="167"/>
      <c r="C38" s="167"/>
      <c r="D38" s="796"/>
      <c r="E38" s="167"/>
      <c r="F38" s="338"/>
    </row>
    <row r="39" spans="1:8">
      <c r="A39" s="315"/>
      <c r="B39" s="167"/>
      <c r="C39" s="167"/>
      <c r="D39" s="167"/>
      <c r="E39" s="167"/>
      <c r="F39" s="333"/>
      <c r="G39" s="163"/>
    </row>
    <row r="40" spans="1:8">
      <c r="A40" s="315"/>
      <c r="B40" s="167"/>
      <c r="C40" s="167"/>
      <c r="D40" s="324"/>
      <c r="E40" s="125"/>
      <c r="F40" s="167"/>
    </row>
    <row r="41" spans="1:8">
      <c r="A41" s="315"/>
      <c r="B41" s="167"/>
      <c r="C41" s="167"/>
      <c r="D41" s="324"/>
      <c r="E41" s="125"/>
      <c r="F41" s="167"/>
    </row>
    <row r="42" spans="1:8">
      <c r="A42" s="315"/>
      <c r="B42" s="167"/>
      <c r="C42" s="167"/>
      <c r="D42" s="324"/>
      <c r="E42" s="125"/>
      <c r="F42" s="167"/>
    </row>
    <row r="43" spans="1:8" ht="13.6">
      <c r="A43" s="315"/>
      <c r="B43" s="165" t="s">
        <v>298</v>
      </c>
      <c r="C43" s="167"/>
      <c r="D43" s="324"/>
      <c r="E43" s="125"/>
      <c r="F43" s="167"/>
    </row>
    <row r="44" spans="1:8" ht="66.75" customHeight="1">
      <c r="A44" s="315"/>
      <c r="B44" s="185" t="s">
        <v>135</v>
      </c>
      <c r="C44" s="167"/>
      <c r="D44" s="325"/>
      <c r="E44" s="125"/>
      <c r="F44" s="167"/>
    </row>
    <row r="45" spans="1:8">
      <c r="A45" s="315"/>
      <c r="B45" s="168"/>
      <c r="C45" s="167"/>
      <c r="D45" s="324"/>
      <c r="E45" s="125"/>
      <c r="F45" s="167"/>
    </row>
    <row r="46" spans="1:8" ht="51.65">
      <c r="A46" s="315"/>
      <c r="B46" s="326" t="s">
        <v>66</v>
      </c>
      <c r="C46" s="167"/>
      <c r="D46" s="324"/>
      <c r="E46" s="125"/>
      <c r="F46" s="167"/>
    </row>
    <row r="47" spans="1:8">
      <c r="A47" s="315"/>
      <c r="B47" s="168"/>
      <c r="C47" s="167"/>
      <c r="D47" s="324"/>
      <c r="E47" s="125"/>
      <c r="F47" s="167"/>
    </row>
    <row r="48" spans="1:8" ht="160.5" customHeight="1">
      <c r="A48" s="315"/>
      <c r="B48" s="184" t="s">
        <v>460</v>
      </c>
      <c r="C48" s="167"/>
      <c r="D48" s="324"/>
      <c r="E48" s="125"/>
      <c r="F48" s="167"/>
    </row>
    <row r="49" spans="1:6">
      <c r="A49" s="315"/>
      <c r="C49" s="167"/>
      <c r="D49" s="324"/>
      <c r="E49" s="125"/>
      <c r="F49" s="167"/>
    </row>
    <row r="50" spans="1:6" ht="51.65">
      <c r="A50" s="315"/>
      <c r="B50" s="185" t="s">
        <v>461</v>
      </c>
      <c r="C50" s="167"/>
      <c r="D50" s="324"/>
      <c r="E50" s="125"/>
      <c r="F50" s="167"/>
    </row>
    <row r="51" spans="1:6">
      <c r="A51" s="315"/>
      <c r="B51" s="167"/>
      <c r="C51" s="167"/>
      <c r="D51" s="324"/>
      <c r="E51" s="125"/>
      <c r="F51" s="167"/>
    </row>
    <row r="52" spans="1:6">
      <c r="A52" s="315"/>
      <c r="B52" s="167"/>
      <c r="C52" s="167"/>
      <c r="D52" s="324"/>
      <c r="E52" s="125"/>
      <c r="F52" s="167"/>
    </row>
    <row r="53" spans="1:6">
      <c r="A53" s="315"/>
      <c r="B53" s="167"/>
      <c r="C53" s="167"/>
      <c r="D53" s="324"/>
      <c r="E53" s="125"/>
      <c r="F53" s="167"/>
    </row>
    <row r="54" spans="1:6">
      <c r="A54" s="315"/>
      <c r="B54" s="167"/>
      <c r="C54" s="167"/>
      <c r="D54" s="324"/>
      <c r="E54" s="125"/>
      <c r="F54" s="167"/>
    </row>
    <row r="55" spans="1:6">
      <c r="A55" s="315"/>
      <c r="B55" s="167"/>
      <c r="C55" s="167"/>
      <c r="D55" s="324"/>
      <c r="E55" s="125"/>
      <c r="F55" s="167"/>
    </row>
    <row r="56" spans="1:6">
      <c r="A56" s="315"/>
      <c r="B56" s="167"/>
      <c r="C56" s="167"/>
      <c r="D56" s="324"/>
      <c r="E56" s="167"/>
      <c r="F56" s="167"/>
    </row>
    <row r="57" spans="1:6">
      <c r="A57" s="315"/>
      <c r="B57" s="167"/>
      <c r="C57" s="167"/>
      <c r="D57" s="324"/>
      <c r="E57" s="167"/>
      <c r="F57" s="167"/>
    </row>
    <row r="58" spans="1:6">
      <c r="A58" s="315"/>
      <c r="B58" s="167"/>
      <c r="C58" s="167"/>
      <c r="D58" s="324"/>
      <c r="E58" s="167"/>
      <c r="F58" s="167"/>
    </row>
    <row r="59" spans="1:6">
      <c r="A59" s="315"/>
      <c r="B59" s="167"/>
      <c r="C59" s="167"/>
      <c r="D59" s="324"/>
      <c r="E59" s="167"/>
      <c r="F59" s="167"/>
    </row>
    <row r="63" spans="1:6">
      <c r="F63" s="173"/>
    </row>
  </sheetData>
  <mergeCells count="4">
    <mergeCell ref="A1:F1"/>
    <mergeCell ref="A2:F2"/>
    <mergeCell ref="A3:F3"/>
    <mergeCell ref="A4:F4"/>
  </mergeCells>
  <phoneticPr fontId="45" type="noConversion"/>
  <printOptions horizontalCentered="1"/>
  <pageMargins left="0.5" right="0.5" top="0.75" bottom="0.5" header="0.5" footer="0.5"/>
  <pageSetup scale="66" orientation="portrait" r:id="rId1"/>
  <headerFooter alignWithMargins="0">
    <oddHeader>&amp;RPage &amp;P of &amp;N</oddHeader>
  </headerFooter>
</worksheet>
</file>

<file path=xl/worksheets/sheet9.xml><?xml version="1.0" encoding="utf-8"?>
<worksheet xmlns="http://schemas.openxmlformats.org/spreadsheetml/2006/main" xmlns:r="http://schemas.openxmlformats.org/officeDocument/2006/relationships">
  <sheetPr codeName="Sheet6"/>
  <dimension ref="A1:I316"/>
  <sheetViews>
    <sheetView zoomScale="70" zoomScaleNormal="70" workbookViewId="0">
      <selection sqref="A1:I1"/>
    </sheetView>
  </sheetViews>
  <sheetFormatPr defaultRowHeight="12.9"/>
  <cols>
    <col min="1" max="1" width="12.625" customWidth="1"/>
    <col min="2" max="2" width="3" customWidth="1"/>
    <col min="3" max="3" width="8.125" customWidth="1"/>
    <col min="4" max="4" width="51.25" customWidth="1"/>
    <col min="5" max="5" width="28.75" customWidth="1"/>
    <col min="6" max="6" width="34.25" customWidth="1"/>
    <col min="7" max="7" width="37.125" customWidth="1"/>
    <col min="8" max="8" width="3.875" customWidth="1"/>
    <col min="9" max="9" width="18" customWidth="1"/>
  </cols>
  <sheetData>
    <row r="1" spans="1:9" ht="18.350000000000001">
      <c r="A1" s="1160" t="str">
        <f>'Appendix A'!A4</f>
        <v xml:space="preserve">Virginia Electric and Power Company  </v>
      </c>
      <c r="B1" s="1193"/>
      <c r="C1" s="1193"/>
      <c r="D1" s="1193"/>
      <c r="E1" s="1193"/>
      <c r="F1" s="1193"/>
      <c r="G1" s="1193"/>
      <c r="H1" s="1193"/>
      <c r="I1" s="1187"/>
    </row>
    <row r="2" spans="1:9" ht="18.350000000000001">
      <c r="A2" s="1160" t="s">
        <v>880</v>
      </c>
      <c r="B2" s="1160"/>
      <c r="C2" s="1160"/>
      <c r="D2" s="1160"/>
      <c r="E2" s="1160"/>
      <c r="F2" s="1160"/>
      <c r="G2" s="1160"/>
      <c r="H2" s="1160"/>
      <c r="I2" s="1160"/>
    </row>
    <row r="3" spans="1:9" ht="18.350000000000001">
      <c r="A3" s="1160" t="s">
        <v>361</v>
      </c>
      <c r="B3" s="1160"/>
      <c r="C3" s="1160"/>
      <c r="D3" s="1160"/>
      <c r="E3" s="1160"/>
      <c r="F3" s="1160"/>
      <c r="G3" s="1160"/>
      <c r="H3" s="1187"/>
      <c r="I3" s="1187"/>
    </row>
    <row r="4" spans="1:9" ht="18.350000000000001">
      <c r="A4" s="494" t="s">
        <v>1612</v>
      </c>
      <c r="B4" s="339"/>
      <c r="C4" s="339"/>
      <c r="D4" s="339"/>
      <c r="E4" s="339"/>
      <c r="F4" s="339"/>
      <c r="G4" s="339"/>
      <c r="H4" s="262"/>
      <c r="I4" s="262"/>
    </row>
    <row r="5" spans="1:9" ht="14.3">
      <c r="A5" s="167"/>
      <c r="B5" s="167"/>
      <c r="C5" s="1192"/>
      <c r="D5" s="1192"/>
      <c r="E5" s="1192"/>
      <c r="F5" s="1192"/>
      <c r="G5" s="1192"/>
      <c r="H5" s="1192"/>
      <c r="I5" s="1192"/>
    </row>
    <row r="6" spans="1:9" s="49" customFormat="1" ht="15.65">
      <c r="A6" s="34"/>
      <c r="B6" s="135"/>
      <c r="C6" s="34"/>
      <c r="D6" s="34"/>
      <c r="E6" s="34"/>
      <c r="F6" s="34"/>
      <c r="G6" s="34"/>
      <c r="H6" s="34"/>
      <c r="I6" s="34"/>
    </row>
    <row r="7" spans="1:9" s="49" customFormat="1" ht="15.65">
      <c r="A7" s="34"/>
      <c r="B7" s="34"/>
      <c r="C7" s="34"/>
      <c r="D7" s="34"/>
      <c r="E7" s="34"/>
      <c r="F7" s="34"/>
      <c r="G7" s="34"/>
      <c r="H7" s="34"/>
      <c r="I7" s="34"/>
    </row>
    <row r="8" spans="1:9" s="49" customFormat="1" ht="15.65">
      <c r="A8" s="34"/>
      <c r="B8" s="34"/>
      <c r="C8" s="34"/>
      <c r="D8" s="34"/>
      <c r="E8" s="34"/>
      <c r="F8" s="34"/>
      <c r="G8" s="34"/>
      <c r="H8" s="34"/>
      <c r="I8" s="34"/>
    </row>
    <row r="9" spans="1:9" s="49" customFormat="1" ht="15.65">
      <c r="A9" s="34"/>
      <c r="B9" s="34"/>
      <c r="C9" s="34" t="s">
        <v>357</v>
      </c>
      <c r="D9" s="34"/>
      <c r="E9" s="34"/>
      <c r="F9" s="34"/>
      <c r="G9" s="34"/>
      <c r="H9" s="34"/>
      <c r="I9" s="34"/>
    </row>
    <row r="10" spans="1:9" s="49" customFormat="1" ht="15.65">
      <c r="A10" s="63" t="s">
        <v>632</v>
      </c>
      <c r="B10" s="63"/>
      <c r="C10" s="34"/>
      <c r="D10" s="34" t="s">
        <v>356</v>
      </c>
      <c r="E10" s="34"/>
      <c r="F10" s="34"/>
      <c r="G10" s="33" t="str">
        <f>"(Line "&amp;A57&amp;" + "&amp;A77&amp;")"</f>
        <v>(Line 130 + 140)</v>
      </c>
      <c r="H10" s="34"/>
      <c r="I10" s="378">
        <f>+I57+I77</f>
        <v>558375.1920569872</v>
      </c>
    </row>
    <row r="11" spans="1:9" s="49" customFormat="1" ht="15.65">
      <c r="A11" s="63"/>
      <c r="B11" s="63"/>
      <c r="C11" s="34"/>
      <c r="D11" s="34"/>
      <c r="E11" s="34"/>
      <c r="F11" s="34"/>
      <c r="G11" s="34"/>
      <c r="H11" s="34"/>
      <c r="I11" s="34"/>
    </row>
    <row r="12" spans="1:9" s="49" customFormat="1" ht="15.65">
      <c r="A12" s="63" t="s">
        <v>814</v>
      </c>
      <c r="B12" s="63"/>
      <c r="C12" s="34"/>
      <c r="D12" s="34" t="str">
        <f>I12*10000&amp;" Basis Point increase in ROE"</f>
        <v>100 Basis Point increase in ROE</v>
      </c>
      <c r="E12" s="3" t="s">
        <v>353</v>
      </c>
      <c r="F12" s="34"/>
      <c r="G12" s="34" t="s">
        <v>853</v>
      </c>
      <c r="H12" s="34"/>
      <c r="I12" s="426">
        <v>0.01</v>
      </c>
    </row>
    <row r="13" spans="1:9" s="49" customFormat="1" ht="15.65">
      <c r="A13" s="63"/>
      <c r="B13" s="63"/>
      <c r="C13" s="34"/>
      <c r="D13" s="34"/>
      <c r="E13" s="34"/>
      <c r="F13" s="34"/>
      <c r="G13" s="34"/>
      <c r="H13" s="34"/>
      <c r="I13" s="426"/>
    </row>
    <row r="14" spans="1:9" s="50" customFormat="1" ht="15.65">
      <c r="A14" s="63"/>
      <c r="B14" s="63"/>
      <c r="C14" s="34"/>
      <c r="D14" s="34"/>
      <c r="E14" s="34"/>
      <c r="F14" s="34"/>
      <c r="G14" s="34"/>
      <c r="H14" s="34"/>
      <c r="I14" s="158"/>
    </row>
    <row r="15" spans="1:9" s="50" customFormat="1" ht="15.65">
      <c r="A15" s="841" t="s">
        <v>352</v>
      </c>
      <c r="B15" s="370"/>
      <c r="C15" s="370"/>
      <c r="D15" s="370"/>
      <c r="E15" s="371"/>
      <c r="F15" s="372"/>
      <c r="G15" s="372"/>
      <c r="H15" s="372"/>
      <c r="I15" s="372"/>
    </row>
    <row r="16" spans="1:9" s="49" customFormat="1" ht="15.65">
      <c r="A16" s="427" t="s">
        <v>602</v>
      </c>
      <c r="B16" s="34"/>
      <c r="C16" s="34"/>
      <c r="D16" s="34"/>
      <c r="E16" s="34"/>
      <c r="F16" s="34"/>
      <c r="G16" s="34"/>
      <c r="H16" s="34"/>
      <c r="I16" s="428"/>
    </row>
    <row r="17" spans="1:9" s="49" customFormat="1" ht="15.65">
      <c r="A17" s="429">
        <f>'Appendix A'!A108</f>
        <v>62</v>
      </c>
      <c r="B17" s="34"/>
      <c r="C17" s="214" t="str">
        <f>'Appendix A'!B108</f>
        <v>Rate Base</v>
      </c>
      <c r="D17" s="214"/>
      <c r="E17" s="34"/>
      <c r="F17" s="214"/>
      <c r="G17" s="214" t="str">
        <f>'Appendix A'!F108</f>
        <v>(Line 44 + 61)</v>
      </c>
      <c r="H17" s="214"/>
      <c r="I17" s="378">
        <f>'Appendix A'!H108</f>
        <v>4075585.7933562901</v>
      </c>
    </row>
    <row r="18" spans="1:9" s="49" customFormat="1" ht="15.65">
      <c r="A18" s="341"/>
      <c r="B18" s="34"/>
      <c r="C18" s="34"/>
      <c r="D18" s="34"/>
      <c r="E18" s="34"/>
      <c r="F18" s="34"/>
      <c r="G18" s="214"/>
      <c r="H18" s="34"/>
      <c r="I18" s="428"/>
    </row>
    <row r="19" spans="1:9" s="49" customFormat="1" ht="15.65">
      <c r="A19" s="341"/>
      <c r="B19" s="34"/>
      <c r="C19" s="34"/>
      <c r="D19" s="34"/>
      <c r="E19" s="34"/>
      <c r="F19" s="34"/>
      <c r="G19" s="214"/>
      <c r="H19" s="34"/>
      <c r="I19" s="34"/>
    </row>
    <row r="20" spans="1:9" s="49" customFormat="1" ht="15.65">
      <c r="A20" s="430"/>
      <c r="B20" s="214"/>
      <c r="C20" s="92" t="str">
        <f>'Appendix A'!B174</f>
        <v>Long Term Interest</v>
      </c>
      <c r="D20" s="58"/>
      <c r="E20" s="37"/>
      <c r="F20" s="9"/>
      <c r="G20" s="209"/>
      <c r="H20" s="25"/>
      <c r="I20" s="34"/>
    </row>
    <row r="21" spans="1:9" s="49" customFormat="1" ht="15.65">
      <c r="A21" s="430">
        <f>'Appendix A'!A175</f>
        <v>104</v>
      </c>
      <c r="B21" s="214"/>
      <c r="C21" s="214"/>
      <c r="D21" s="58" t="str">
        <f>'Appendix A'!C175</f>
        <v>Long Term Interest</v>
      </c>
      <c r="E21" s="37"/>
      <c r="F21" s="9"/>
      <c r="G21" s="847" t="s">
        <v>993</v>
      </c>
      <c r="H21" s="25"/>
      <c r="I21" s="43">
        <f>'Appendix A'!H175</f>
        <v>387949.51088999998</v>
      </c>
    </row>
    <row r="22" spans="1:9" s="49" customFormat="1" ht="15.65">
      <c r="A22" s="431">
        <f>+A21+1</f>
        <v>105</v>
      </c>
      <c r="B22" s="214"/>
      <c r="C22" s="214"/>
      <c r="D22" s="4" t="str">
        <f>'Appendix A'!C176</f>
        <v xml:space="preserve">    Less LTD Interest on Securitization Bonds</v>
      </c>
      <c r="E22" s="210" t="str">
        <f>'Appendix A'!E176</f>
        <v>(Note P)</v>
      </c>
      <c r="F22" s="211"/>
      <c r="G22" s="212" t="str">
        <f>'Appendix A'!F176</f>
        <v>Attachment 8</v>
      </c>
      <c r="H22" s="68"/>
      <c r="I22" s="70">
        <f>'Appendix A'!H176</f>
        <v>0</v>
      </c>
    </row>
    <row r="23" spans="1:9" s="49" customFormat="1" ht="15.65">
      <c r="A23" s="431">
        <f>+A22+1</f>
        <v>106</v>
      </c>
      <c r="B23" s="214"/>
      <c r="C23" s="214"/>
      <c r="D23" s="4" t="str">
        <f>'Appendix A'!C177</f>
        <v>Long Term Interest</v>
      </c>
      <c r="E23" s="37"/>
      <c r="F23" s="58"/>
      <c r="G23" s="213" t="str">
        <f>'Appendix A'!F177</f>
        <v>(Line 104 - 105)</v>
      </c>
      <c r="H23" s="25"/>
      <c r="I23" s="43">
        <f>+I21-I22</f>
        <v>387949.51088999998</v>
      </c>
    </row>
    <row r="24" spans="1:9" s="49" customFormat="1" ht="15.65">
      <c r="A24" s="431"/>
      <c r="B24" s="214"/>
      <c r="C24" s="4"/>
      <c r="D24" s="4"/>
      <c r="E24" s="9"/>
      <c r="F24" s="5"/>
      <c r="G24" s="214"/>
      <c r="H24" s="5"/>
      <c r="I24" s="10"/>
    </row>
    <row r="25" spans="1:9" s="49" customFormat="1" ht="15.65">
      <c r="A25" s="431">
        <f>+A23+1</f>
        <v>107</v>
      </c>
      <c r="B25" s="214"/>
      <c r="C25" s="214" t="str">
        <f>'Appendix A'!B179</f>
        <v>Preferred Dividends</v>
      </c>
      <c r="D25" s="215"/>
      <c r="E25" s="34"/>
      <c r="F25" s="9" t="s">
        <v>806</v>
      </c>
      <c r="G25" s="94" t="str">
        <f>'Appendix A'!F179</f>
        <v>p118.29c</v>
      </c>
      <c r="H25" s="5"/>
      <c r="I25" s="43">
        <f>'Appendix A'!H179</f>
        <v>16496</v>
      </c>
    </row>
    <row r="26" spans="1:9" s="49" customFormat="1" ht="15.65">
      <c r="A26" s="431"/>
      <c r="B26" s="214"/>
      <c r="C26" s="4"/>
      <c r="D26" s="4"/>
      <c r="E26" s="9"/>
      <c r="F26" s="3"/>
      <c r="G26" s="94"/>
      <c r="H26" s="5"/>
      <c r="I26" s="10"/>
    </row>
    <row r="27" spans="1:9" s="49" customFormat="1" ht="15.65">
      <c r="A27" s="431"/>
      <c r="B27" s="214"/>
      <c r="C27" s="4" t="str">
        <f>'Appendix A'!B181</f>
        <v>Common Stock</v>
      </c>
      <c r="D27" s="65"/>
      <c r="E27" s="9"/>
      <c r="F27" s="9"/>
      <c r="G27" s="94"/>
      <c r="H27" s="5"/>
      <c r="I27" s="10"/>
    </row>
    <row r="28" spans="1:9" s="49" customFormat="1" ht="15.65">
      <c r="A28" s="431">
        <f>+A25+1</f>
        <v>108</v>
      </c>
      <c r="B28" s="214"/>
      <c r="C28" s="214"/>
      <c r="D28" s="4" t="str">
        <f>'Appendix A'!C182</f>
        <v>Proprietary Capital</v>
      </c>
      <c r="E28" s="5"/>
      <c r="F28" s="5"/>
      <c r="G28" s="94" t="str">
        <f>'Appendix A'!F182</f>
        <v>p112.16c,d/2</v>
      </c>
      <c r="H28" s="5"/>
      <c r="I28" s="43">
        <f>'Appendix A'!H182</f>
        <v>9773967</v>
      </c>
    </row>
    <row r="29" spans="1:9" s="49" customFormat="1" ht="15.65">
      <c r="A29" s="430">
        <f>+A28+1</f>
        <v>109</v>
      </c>
      <c r="B29" s="214"/>
      <c r="C29" s="214"/>
      <c r="D29" s="92" t="str">
        <f>'Appendix A'!C183</f>
        <v xml:space="preserve">    Less Preferred Stock</v>
      </c>
      <c r="E29" s="34"/>
      <c r="F29" s="10" t="s">
        <v>852</v>
      </c>
      <c r="G29" s="216" t="str">
        <f>'Appendix A'!F183</f>
        <v>(Line 117)</v>
      </c>
      <c r="H29" s="5"/>
      <c r="I29" s="10">
        <f>'Appendix A'!H183</f>
        <v>-259014</v>
      </c>
    </row>
    <row r="30" spans="1:9" s="49" customFormat="1" ht="15.65">
      <c r="A30" s="431">
        <f>+A29+1</f>
        <v>110</v>
      </c>
      <c r="B30" s="214"/>
      <c r="C30" s="214"/>
      <c r="D30" s="92" t="str">
        <f>'Appendix A'!C184</f>
        <v xml:space="preserve">    Less Account 219 - Accumulated Other Comprehensive Income</v>
      </c>
      <c r="E30" s="34"/>
      <c r="F30" s="70" t="s">
        <v>852</v>
      </c>
      <c r="G30" s="217" t="str">
        <f>'Appendix A'!F184</f>
        <v>p112.15c,d/2</v>
      </c>
      <c r="H30" s="68"/>
      <c r="I30" s="70">
        <f>'Appendix A'!H184</f>
        <v>-36508.5</v>
      </c>
    </row>
    <row r="31" spans="1:9" s="49" customFormat="1" ht="15.65">
      <c r="A31" s="431">
        <f>+A30+1</f>
        <v>111</v>
      </c>
      <c r="B31" s="214"/>
      <c r="C31" s="214"/>
      <c r="D31" s="92" t="str">
        <f>'Appendix A'!C185</f>
        <v>Common Stock</v>
      </c>
      <c r="E31" s="34"/>
      <c r="F31" s="43"/>
      <c r="G31" s="150" t="str">
        <f>'Appendix A'!F185</f>
        <v>(Sum Lines 108 to 110)</v>
      </c>
      <c r="H31" s="412"/>
      <c r="I31" s="10">
        <f>SUM(I28:I30)</f>
        <v>9478444.5</v>
      </c>
    </row>
    <row r="32" spans="1:9" s="49" customFormat="1" ht="15.65">
      <c r="A32" s="431"/>
      <c r="B32" s="214"/>
      <c r="C32" s="4"/>
      <c r="D32" s="4"/>
      <c r="E32" s="34"/>
      <c r="F32" s="9"/>
      <c r="G32" s="94"/>
      <c r="H32" s="9"/>
      <c r="I32" s="10"/>
    </row>
    <row r="33" spans="1:9" s="49" customFormat="1" ht="15.65">
      <c r="A33" s="431"/>
      <c r="B33" s="214"/>
      <c r="C33" s="4" t="str">
        <f>'Appendix A'!B187</f>
        <v>Capitalization</v>
      </c>
      <c r="D33" s="65"/>
      <c r="E33" s="34"/>
      <c r="F33" s="9"/>
      <c r="G33" s="94"/>
      <c r="H33" s="9"/>
      <c r="I33" s="10"/>
    </row>
    <row r="34" spans="1:9" s="49" customFormat="1" ht="15.65">
      <c r="A34" s="431">
        <f>+A31+1</f>
        <v>112</v>
      </c>
      <c r="B34" s="214"/>
      <c r="C34" s="214"/>
      <c r="D34" s="4" t="str">
        <f>'Appendix A'!C188</f>
        <v>Long Term Debt</v>
      </c>
      <c r="E34" s="34"/>
      <c r="F34" s="9"/>
      <c r="G34" s="4" t="str">
        <f>'Appendix A'!F188</f>
        <v>p112.24c,d/2</v>
      </c>
      <c r="H34" s="9"/>
      <c r="I34" s="43">
        <f>'Appendix A'!H188</f>
        <v>7350554.5</v>
      </c>
    </row>
    <row r="35" spans="1:9" s="49" customFormat="1" ht="15.65">
      <c r="A35" s="430">
        <f t="shared" ref="A35:A42" si="0">+A34+1</f>
        <v>113</v>
      </c>
      <c r="B35" s="214"/>
      <c r="C35" s="214"/>
      <c r="D35" s="4" t="str">
        <f>'Appendix A'!C189</f>
        <v xml:space="preserve">      Less Loss on Reacquired Debt </v>
      </c>
      <c r="E35" s="34"/>
      <c r="F35" s="9" t="s">
        <v>852</v>
      </c>
      <c r="G35" s="94" t="str">
        <f>'Appendix A'!F189</f>
        <v>p111.81c,d/2</v>
      </c>
      <c r="H35" s="9"/>
      <c r="I35" s="43">
        <f>'Appendix A'!H189</f>
        <v>-7704</v>
      </c>
    </row>
    <row r="36" spans="1:9" s="49" customFormat="1" ht="15.65">
      <c r="A36" s="430">
        <f t="shared" si="0"/>
        <v>114</v>
      </c>
      <c r="B36" s="275"/>
      <c r="C36" s="275"/>
      <c r="D36" s="92" t="str">
        <f>'Appendix A'!C190</f>
        <v xml:space="preserve">      Plus Gain on Reacquired Debt</v>
      </c>
      <c r="E36" s="34"/>
      <c r="F36" s="27" t="s">
        <v>342</v>
      </c>
      <c r="G36" s="92" t="str">
        <f>'Appendix A'!F190</f>
        <v>p113.61c,d/2</v>
      </c>
      <c r="H36" s="27"/>
      <c r="I36" s="43">
        <f>'Appendix A'!H190</f>
        <v>4338</v>
      </c>
    </row>
    <row r="37" spans="1:9" s="49" customFormat="1" ht="15.65">
      <c r="A37" s="430"/>
      <c r="B37" s="275"/>
      <c r="C37" s="275"/>
      <c r="D37" s="92"/>
      <c r="E37" s="34"/>
      <c r="F37" s="27"/>
      <c r="G37" s="92"/>
      <c r="H37" s="27"/>
      <c r="I37" s="43"/>
    </row>
    <row r="38" spans="1:9" s="49" customFormat="1" ht="15.65">
      <c r="A38" s="430">
        <f>+A36+1</f>
        <v>115</v>
      </c>
      <c r="B38" s="275"/>
      <c r="C38" s="275"/>
      <c r="D38" s="92" t="str">
        <f>'Appendix A'!C191</f>
        <v xml:space="preserve">      Less LTD on Securitization Bonds</v>
      </c>
      <c r="E38" s="34"/>
      <c r="F38" s="27" t="s">
        <v>852</v>
      </c>
      <c r="G38" s="92" t="str">
        <f>'Appendix A'!F191</f>
        <v>Attachment 8</v>
      </c>
      <c r="H38" s="27"/>
      <c r="I38" s="43">
        <f>'Appendix A'!H191</f>
        <v>0</v>
      </c>
    </row>
    <row r="39" spans="1:9" s="49" customFormat="1" ht="15.65">
      <c r="A39" s="430">
        <f>+A38+1</f>
        <v>116</v>
      </c>
      <c r="B39" s="275"/>
      <c r="C39" s="275"/>
      <c r="D39" s="92" t="str">
        <f>'Appendix A'!C192</f>
        <v>Total Long Term Debt</v>
      </c>
      <c r="E39" s="182"/>
      <c r="F39" s="46"/>
      <c r="G39" s="218" t="str">
        <f>'Appendix A'!F192</f>
        <v>(Sum Lines 112 to 115)</v>
      </c>
      <c r="H39" s="182"/>
      <c r="I39" s="51">
        <f>SUM(I34:I38)</f>
        <v>7347188.5</v>
      </c>
    </row>
    <row r="40" spans="1:9" s="49" customFormat="1" ht="15.65">
      <c r="A40" s="430">
        <f t="shared" si="0"/>
        <v>117</v>
      </c>
      <c r="B40" s="275"/>
      <c r="C40" s="275"/>
      <c r="D40" s="92" t="str">
        <f>'Appendix A'!C193</f>
        <v>Preferred Stock</v>
      </c>
      <c r="E40" s="27"/>
      <c r="F40" s="26"/>
      <c r="G40" s="92" t="str">
        <f>'Appendix A'!F193</f>
        <v>p112.3c,d/2</v>
      </c>
      <c r="H40" s="27"/>
      <c r="I40" s="43">
        <f>'Appendix A'!H193</f>
        <v>259014</v>
      </c>
    </row>
    <row r="41" spans="1:9" s="49" customFormat="1" ht="15.65">
      <c r="A41" s="431">
        <f t="shared" si="0"/>
        <v>118</v>
      </c>
      <c r="B41" s="214"/>
      <c r="C41" s="214"/>
      <c r="D41" s="4" t="str">
        <f>'Appendix A'!C194</f>
        <v>Common Stock</v>
      </c>
      <c r="E41" s="9"/>
      <c r="F41" s="3"/>
      <c r="G41" s="214" t="str">
        <f>'Appendix A'!F194</f>
        <v>(Line 111)</v>
      </c>
      <c r="H41" s="9"/>
      <c r="I41" s="43">
        <f>'Appendix A'!H194</f>
        <v>9478444.5</v>
      </c>
    </row>
    <row r="42" spans="1:9" s="49" customFormat="1" ht="15.65">
      <c r="A42" s="431">
        <f t="shared" si="0"/>
        <v>119</v>
      </c>
      <c r="B42" s="214"/>
      <c r="C42" s="214"/>
      <c r="D42" s="4" t="str">
        <f>'Appendix A'!C195</f>
        <v>Total  Capitalization</v>
      </c>
      <c r="E42" s="379"/>
      <c r="F42" s="61"/>
      <c r="G42" s="432" t="str">
        <f>'Appendix A'!F195</f>
        <v>(Sum Lines 116 to 118)</v>
      </c>
      <c r="H42" s="33"/>
      <c r="I42" s="51">
        <f>I41+I40+I39</f>
        <v>17084647</v>
      </c>
    </row>
    <row r="43" spans="1:9" s="49" customFormat="1" ht="15.65">
      <c r="A43" s="431"/>
      <c r="B43" s="214"/>
      <c r="C43" s="214"/>
      <c r="D43" s="4"/>
      <c r="E43" s="9"/>
      <c r="F43" s="3"/>
      <c r="G43" s="214"/>
      <c r="H43" s="5"/>
      <c r="I43" s="28"/>
    </row>
    <row r="44" spans="1:9" s="49" customFormat="1" ht="15.65">
      <c r="A44" s="430">
        <f>+A42+1</f>
        <v>120</v>
      </c>
      <c r="B44" s="214"/>
      <c r="C44" s="214"/>
      <c r="D44" s="4" t="str">
        <f>'Appendix A'!C197</f>
        <v>Debt %</v>
      </c>
      <c r="E44" s="45"/>
      <c r="F44" s="93" t="s">
        <v>614</v>
      </c>
      <c r="G44" s="214" t="str">
        <f>'Appendix A'!F197</f>
        <v>(Line 116 / 119)</v>
      </c>
      <c r="H44" s="5"/>
      <c r="I44" s="264">
        <f>'Appendix A'!H197</f>
        <v>0.43004625732097362</v>
      </c>
    </row>
    <row r="45" spans="1:9" s="49" customFormat="1" ht="15.65">
      <c r="A45" s="430">
        <f>+A44+1</f>
        <v>121</v>
      </c>
      <c r="B45" s="214"/>
      <c r="C45" s="214"/>
      <c r="D45" s="4" t="str">
        <f>'Appendix A'!C198</f>
        <v>Preferred %</v>
      </c>
      <c r="E45" s="3"/>
      <c r="F45" s="93" t="s">
        <v>635</v>
      </c>
      <c r="G45" s="214" t="str">
        <f>'Appendix A'!F198</f>
        <v>(Line 117 / 119)</v>
      </c>
      <c r="H45" s="5"/>
      <c r="I45" s="264">
        <f>'Appendix A'!H198</f>
        <v>1.5160629306534692E-2</v>
      </c>
    </row>
    <row r="46" spans="1:9" s="49" customFormat="1" ht="15.65">
      <c r="A46" s="430">
        <f>+A45+1</f>
        <v>122</v>
      </c>
      <c r="B46" s="214"/>
      <c r="C46" s="214"/>
      <c r="D46" s="4" t="str">
        <f>'Appendix A'!C199</f>
        <v>Common %</v>
      </c>
      <c r="E46" s="3"/>
      <c r="F46" s="93" t="s">
        <v>608</v>
      </c>
      <c r="G46" s="214" t="str">
        <f>'Appendix A'!F199</f>
        <v>(Line 118 / 119)</v>
      </c>
      <c r="H46" s="5"/>
      <c r="I46" s="264">
        <f>'Appendix A'!H199</f>
        <v>0.55479311337249171</v>
      </c>
    </row>
    <row r="47" spans="1:9" s="49" customFormat="1" ht="15.65">
      <c r="A47" s="430"/>
      <c r="B47" s="214"/>
      <c r="C47" s="214"/>
      <c r="D47" s="4"/>
      <c r="E47" s="9"/>
      <c r="F47" s="94"/>
      <c r="G47" s="214"/>
      <c r="H47" s="5"/>
      <c r="I47" s="28"/>
    </row>
    <row r="48" spans="1:9" s="49" customFormat="1" ht="15.65">
      <c r="A48" s="430">
        <f>+A46+1</f>
        <v>123</v>
      </c>
      <c r="B48" s="214"/>
      <c r="C48" s="214"/>
      <c r="D48" s="4" t="str">
        <f>'Appendix A'!C201</f>
        <v>Debt Cost</v>
      </c>
      <c r="E48" s="45"/>
      <c r="F48" s="94" t="s">
        <v>614</v>
      </c>
      <c r="G48" s="214" t="str">
        <f>'Appendix A'!F201</f>
        <v>(Line 106 / 116)</v>
      </c>
      <c r="H48" s="5"/>
      <c r="I48" s="219">
        <f>IF(I39&gt;0,I23/I39,0)</f>
        <v>5.2802444212503866E-2</v>
      </c>
    </row>
    <row r="49" spans="1:9" s="49" customFormat="1" ht="15.65">
      <c r="A49" s="430">
        <f>+A48+1</f>
        <v>124</v>
      </c>
      <c r="B49" s="214"/>
      <c r="C49" s="214"/>
      <c r="D49" s="4" t="str">
        <f>'Appendix A'!C202</f>
        <v>Preferred Cost</v>
      </c>
      <c r="E49" s="3"/>
      <c r="F49" s="94" t="s">
        <v>635</v>
      </c>
      <c r="G49" s="214" t="str">
        <f>'Appendix A'!F202</f>
        <v>(Line 107 / 117)</v>
      </c>
      <c r="H49" s="5"/>
      <c r="I49" s="219">
        <f>IF(I40&gt;0,I25/I40,0)</f>
        <v>6.3687677113978394E-2</v>
      </c>
    </row>
    <row r="50" spans="1:9" s="49" customFormat="1" ht="15.65">
      <c r="A50" s="430">
        <f>+A49+1</f>
        <v>125</v>
      </c>
      <c r="B50" s="214"/>
      <c r="C50" s="214"/>
      <c r="D50" s="4" t="str">
        <f>'Appendix A'!C203</f>
        <v>Common Cost</v>
      </c>
      <c r="E50" s="3"/>
      <c r="F50" s="94" t="s">
        <v>608</v>
      </c>
      <c r="G50" s="25" t="s">
        <v>265</v>
      </c>
      <c r="H50" s="5"/>
      <c r="I50" s="223">
        <f>'Appendix A'!H203+I12</f>
        <v>0.124</v>
      </c>
    </row>
    <row r="51" spans="1:9" s="49" customFormat="1" ht="15.65">
      <c r="A51" s="430"/>
      <c r="B51" s="214"/>
      <c r="C51" s="214"/>
      <c r="D51" s="4"/>
      <c r="E51" s="9"/>
      <c r="F51" s="94"/>
      <c r="G51" s="214"/>
      <c r="H51" s="5"/>
      <c r="I51" s="9"/>
    </row>
    <row r="52" spans="1:9" s="49" customFormat="1" ht="15.65">
      <c r="A52" s="430">
        <f>+A50+1</f>
        <v>126</v>
      </c>
      <c r="B52" s="214"/>
      <c r="C52" s="214"/>
      <c r="D52" s="4" t="str">
        <f>'Appendix A'!C205</f>
        <v>Weighted Cost of Debt</v>
      </c>
      <c r="E52" s="45"/>
      <c r="F52" s="93" t="s">
        <v>616</v>
      </c>
      <c r="G52" s="214" t="str">
        <f>'Appendix A'!F205</f>
        <v>(Line 120 * 123)</v>
      </c>
      <c r="H52" s="30"/>
      <c r="I52" s="21">
        <f>I48*I44</f>
        <v>2.2707493510986793E-2</v>
      </c>
    </row>
    <row r="53" spans="1:9" s="49" customFormat="1" ht="15.65">
      <c r="A53" s="430">
        <f>+A52+1</f>
        <v>127</v>
      </c>
      <c r="B53" s="214"/>
      <c r="C53" s="214"/>
      <c r="D53" s="4" t="str">
        <f>'Appendix A'!C206</f>
        <v>Weighted Cost of Preferred</v>
      </c>
      <c r="E53" s="3"/>
      <c r="F53" s="93" t="s">
        <v>635</v>
      </c>
      <c r="G53" s="214" t="str">
        <f>'Appendix A'!F206</f>
        <v>(Line 121 * 124)</v>
      </c>
      <c r="H53" s="407"/>
      <c r="I53" s="21">
        <f>I49*I45</f>
        <v>9.6554526411929962E-4</v>
      </c>
    </row>
    <row r="54" spans="1:9" s="49" customFormat="1" ht="15.65">
      <c r="A54" s="430">
        <f>+A53+1</f>
        <v>128</v>
      </c>
      <c r="B54" s="214"/>
      <c r="C54" s="214"/>
      <c r="D54" s="97" t="str">
        <f>'Appendix A'!C207</f>
        <v>Weighted Cost of Common</v>
      </c>
      <c r="E54" s="98"/>
      <c r="F54" s="97" t="s">
        <v>608</v>
      </c>
      <c r="G54" s="433" t="str">
        <f>'Appendix A'!F207</f>
        <v>(Line 122 * 125)</v>
      </c>
      <c r="H54" s="69"/>
      <c r="I54" s="99">
        <f>I50*I46</f>
        <v>6.8794346058188974E-2</v>
      </c>
    </row>
    <row r="55" spans="1:9" s="49" customFormat="1" ht="15.65">
      <c r="A55" s="431">
        <f>+A54+1</f>
        <v>129</v>
      </c>
      <c r="B55" s="214"/>
      <c r="C55" s="214" t="str">
        <f>'Appendix A'!B208</f>
        <v>Total Return ( R )</v>
      </c>
      <c r="D55" s="214"/>
      <c r="E55" s="75"/>
      <c r="F55" s="57"/>
      <c r="G55" s="220" t="str">
        <f>'Appendix A'!F208</f>
        <v>(Sum Lines 126 to 128)</v>
      </c>
      <c r="H55" s="59"/>
      <c r="I55" s="55">
        <f>SUM(I52:I54)</f>
        <v>9.2467384833295072E-2</v>
      </c>
    </row>
    <row r="56" spans="1:9" s="49" customFormat="1" ht="15.65">
      <c r="A56" s="434"/>
      <c r="B56" s="214"/>
      <c r="C56" s="214"/>
      <c r="D56" s="214"/>
      <c r="E56" s="75"/>
      <c r="F56" s="57"/>
      <c r="G56" s="220"/>
      <c r="H56" s="59"/>
      <c r="I56" s="55"/>
    </row>
    <row r="57" spans="1:9" s="49" customFormat="1" ht="16.3" thickBot="1">
      <c r="A57" s="431">
        <f>+A55+1</f>
        <v>130</v>
      </c>
      <c r="B57" s="214"/>
      <c r="C57" s="214" t="str">
        <f>'Appendix A'!B210</f>
        <v>Investment Return = Rate Base * Rate of Return</v>
      </c>
      <c r="D57" s="214"/>
      <c r="E57" s="67"/>
      <c r="F57" s="382"/>
      <c r="G57" s="221" t="str">
        <f>'Appendix A'!F210</f>
        <v>(Line 62 * 129)</v>
      </c>
      <c r="H57" s="72"/>
      <c r="I57" s="42">
        <f>+I55*I17</f>
        <v>376858.75997538626</v>
      </c>
    </row>
    <row r="58" spans="1:9" s="49" customFormat="1" ht="16.3" thickTop="1">
      <c r="A58" s="6"/>
      <c r="B58" s="6"/>
      <c r="C58" s="6"/>
      <c r="D58" s="3"/>
      <c r="E58" s="9"/>
      <c r="F58" s="63"/>
      <c r="G58" s="5"/>
      <c r="H58" s="5"/>
      <c r="I58" s="21"/>
    </row>
    <row r="59" spans="1:9" s="49" customFormat="1" ht="15.65">
      <c r="A59" s="841" t="s">
        <v>352</v>
      </c>
      <c r="B59" s="370"/>
      <c r="C59" s="370"/>
      <c r="D59" s="370"/>
      <c r="E59" s="371"/>
      <c r="F59" s="372"/>
      <c r="G59" s="372"/>
      <c r="H59" s="372"/>
      <c r="I59" s="372"/>
    </row>
    <row r="60" spans="1:9" s="49" customFormat="1" ht="15.65">
      <c r="A60" s="92"/>
      <c r="B60" s="92"/>
      <c r="C60" s="6"/>
      <c r="D60" s="24"/>
      <c r="E60" s="27"/>
      <c r="F60" s="19"/>
      <c r="G60" s="9"/>
      <c r="H60" s="9"/>
      <c r="I60" s="40"/>
    </row>
    <row r="61" spans="1:9" s="49" customFormat="1" ht="15.65">
      <c r="A61" s="6" t="s">
        <v>630</v>
      </c>
      <c r="B61" s="6"/>
      <c r="C61" s="78" t="s">
        <v>709</v>
      </c>
      <c r="D61" s="9"/>
      <c r="E61" s="9"/>
      <c r="F61" s="19"/>
      <c r="G61" s="5"/>
      <c r="H61" s="16"/>
      <c r="I61" s="9"/>
    </row>
    <row r="62" spans="1:9" s="49" customFormat="1" ht="15.65">
      <c r="A62" s="431">
        <f>+A57+1</f>
        <v>131</v>
      </c>
      <c r="B62" s="63"/>
      <c r="C62" s="6"/>
      <c r="D62" s="9" t="s">
        <v>695</v>
      </c>
      <c r="E62" s="9"/>
      <c r="F62" s="63"/>
      <c r="G62" s="222"/>
      <c r="H62" s="280"/>
      <c r="I62" s="219">
        <f>'Appendix A'!H215</f>
        <v>0.35</v>
      </c>
    </row>
    <row r="63" spans="1:9" s="49" customFormat="1" ht="15.65">
      <c r="A63" s="431">
        <f>+A62+1</f>
        <v>132</v>
      </c>
      <c r="B63" s="63"/>
      <c r="C63" s="6"/>
      <c r="D63" s="280" t="s">
        <v>694</v>
      </c>
      <c r="E63" s="22"/>
      <c r="F63" s="63"/>
      <c r="G63" s="222"/>
      <c r="H63" s="280"/>
      <c r="I63" s="219">
        <f>'Appendix A'!H216</f>
        <v>6.1473E-2</v>
      </c>
    </row>
    <row r="64" spans="1:9" s="49" customFormat="1" ht="15.65">
      <c r="A64" s="431">
        <f>+A63+1</f>
        <v>133</v>
      </c>
      <c r="B64" s="63"/>
      <c r="C64" s="6"/>
      <c r="D64" s="280" t="s">
        <v>354</v>
      </c>
      <c r="E64" s="280"/>
      <c r="F64" s="63"/>
      <c r="G64" s="209" t="str">
        <f>'Appendix A'!F217</f>
        <v>Per State Tax Code</v>
      </c>
      <c r="H64" s="280"/>
      <c r="I64" s="219">
        <v>0</v>
      </c>
    </row>
    <row r="65" spans="1:9" s="49" customFormat="1" ht="15.65">
      <c r="A65" s="431">
        <f>+A64+1</f>
        <v>134</v>
      </c>
      <c r="B65" s="63"/>
      <c r="C65" s="6"/>
      <c r="D65" s="280" t="s">
        <v>854</v>
      </c>
      <c r="E65" s="15" t="s">
        <v>863</v>
      </c>
      <c r="F65" s="63"/>
      <c r="G65" s="34"/>
      <c r="H65" s="280"/>
      <c r="I65" s="219">
        <f>'Appendix A'!H218</f>
        <v>0.38995744999999993</v>
      </c>
    </row>
    <row r="66" spans="1:9" s="49" customFormat="1" ht="15.65">
      <c r="A66" s="431">
        <f>+A65+1</f>
        <v>135</v>
      </c>
      <c r="B66" s="63"/>
      <c r="C66" s="6"/>
      <c r="D66" s="280" t="s">
        <v>844</v>
      </c>
      <c r="E66" s="22"/>
      <c r="F66" s="63"/>
      <c r="G66" s="9"/>
      <c r="H66" s="280"/>
      <c r="I66" s="219">
        <f>I65/(1-I65)</f>
        <v>0.6392299192900559</v>
      </c>
    </row>
    <row r="67" spans="1:9" s="49" customFormat="1" ht="15.65">
      <c r="A67" s="431"/>
      <c r="B67" s="6"/>
      <c r="C67" s="6"/>
      <c r="D67" s="9"/>
      <c r="E67" s="9"/>
      <c r="F67" s="14"/>
      <c r="G67" s="15"/>
      <c r="H67" s="16"/>
      <c r="I67" s="17"/>
    </row>
    <row r="68" spans="1:9" s="49" customFormat="1" ht="15.65">
      <c r="A68" s="431"/>
      <c r="B68" s="6"/>
      <c r="C68" s="78" t="s">
        <v>692</v>
      </c>
      <c r="D68" s="3"/>
      <c r="E68" s="9"/>
      <c r="F68" s="19"/>
      <c r="G68" s="5"/>
      <c r="H68" s="16"/>
      <c r="I68" s="117"/>
    </row>
    <row r="69" spans="1:9" s="49" customFormat="1" ht="15.65">
      <c r="A69" s="431">
        <f>+A66+1</f>
        <v>136</v>
      </c>
      <c r="B69" s="63"/>
      <c r="C69" s="6"/>
      <c r="D69" s="3" t="s">
        <v>816</v>
      </c>
      <c r="E69" s="9"/>
      <c r="F69" s="28" t="s">
        <v>852</v>
      </c>
      <c r="G69" s="209" t="str">
        <f>'Appendix A'!F222</f>
        <v>Attachment 1</v>
      </c>
      <c r="H69" s="16"/>
      <c r="I69" s="43">
        <f>'Appendix A'!H222</f>
        <v>-137</v>
      </c>
    </row>
    <row r="70" spans="1:9" s="49" customFormat="1" ht="15.65">
      <c r="A70" s="431">
        <f>+A69+1</f>
        <v>137</v>
      </c>
      <c r="B70" s="63"/>
      <c r="C70" s="6"/>
      <c r="D70" s="3" t="s">
        <v>843</v>
      </c>
      <c r="E70" s="9"/>
      <c r="F70" s="6"/>
      <c r="G70" s="212" t="str">
        <f>'Appendix A'!F223</f>
        <v>(Line 135)</v>
      </c>
      <c r="H70" s="16"/>
      <c r="I70" s="223">
        <f>'Appendix A'!H223</f>
        <v>0.6392299192900559</v>
      </c>
    </row>
    <row r="71" spans="1:9" s="49" customFormat="1" ht="15.65">
      <c r="A71" s="431">
        <f>A70+1</f>
        <v>138</v>
      </c>
      <c r="B71" s="63"/>
      <c r="C71" s="6"/>
      <c r="D71" s="82" t="s">
        <v>693</v>
      </c>
      <c r="E71" s="182"/>
      <c r="F71" s="343" t="s">
        <v>355</v>
      </c>
      <c r="G71" s="209" t="str">
        <f>'Appendix A'!F224</f>
        <v>(Line 136 * (1 + 137))</v>
      </c>
      <c r="H71" s="396"/>
      <c r="I71" s="435">
        <f>SUM(I69*(1+I70))</f>
        <v>-224.57449894273765</v>
      </c>
    </row>
    <row r="72" spans="1:9" s="49" customFormat="1" ht="15.65">
      <c r="A72" s="431"/>
      <c r="B72" s="6"/>
      <c r="C72" s="6"/>
      <c r="D72" s="91"/>
      <c r="E72" s="35"/>
      <c r="F72" s="120"/>
      <c r="G72" s="119"/>
      <c r="H72" s="414"/>
      <c r="I72" s="415"/>
    </row>
    <row r="73" spans="1:9" s="49" customFormat="1" ht="15.65">
      <c r="A73" s="431"/>
      <c r="B73" s="6"/>
      <c r="C73" s="6"/>
      <c r="D73" s="91"/>
      <c r="E73" s="35"/>
      <c r="F73" s="120"/>
      <c r="G73" s="119"/>
      <c r="H73" s="414"/>
      <c r="I73" s="416"/>
    </row>
    <row r="74" spans="1:9" s="49" customFormat="1" ht="15.65">
      <c r="A74" s="431"/>
      <c r="B74" s="6"/>
      <c r="C74" s="6"/>
      <c r="D74" s="9"/>
      <c r="E74" s="9"/>
      <c r="F74" s="14"/>
      <c r="G74" s="15"/>
      <c r="H74" s="16"/>
      <c r="I74" s="118"/>
    </row>
    <row r="75" spans="1:9" s="49" customFormat="1" ht="15.65">
      <c r="A75" s="431">
        <f>+A71+1</f>
        <v>139</v>
      </c>
      <c r="B75" s="63"/>
      <c r="C75" s="1" t="s">
        <v>804</v>
      </c>
      <c r="D75" s="34"/>
      <c r="E75" s="9" t="s">
        <v>807</v>
      </c>
      <c r="F75" s="19"/>
      <c r="G75" s="25"/>
      <c r="H75" s="9"/>
      <c r="I75" s="95">
        <f>+I66*(1-I52/I55)*I57</f>
        <v>181741.00658054362</v>
      </c>
    </row>
    <row r="76" spans="1:9" s="49" customFormat="1" ht="15.65">
      <c r="A76" s="431"/>
      <c r="B76" s="6"/>
      <c r="C76" s="6"/>
      <c r="D76" s="93"/>
      <c r="E76" s="35"/>
      <c r="F76" s="230"/>
      <c r="G76" s="25"/>
      <c r="H76" s="414"/>
      <c r="I76" s="360"/>
    </row>
    <row r="77" spans="1:9" s="49" customFormat="1" ht="16.3" thickBot="1">
      <c r="A77" s="431">
        <f>+A75+1</f>
        <v>140</v>
      </c>
      <c r="B77" s="63"/>
      <c r="C77" s="71" t="s">
        <v>604</v>
      </c>
      <c r="D77" s="71"/>
      <c r="E77" s="67"/>
      <c r="F77" s="105"/>
      <c r="G77" s="42" t="str">
        <f>'Appendix A'!F230</f>
        <v>(Line 138 + 139)</v>
      </c>
      <c r="H77" s="77"/>
      <c r="I77" s="96">
        <f>+I75+I71</f>
        <v>181516.43208160088</v>
      </c>
    </row>
    <row r="78" spans="1:9" s="49" customFormat="1" ht="16.3" thickTop="1">
      <c r="A78" s="6"/>
      <c r="B78" s="6"/>
      <c r="C78" s="6"/>
      <c r="D78" s="15"/>
      <c r="E78" s="9"/>
      <c r="F78" s="63"/>
      <c r="G78" s="18"/>
      <c r="H78" s="8"/>
      <c r="I78" s="79"/>
    </row>
    <row r="79" spans="1:9" s="49" customFormat="1" ht="15.65">
      <c r="A79" s="34"/>
      <c r="B79" s="34"/>
      <c r="C79" s="34"/>
      <c r="D79" s="34"/>
      <c r="E79" s="34"/>
      <c r="F79" s="34"/>
      <c r="G79" s="34"/>
      <c r="H79" s="34"/>
      <c r="I79" s="34"/>
    </row>
    <row r="80" spans="1:9">
      <c r="A80" s="167"/>
      <c r="B80" s="167"/>
      <c r="C80" s="167"/>
      <c r="D80" s="167"/>
      <c r="E80" s="167"/>
      <c r="F80" s="167"/>
      <c r="G80" s="167"/>
      <c r="H80" s="167"/>
      <c r="I80" s="167"/>
    </row>
    <row r="81" spans="1:9">
      <c r="A81" s="167"/>
      <c r="B81" s="167"/>
      <c r="C81" s="167"/>
      <c r="D81" s="167"/>
      <c r="E81" s="167"/>
      <c r="F81" s="167"/>
      <c r="G81" s="167"/>
      <c r="H81" s="167"/>
      <c r="I81" s="167"/>
    </row>
    <row r="82" spans="1:9">
      <c r="A82" s="167"/>
      <c r="B82" s="167"/>
      <c r="C82" s="167"/>
      <c r="D82" s="167"/>
      <c r="E82" s="167"/>
      <c r="F82" s="167"/>
      <c r="G82" s="167"/>
      <c r="H82" s="167"/>
      <c r="I82" s="167"/>
    </row>
    <row r="83" spans="1:9">
      <c r="A83" s="167"/>
      <c r="B83" s="167"/>
      <c r="C83" s="167"/>
      <c r="D83" s="167"/>
      <c r="E83" s="167"/>
      <c r="F83" s="167"/>
      <c r="G83" s="167"/>
      <c r="H83" s="167"/>
      <c r="I83" s="167"/>
    </row>
    <row r="84" spans="1:9">
      <c r="A84" s="167"/>
      <c r="B84" s="167"/>
      <c r="C84" s="167"/>
      <c r="D84" s="167"/>
      <c r="E84" s="167"/>
      <c r="F84" s="167"/>
      <c r="G84" s="167"/>
      <c r="H84" s="167"/>
      <c r="I84" s="167"/>
    </row>
    <row r="85" spans="1:9">
      <c r="A85" s="167"/>
      <c r="B85" s="167"/>
      <c r="C85" s="167"/>
      <c r="D85" s="167"/>
      <c r="E85" s="167"/>
      <c r="F85" s="167"/>
      <c r="G85" s="167"/>
      <c r="H85" s="167"/>
      <c r="I85" s="167"/>
    </row>
    <row r="86" spans="1:9">
      <c r="A86" s="167"/>
      <c r="B86" s="167"/>
      <c r="C86" s="167"/>
      <c r="D86" s="167"/>
      <c r="E86" s="167"/>
      <c r="F86" s="167"/>
      <c r="G86" s="167"/>
      <c r="H86" s="167"/>
      <c r="I86" s="167"/>
    </row>
    <row r="87" spans="1:9">
      <c r="A87" s="167"/>
      <c r="B87" s="167"/>
      <c r="C87" s="167"/>
      <c r="D87" s="167"/>
      <c r="E87" s="167"/>
      <c r="F87" s="167"/>
      <c r="G87" s="167"/>
      <c r="H87" s="167"/>
      <c r="I87" s="167"/>
    </row>
    <row r="88" spans="1:9">
      <c r="A88" s="167"/>
      <c r="B88" s="167"/>
      <c r="C88" s="167"/>
      <c r="D88" s="167"/>
      <c r="E88" s="167"/>
      <c r="F88" s="167"/>
      <c r="G88" s="167"/>
      <c r="H88" s="167"/>
      <c r="I88" s="167"/>
    </row>
    <row r="89" spans="1:9">
      <c r="A89" s="167"/>
      <c r="B89" s="167"/>
      <c r="C89" s="167"/>
      <c r="D89" s="167"/>
      <c r="E89" s="167"/>
      <c r="F89" s="167"/>
      <c r="G89" s="167"/>
      <c r="H89" s="167"/>
      <c r="I89" s="167"/>
    </row>
    <row r="90" spans="1:9">
      <c r="A90" s="167"/>
      <c r="B90" s="167"/>
      <c r="C90" s="167"/>
      <c r="D90" s="167"/>
      <c r="E90" s="167"/>
      <c r="F90" s="167"/>
      <c r="G90" s="167"/>
      <c r="H90" s="167"/>
      <c r="I90" s="167"/>
    </row>
    <row r="91" spans="1:9">
      <c r="A91" s="167"/>
      <c r="B91" s="167"/>
      <c r="C91" s="167"/>
      <c r="D91" s="167"/>
      <c r="E91" s="167"/>
      <c r="F91" s="167"/>
      <c r="G91" s="167"/>
      <c r="H91" s="167"/>
      <c r="I91" s="167"/>
    </row>
    <row r="92" spans="1:9">
      <c r="A92" s="167"/>
      <c r="B92" s="167"/>
      <c r="C92" s="167"/>
      <c r="D92" s="167"/>
      <c r="E92" s="167"/>
      <c r="F92" s="167"/>
      <c r="G92" s="167"/>
      <c r="H92" s="167"/>
      <c r="I92" s="167"/>
    </row>
    <row r="93" spans="1:9">
      <c r="A93" s="167"/>
      <c r="B93" s="167"/>
      <c r="C93" s="167"/>
      <c r="D93" s="167"/>
      <c r="E93" s="167"/>
      <c r="F93" s="167"/>
      <c r="G93" s="167"/>
      <c r="H93" s="167"/>
      <c r="I93" s="167"/>
    </row>
    <row r="308" spans="1:6">
      <c r="A308" s="152"/>
      <c r="B308" s="152"/>
      <c r="C308" s="152"/>
      <c r="D308" s="152"/>
      <c r="E308" s="152"/>
      <c r="F308" s="152"/>
    </row>
    <row r="309" spans="1:6">
      <c r="A309" s="152"/>
      <c r="B309" s="152"/>
      <c r="C309" s="152"/>
      <c r="D309" s="152"/>
      <c r="E309" s="152"/>
      <c r="F309" s="152"/>
    </row>
    <row r="310" spans="1:6">
      <c r="A310" s="152"/>
      <c r="B310" s="152"/>
      <c r="C310" s="152"/>
      <c r="D310" s="152"/>
      <c r="E310" s="152"/>
      <c r="F310" s="152"/>
    </row>
    <row r="311" spans="1:6">
      <c r="A311" s="152"/>
      <c r="B311" s="152"/>
      <c r="C311" s="152"/>
      <c r="D311" s="152"/>
      <c r="E311" s="152"/>
      <c r="F311" s="152"/>
    </row>
    <row r="312" spans="1:6">
      <c r="A312" s="152"/>
      <c r="B312" s="152"/>
      <c r="C312" s="152"/>
      <c r="D312" s="152"/>
      <c r="E312" s="152"/>
      <c r="F312" s="152"/>
    </row>
    <row r="313" spans="1:6">
      <c r="A313" s="152"/>
      <c r="B313" s="152"/>
      <c r="C313" s="152"/>
      <c r="D313" s="152"/>
      <c r="E313" s="152"/>
      <c r="F313" s="152"/>
    </row>
    <row r="314" spans="1:6">
      <c r="A314" s="152"/>
      <c r="B314" s="152"/>
      <c r="C314" s="152"/>
      <c r="D314" s="152"/>
      <c r="E314" s="152"/>
      <c r="F314" s="152"/>
    </row>
    <row r="315" spans="1:6">
      <c r="A315" s="152"/>
      <c r="B315" s="152"/>
      <c r="C315" s="152"/>
      <c r="D315" s="152"/>
      <c r="E315" s="152"/>
      <c r="F315" s="152"/>
    </row>
    <row r="316" spans="1:6">
      <c r="A316" s="152"/>
      <c r="B316" s="152"/>
      <c r="C316" s="152"/>
      <c r="D316" s="152"/>
      <c r="E316" s="152"/>
      <c r="F316" s="152"/>
    </row>
  </sheetData>
  <mergeCells count="4">
    <mergeCell ref="A1:I1"/>
    <mergeCell ref="A3:I3"/>
    <mergeCell ref="C5:I5"/>
    <mergeCell ref="A2:I2"/>
  </mergeCells>
  <phoneticPr fontId="45" type="noConversion"/>
  <printOptions horizontalCentered="1"/>
  <pageMargins left="0.5" right="0.5" top="0.75" bottom="0.5" header="0.5" footer="0.5"/>
  <pageSetup scale="47" orientation="portrait" r:id="rId1"/>
  <headerFooter alignWithMargins="0">
    <oddHeader>&amp;RPage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18</vt:i4>
      </vt:variant>
    </vt:vector>
  </HeadingPairs>
  <TitlesOfParts>
    <vt:vector size="33" baseType="lpstr">
      <vt:lpstr>Appendix A</vt:lpstr>
      <vt:lpstr>ATT1 - ADIT</vt:lpstr>
      <vt:lpstr>ATT1A-ADIT</vt:lpstr>
      <vt:lpstr>ATT1B-ADIT</vt:lpstr>
      <vt:lpstr>ATT1B-2014</vt:lpstr>
      <vt:lpstr>ATT2 - Other Tax</vt:lpstr>
      <vt:lpstr>ATT2A Prop Taxes per Function</vt:lpstr>
      <vt:lpstr>ATT3 - Revenue Credits</vt:lpstr>
      <vt:lpstr>ATT4 - Basis Pt ROE</vt:lpstr>
      <vt:lpstr>ATT5 - Cost Support 1</vt:lpstr>
      <vt:lpstr>ATT6- True-Up Adjustment NITS </vt:lpstr>
      <vt:lpstr>ATT6A True-Up Adjustment Sch12</vt:lpstr>
      <vt:lpstr>ATT7 - Cap Add WS</vt:lpstr>
      <vt:lpstr>ATT8 - Securitization</vt:lpstr>
      <vt:lpstr>ATT9 - Depreciation Rates</vt:lpstr>
      <vt:lpstr>'Appendix A'!Print_Area</vt:lpstr>
      <vt:lpstr>'ATT1 - ADIT'!Print_Area</vt:lpstr>
      <vt:lpstr>'ATT1B-2014'!Print_Area</vt:lpstr>
      <vt:lpstr>'ATT1B-ADIT'!Print_Area</vt:lpstr>
      <vt:lpstr>'ATT2A Prop Taxes per Function'!Print_Area</vt:lpstr>
      <vt:lpstr>'ATT3 - Revenue Credits'!Print_Area</vt:lpstr>
      <vt:lpstr>'ATT5 - Cost Support 1'!Print_Area</vt:lpstr>
      <vt:lpstr>'ATT6- True-Up Adjustment NITS '!Print_Area</vt:lpstr>
      <vt:lpstr>'ATT6A True-Up Adjustment Sch12'!Print_Area</vt:lpstr>
      <vt:lpstr>'ATT7 - Cap Add WS'!Print_Area</vt:lpstr>
      <vt:lpstr>'ATT8 - Securitization'!Print_Area</vt:lpstr>
      <vt:lpstr>'ATT9 - Depreciation Rates'!Print_Area</vt:lpstr>
      <vt:lpstr>'Appendix A'!Print_Titles</vt:lpstr>
      <vt:lpstr>'ATT1 - ADIT'!Print_Titles</vt:lpstr>
      <vt:lpstr>'ATT2 - Other Tax'!Print_Titles</vt:lpstr>
      <vt:lpstr>'ATT4 - Basis Pt ROE'!Print_Titles</vt:lpstr>
      <vt:lpstr>'ATT5 - Cost Support 1'!Print_Titles</vt:lpstr>
      <vt:lpstr>'ATT6- True-Up Adjustment NITS '!Print_Titles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2014-09-10T17:47:53Z</dcterms:created>
  <dcterms:modified xsi:type="dcterms:W3CDTF">2014-09-10T18:03:06Z</dcterms:modified>
</cp:coreProperties>
</file>