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91" windowWidth="12240" windowHeight="9150" activeTab="0"/>
  </bookViews>
  <sheets>
    <sheet name="PJM Buy Bids-Sell Offers" sheetId="1" r:id="rId1"/>
    <sheet name="2nd IA Configuration" sheetId="2" r:id="rId2"/>
    <sheet name="2nd IA Parameters" sheetId="3" r:id="rId3"/>
    <sheet name="1st IA Parameters" sheetId="4" r:id="rId4"/>
    <sheet name="BRA Parameters" sheetId="5" r:id="rId5"/>
    <sheet name="Updated Min Res Req'ments" sheetId="6" r:id="rId6"/>
    <sheet name="Credit Rate" sheetId="7" r:id="rId7"/>
  </sheets>
  <definedNames>
    <definedName name="_xlnm.Print_Area" localSheetId="3">'1st IA Parameters'!$A$1:$I$34</definedName>
    <definedName name="_xlnm.Print_Area" localSheetId="1">'2nd IA Configuration'!$A$1:$J$13</definedName>
    <definedName name="_xlnm.Print_Area" localSheetId="2">'2nd IA Parameters'!$A$1:$I$34</definedName>
    <definedName name="_xlnm.Print_Area" localSheetId="4">'BRA Parameters'!$A$1:$J$83</definedName>
    <definedName name="_xlnm.Print_Area" localSheetId="6">'Credit Rate'!$A$1:$I$14</definedName>
    <definedName name="_xlnm.Print_Area" localSheetId="0">'PJM Buy Bids-Sell Offers'!$A$1:$P$18</definedName>
    <definedName name="_xlnm.Print_Area" localSheetId="5">'Updated Min Res Req''ments'!$A$1:$I$28</definedName>
  </definedNames>
  <calcPr fullCalcOnLoad="1"/>
</workbook>
</file>

<file path=xl/sharedStrings.xml><?xml version="1.0" encoding="utf-8"?>
<sst xmlns="http://schemas.openxmlformats.org/spreadsheetml/2006/main" count="682" uniqueCount="191">
  <si>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</si>
  <si>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</si>
  <si>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</si>
  <si>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</si>
  <si>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</si>
  <si>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</si>
  <si>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</si>
  <si>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</si>
  <si>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</si>
  <si>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</si>
  <si>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</si>
  <si>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</si>
  <si>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</si>
  <si>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</si>
  <si>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</si>
  <si>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</si>
  <si>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</si>
  <si>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</si>
  <si>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</si>
  <si>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</si>
  <si>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</si>
  <si>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</si>
  <si>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</si>
  <si>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</si>
  <si>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</si>
  <si>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</si>
  <si>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</si>
  <si>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</si>
  <si>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</si>
  <si>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</si>
  <si>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</si>
  <si>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</si>
  <si>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</si>
  <si>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</si>
  <si>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</si>
  <si>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t>
  </si>
  <si>
    <t xml:space="preserve">Installed Reserve Margin (IRM) </t>
  </si>
  <si>
    <t>Pool-Wide Average EFORd</t>
  </si>
  <si>
    <t>Forecast Pool Requirement (FPR)</t>
  </si>
  <si>
    <t>Preliminary Forecast Peak Load</t>
  </si>
  <si>
    <t>LDA/Zone</t>
  </si>
  <si>
    <t>RECO</t>
  </si>
  <si>
    <t>Pre-Clearing BRA Credit Rate, $/MW</t>
  </si>
  <si>
    <t xml:space="preserve">  </t>
  </si>
  <si>
    <t>Notes:</t>
  </si>
  <si>
    <t>Demand Resource (DR) Factor</t>
  </si>
  <si>
    <t>LDA</t>
  </si>
  <si>
    <t>Limiting Facility</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</si>
  <si>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</si>
  <si>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</si>
  <si>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</si>
  <si>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</si>
  <si>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</si>
  <si>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</si>
  <si>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</si>
  <si>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</si>
  <si>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</si>
  <si>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</si>
  <si>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</si>
  <si>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Participant-Funded ICTRs Awarded</t>
  </si>
  <si>
    <t>LDA CETO/CETL Data; Zonal Peak Loads, Base Zonal FRR Scaling Factors, and Zonal Short-Term Resource Procurement Target.</t>
  </si>
  <si>
    <t>ATSI</t>
  </si>
  <si>
    <t>LOCATIONAL DELIVERABILITY AREA (LDA)</t>
  </si>
  <si>
    <t>PS, PSNORTH</t>
  </si>
  <si>
    <t>2. See "Net CONE" worksheet for Net CONE calculations.</t>
  </si>
  <si>
    <t>Limiting conditions at the CETL for modeled LDAs</t>
  </si>
  <si>
    <t xml:space="preserve">FRR Portion of the Preliminary Peak Load Forecast       </t>
  </si>
  <si>
    <t>4. Reliability Requirement and Short-Term Resource Procurement Target are reduced due to FRR elections.</t>
  </si>
  <si>
    <t>AEP</t>
  </si>
  <si>
    <t>2014-2015 RPM Base Residual Auction Planning Parameters with FRR Adjustments</t>
  </si>
  <si>
    <t>1. Load data: from 2011 Load Report, adjusted for Non-Zone Load.</t>
  </si>
  <si>
    <t>Minimum Extended Summer Resource Requirement</t>
  </si>
  <si>
    <t>Min Ext Summer Resource Req'ment, MW</t>
  </si>
  <si>
    <t>Min Annual Resource Req'ment, MW</t>
  </si>
  <si>
    <t>Forecast Pool Requirement</t>
  </si>
  <si>
    <t>Demand Resource Factor</t>
  </si>
  <si>
    <t>Quantities are in Unforced Capacity Megawatts</t>
  </si>
  <si>
    <t>PJM Region</t>
  </si>
  <si>
    <t>FRR Peak Load</t>
  </si>
  <si>
    <t>Peak Load Forecast adjusted for FRR</t>
  </si>
  <si>
    <t>Unforced Capacity, MW</t>
  </si>
  <si>
    <t>Limited Demand Resource Reliability Target</t>
  </si>
  <si>
    <t>Extended Summer Demand Resource Reliability Target</t>
  </si>
  <si>
    <t>Minimum Annual Resource Requirement</t>
  </si>
  <si>
    <t>2010 Zonal W/N Coincident Peak Loads</t>
  </si>
  <si>
    <t>DEOK (adjusted for Non-Zone Load)</t>
  </si>
  <si>
    <t>&gt; 1656</t>
  </si>
  <si>
    <t>&gt; 311</t>
  </si>
  <si>
    <t>&gt; 4221</t>
  </si>
  <si>
    <t>&gt; 4819</t>
  </si>
  <si>
    <t>&gt; 2277</t>
  </si>
  <si>
    <t>&gt; 840</t>
  </si>
  <si>
    <t>&gt; 3025</t>
  </si>
  <si>
    <t>&gt; 1185</t>
  </si>
  <si>
    <t>&gt; 794</t>
  </si>
  <si>
    <t>&gt; 1449</t>
  </si>
  <si>
    <t>&gt; 4474</t>
  </si>
  <si>
    <t>&gt; 587</t>
  </si>
  <si>
    <t>&gt; 3082</t>
  </si>
  <si>
    <t>&gt; 449</t>
  </si>
  <si>
    <t>Meadow Brook 500 kV</t>
  </si>
  <si>
    <t>Rock Springs - Keeney 500 kV line</t>
  </si>
  <si>
    <t>Cedar Grove F - Clifton K 230 kV line</t>
  </si>
  <si>
    <t>Easton - Trappe 69 kV line</t>
  </si>
  <si>
    <t>Pleasant View - Edwards Ferry 230 kV line</t>
  </si>
  <si>
    <t>Preliminary Zonal Peak Load Forecast less FRR load **</t>
  </si>
  <si>
    <t>** Used to allocate Short-Term Resource Procurement Target to Zones.</t>
  </si>
  <si>
    <t xml:space="preserve">DPL and PS Zonal peak loads and Short-Term Resource Procurement Targets include the corresponding DPL SOUTH and PS NORTH values. </t>
  </si>
  <si>
    <t xml:space="preserve">3. New Fixed Resource Requrement (FRR) elections were made in DEOK Zone on 3/2/11. </t>
  </si>
  <si>
    <t>Minimum Resource Requirements for FRR (% Obligation)</t>
  </si>
  <si>
    <t>Minimum Resource Requirements for RPM, MW</t>
  </si>
  <si>
    <t>FRR Load Requirements:</t>
  </si>
  <si>
    <t>Min % Internal Resource Req'ment</t>
  </si>
  <si>
    <t>Min % Ext Summer Resource Req'ment</t>
  </si>
  <si>
    <t>Min % Annual Resource Req'ment</t>
  </si>
  <si>
    <t xml:space="preserve">See notes below for summary of updates made to parameters originally posted on 2/1/11. </t>
  </si>
  <si>
    <t>Post-Clearing BRA Credit Rate (LMT), $/MW</t>
  </si>
  <si>
    <t>Post-Clearing BRA Credit Rate (ES), $/MW</t>
  </si>
  <si>
    <t>Post-Clearing BRA Credit Rate (ANL), $/MW</t>
  </si>
  <si>
    <t>Notes:  4/7/11 Revision:  Adjustments made to account for Fixed Resource Requirements (FRR) elections made in DEOK Zone.   Added Min Resource Requirements for PS, PS NORTH, DPL SOUTH, and PEPCO.  See Min Res Req'ments tab for additional changes.  
5/13/2011: Updated with Post-BRA Credit rates for Limited (LMT), Extended Summer (ES), and Annual (ANL) resources</t>
  </si>
  <si>
    <t>626190v9</t>
  </si>
  <si>
    <t>2014-2015 RPM 1st IA Planning Parameters with FRR Adjustments</t>
  </si>
  <si>
    <t>Updated 2014/2015 Minimum Resource Requirements</t>
  </si>
  <si>
    <t>Price Points for PJM Buy Bids and PJM Sell Offers **</t>
  </si>
  <si>
    <t>Location</t>
  </si>
  <si>
    <t>Change in Reliability Requirement (MW)</t>
  </si>
  <si>
    <t>Short-Term Resource Procurement Target Applicable Share (MW)</t>
  </si>
  <si>
    <t>Uncleared PJM Buy Bids from Prior IA</t>
  </si>
  <si>
    <t>PJM Buy Bid (MW) *</t>
  </si>
  <si>
    <t>RTO (Rest of)</t>
  </si>
  <si>
    <t xml:space="preserve"> --</t>
  </si>
  <si>
    <t>MAAC (Rest of)</t>
  </si>
  <si>
    <t>EMAAC (Rest of)</t>
  </si>
  <si>
    <t>SWMAAC (Rest of)</t>
  </si>
  <si>
    <t>PS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</si>
  <si>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</si>
  <si>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</si>
  <si>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t>
  </si>
  <si>
    <t xml:space="preserve">     capacity already procured in prior auctions for the Delivery Year. The price of a PJM sell offer is based on the Updated VRR Curve Decrement which is the portion of the Updated </t>
  </si>
  <si>
    <t xml:space="preserve">     VRR Curve to the left of the point representing all capacity already procured in prior auctions for the Delivery Year.</t>
  </si>
  <si>
    <t>Change in Reliability Requirement *</t>
  </si>
  <si>
    <t>Short-Term Resource Procurement Target Applicable Share</t>
  </si>
  <si>
    <t>Change in CETL</t>
  </si>
  <si>
    <t xml:space="preserve">   * As per Section 5.4.(c) of the PJM OATT, the reliability requirement for the RTO and each LDA will be updated since the change in reliability requirement for the RTO and each LDA or </t>
  </si>
  <si>
    <t xml:space="preserve">      parent of the LDA exceeds the lesser of the 500 MW or 1% threshold.</t>
  </si>
  <si>
    <t>Updated Forecast Peak Load</t>
  </si>
  <si>
    <t>0.8*BRA value</t>
  </si>
  <si>
    <t>Percent of Peak Load Forecast</t>
  </si>
  <si>
    <t>1. Load data: from 2012 Load Report.</t>
  </si>
  <si>
    <t>Annual Resources</t>
  </si>
  <si>
    <t>Total Resources</t>
  </si>
  <si>
    <t>Extended Summer Resources</t>
  </si>
  <si>
    <t>Limited Resources</t>
  </si>
  <si>
    <t>Extended Summer Resources + Annual Resources</t>
  </si>
  <si>
    <t>BRA Limited Resource Clearing Price, $/MW-Day</t>
  </si>
  <si>
    <t>BRA Ext Summer Resource Clearing Price, $/MW-Day</t>
  </si>
  <si>
    <t>BRA Annual Resource Clearing Price, $/MW-Day</t>
  </si>
  <si>
    <t>Limited</t>
  </si>
  <si>
    <t>Capacity Type</t>
  </si>
  <si>
    <t xml:space="preserve">2. CETL values updated to reflect removal of deferred backbone facilities: Jack Mountain 500 kV substation (&amp; associated reactive reinforcement), Conemaugh 500 kV capacitor and Keystone-Conemaugh 500 kV wavetrap replacement). </t>
  </si>
  <si>
    <t xml:space="preserve">Configuration of 2nd Incremental Auction for 2014/2015 Delivery Year </t>
  </si>
  <si>
    <t>2014-2015 RPM 2nd IA Planning Parameters with FRR Adjustments</t>
  </si>
  <si>
    <t>0.6*BRA value</t>
  </si>
  <si>
    <t>1. Load data: from 2013 Load Report.</t>
  </si>
  <si>
    <t xml:space="preserve">2. No changes in CETL values from 1st IA parameters. </t>
  </si>
  <si>
    <t>Adjusted FRR Obligation</t>
  </si>
  <si>
    <t>61.307.6</t>
  </si>
  <si>
    <t>2014-2015 RPM 2nd Incremental Auction Configuration</t>
  </si>
  <si>
    <t>Capacity Import Limit Margin **</t>
  </si>
  <si>
    <t>** Capacity Import Limit Margin indicates the capacity import capability remaining into the LDA.</t>
  </si>
  <si>
    <t>Annual</t>
  </si>
  <si>
    <t>2014-2015 Pre-Clearing 2nd IA Credit Rates</t>
  </si>
  <si>
    <t>Previously Committed Capacity (Cleared in BRA &amp; 1st IA)</t>
  </si>
  <si>
    <t>Updated Peak Load Forecast</t>
  </si>
  <si>
    <t>Pre-Clearing 2nd IA Credit Rate (LMT), $/MW</t>
  </si>
  <si>
    <t>Pre-Clearing 2nd IA Credit Rate (ES), $/MW</t>
  </si>
  <si>
    <t>Pre-Clearing 2nd IA Credit Rate (ANL), $/MW</t>
  </si>
  <si>
    <t>Point 1        x-axis (MW)</t>
  </si>
  <si>
    <t>Point 1         y-axis ($/MW-Day)</t>
  </si>
  <si>
    <t>Point 2        x-axis (MW)</t>
  </si>
  <si>
    <t>Point 2        y-axis ($/MW-Day)</t>
  </si>
  <si>
    <t>Point 3        x-axis (MW)</t>
  </si>
  <si>
    <t>Point 3       y-axis ($/MW-Day)</t>
  </si>
  <si>
    <t>Point 4       x-axis (MW)</t>
  </si>
  <si>
    <t>Point 4        y-axis ($/MW-Day)</t>
  </si>
  <si>
    <t>PJMDOCS-#754915-v3B</t>
  </si>
  <si>
    <t>2014-2015 Post-Clearing 2nd IA Credit Rates</t>
  </si>
  <si>
    <t>Post-Clearing 2nd IA Credit Rate (LMT), $/MW</t>
  </si>
  <si>
    <t>Post-Clearing 2nd IA Credit Rate (ES), $/MW</t>
  </si>
  <si>
    <t>Post-Clearing 2nd IA Credit Rate (ANL), $/MW</t>
  </si>
  <si>
    <t>Added Post-Clearing Credit Rates.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</si>
</sst>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quot;$&quot;#,##0.000"/>
    <numFmt numFmtId="197" formatCode="&quot;$&quot;#,##0.0000"/>
  </numFmts>
  <fonts count="52">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0"/>
      <name val="Arial"/>
      <family val="2"/>
    </font>
    <font>
      <sz val="14"/>
      <color indexed="10"/>
      <name val="Arial"/>
      <family val="2"/>
    </font>
    <font>
      <sz val="12"/>
      <color indexed="8"/>
      <name val="Arial"/>
      <family val="2"/>
    </font>
    <font>
      <b/>
      <sz val="10"/>
      <color indexed="10"/>
      <name val="Arial"/>
      <family val="2"/>
    </font>
    <font>
      <sz val="12"/>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Arial"/>
      <family val="2"/>
    </font>
    <font>
      <sz val="14"/>
      <color rgb="FFFF0000"/>
      <name val="Arial"/>
      <family val="2"/>
    </font>
    <font>
      <sz val="12"/>
      <color theme="1"/>
      <name val="Arial"/>
      <family val="2"/>
    </font>
    <font>
      <b/>
      <sz val="10"/>
      <color rgb="FFFF0000"/>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thin"/>
    </border>
    <border>
      <left style="thin"/>
      <right style="medium"/>
      <top style="thin"/>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thin"/>
      <bottom style="medium"/>
    </border>
    <border>
      <left>
        <color indexed="63"/>
      </left>
      <right>
        <color indexed="63"/>
      </right>
      <top style="thin"/>
      <bottom style="thin"/>
    </border>
    <border>
      <left style="medium"/>
      <right style="hair"/>
      <top style="medium"/>
      <bottom style="medium"/>
    </border>
    <border>
      <left style="hair"/>
      <right style="medium"/>
      <top style="medium"/>
      <bottom style="medium"/>
    </border>
    <border>
      <left style="medium"/>
      <right style="medium"/>
      <top style="medium"/>
      <bottom style="hair"/>
    </border>
    <border>
      <left style="medium"/>
      <right style="hair"/>
      <top style="medium"/>
      <bottom style="hair"/>
    </border>
    <border>
      <left style="medium"/>
      <right style="hair"/>
      <top style="hair"/>
      <bottom style="hair"/>
    </border>
    <border>
      <left style="hair"/>
      <right style="medium"/>
      <top style="hair"/>
      <bottom style="hair"/>
    </border>
    <border>
      <left style="hair"/>
      <right style="medium"/>
      <top style="medium"/>
      <bottom style="hair"/>
    </border>
    <border>
      <left style="medium"/>
      <right style="medium"/>
      <top style="hair"/>
      <bottom style="hair"/>
    </border>
    <border>
      <left style="medium"/>
      <right style="medium"/>
      <top style="hair"/>
      <bottom style="medium"/>
    </border>
    <border>
      <left style="medium"/>
      <right style="hair"/>
      <top style="hair"/>
      <bottom style="medium"/>
    </border>
    <border>
      <left style="hair"/>
      <right style="medium"/>
      <top style="hair"/>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hair"/>
      <right style="hair"/>
      <top style="medium"/>
      <bottom style="hair"/>
    </border>
    <border>
      <left style="hair"/>
      <right style="hair"/>
      <top style="hair"/>
      <bottom style="hair"/>
    </border>
    <border>
      <left style="hair"/>
      <right style="hair"/>
      <top style="hair"/>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medium"/>
      <top style="hair"/>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29">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4" fontId="0" fillId="0" borderId="0" xfId="0" applyNumberFormat="1" applyAlignment="1">
      <alignment/>
    </xf>
    <xf numFmtId="174" fontId="2" fillId="0" borderId="0" xfId="0" applyNumberFormat="1" applyFont="1" applyAlignment="1">
      <alignment wrapText="1"/>
    </xf>
    <xf numFmtId="174" fontId="7" fillId="0" borderId="0" xfId="0" applyNumberFormat="1" applyFont="1" applyBorder="1" applyAlignment="1">
      <alignment/>
    </xf>
    <xf numFmtId="174" fontId="0" fillId="0" borderId="0" xfId="0" applyNumberFormat="1" applyFont="1" applyAlignment="1">
      <alignment/>
    </xf>
    <xf numFmtId="174" fontId="0" fillId="0" borderId="0" xfId="0" applyNumberFormat="1" applyAlignment="1">
      <alignment/>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0"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0" fontId="7" fillId="0" borderId="0" xfId="0" applyFont="1" applyAlignment="1">
      <alignment wrapText="1"/>
    </xf>
    <xf numFmtId="171" fontId="7" fillId="0" borderId="10" xfId="0" applyNumberFormat="1" applyFont="1" applyBorder="1" applyAlignment="1">
      <alignment horizontal="center" vertical="center" wrapText="1"/>
    </xf>
    <xf numFmtId="0" fontId="7" fillId="0" borderId="0" xfId="0" applyFont="1" applyFill="1" applyBorder="1" applyAlignment="1">
      <alignment horizontal="left" vertical="center"/>
    </xf>
    <xf numFmtId="0" fontId="7" fillId="0" borderId="10" xfId="0" applyFont="1" applyBorder="1" applyAlignment="1">
      <alignment horizontal="center" wrapText="1"/>
    </xf>
    <xf numFmtId="174" fontId="7" fillId="0" borderId="10" xfId="0" applyNumberFormat="1" applyFont="1" applyBorder="1" applyAlignment="1">
      <alignment horizontal="center" wrapText="1"/>
    </xf>
    <xf numFmtId="174" fontId="6" fillId="0" borderId="10" xfId="0" applyNumberFormat="1" applyFont="1" applyBorder="1" applyAlignment="1">
      <alignment horizontal="center" wrapText="1"/>
    </xf>
    <xf numFmtId="172" fontId="7" fillId="0" borderId="10" xfId="0" applyNumberFormat="1" applyFont="1" applyBorder="1" applyAlignment="1">
      <alignment horizontal="center" wrapText="1"/>
    </xf>
    <xf numFmtId="3" fontId="7" fillId="0" borderId="10" xfId="0" applyNumberFormat="1" applyFont="1" applyBorder="1" applyAlignment="1">
      <alignment horizontal="center"/>
    </xf>
    <xf numFmtId="174" fontId="7" fillId="0" borderId="10" xfId="0" applyNumberFormat="1" applyFont="1" applyBorder="1" applyAlignment="1">
      <alignment horizontal="center"/>
    </xf>
    <xf numFmtId="174" fontId="7" fillId="0" borderId="10" xfId="60" applyNumberFormat="1" applyFont="1" applyBorder="1" applyAlignment="1">
      <alignment horizontal="center"/>
    </xf>
    <xf numFmtId="175" fontId="7" fillId="0" borderId="10" xfId="60" applyNumberFormat="1" applyFont="1" applyBorder="1" applyAlignment="1">
      <alignment horizontal="center"/>
    </xf>
    <xf numFmtId="3" fontId="7" fillId="0" borderId="10" xfId="0" applyNumberFormat="1" applyFont="1" applyFill="1" applyBorder="1" applyAlignment="1">
      <alignment horizontal="center"/>
    </xf>
    <xf numFmtId="174" fontId="7" fillId="0" borderId="10" xfId="0" applyNumberFormat="1" applyFont="1" applyFill="1" applyBorder="1" applyAlignment="1">
      <alignment horizontal="center"/>
    </xf>
    <xf numFmtId="174" fontId="7" fillId="0" borderId="10" xfId="60" applyNumberFormat="1" applyFont="1" applyFill="1" applyBorder="1" applyAlignment="1">
      <alignment horizontal="center"/>
    </xf>
    <xf numFmtId="9" fontId="7" fillId="0" borderId="10" xfId="60" applyFont="1" applyBorder="1" applyAlignment="1">
      <alignment horizontal="center"/>
    </xf>
    <xf numFmtId="9" fontId="7" fillId="0" borderId="10" xfId="60" applyNumberFormat="1" applyFont="1" applyBorder="1" applyAlignment="1">
      <alignment horizontal="center"/>
    </xf>
    <xf numFmtId="172" fontId="7" fillId="0" borderId="10" xfId="60" applyNumberFormat="1" applyFont="1" applyBorder="1" applyAlignment="1">
      <alignment horizontal="center"/>
    </xf>
    <xf numFmtId="0" fontId="6" fillId="0" borderId="11" xfId="0" applyFont="1" applyBorder="1" applyAlignment="1">
      <alignment horizontal="right"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14" xfId="0" applyFont="1" applyBorder="1" applyAlignment="1">
      <alignment horizontal="right" wrapText="1"/>
    </xf>
    <xf numFmtId="174" fontId="6" fillId="0" borderId="15" xfId="0" applyNumberFormat="1" applyFont="1" applyBorder="1" applyAlignment="1">
      <alignment horizontal="center" wrapText="1"/>
    </xf>
    <xf numFmtId="0" fontId="7" fillId="0" borderId="14" xfId="0" applyFont="1" applyBorder="1" applyAlignment="1">
      <alignment horizontal="right"/>
    </xf>
    <xf numFmtId="174" fontId="7" fillId="0" borderId="15" xfId="60" applyNumberFormat="1" applyFont="1" applyBorder="1" applyAlignment="1">
      <alignment horizontal="center"/>
    </xf>
    <xf numFmtId="0" fontId="7" fillId="0" borderId="14" xfId="0" applyFont="1" applyFill="1" applyBorder="1" applyAlignment="1">
      <alignment horizontal="right"/>
    </xf>
    <xf numFmtId="0" fontId="7" fillId="0" borderId="16" xfId="0" applyFont="1" applyFill="1" applyBorder="1" applyAlignment="1">
      <alignment horizontal="right"/>
    </xf>
    <xf numFmtId="3" fontId="7" fillId="0" borderId="17" xfId="0" applyNumberFormat="1" applyFont="1" applyFill="1" applyBorder="1" applyAlignment="1">
      <alignment horizontal="center"/>
    </xf>
    <xf numFmtId="174" fontId="7" fillId="0" borderId="17" xfId="0" applyNumberFormat="1" applyFont="1" applyFill="1" applyBorder="1" applyAlignment="1">
      <alignment horizontal="center"/>
    </xf>
    <xf numFmtId="174" fontId="7" fillId="0" borderId="17" xfId="60" applyNumberFormat="1" applyFont="1" applyBorder="1" applyAlignment="1">
      <alignment horizontal="center"/>
    </xf>
    <xf numFmtId="172" fontId="7" fillId="0" borderId="17" xfId="60" applyNumberFormat="1" applyFont="1" applyBorder="1" applyAlignment="1">
      <alignment horizontal="center"/>
    </xf>
    <xf numFmtId="0" fontId="6" fillId="0" borderId="18" xfId="0" applyFont="1" applyBorder="1" applyAlignment="1">
      <alignment vertical="center"/>
    </xf>
    <xf numFmtId="0" fontId="6" fillId="0" borderId="19" xfId="0" applyFont="1" applyBorder="1" applyAlignment="1">
      <alignment vertical="center"/>
    </xf>
    <xf numFmtId="0" fontId="0" fillId="0" borderId="19" xfId="0" applyBorder="1" applyAlignment="1">
      <alignment/>
    </xf>
    <xf numFmtId="0" fontId="0" fillId="0" borderId="20" xfId="0" applyBorder="1" applyAlignment="1">
      <alignment wrapText="1"/>
    </xf>
    <xf numFmtId="0" fontId="6" fillId="0" borderId="14" xfId="0" applyFont="1" applyBorder="1" applyAlignment="1">
      <alignment horizontal="right" wrapText="1"/>
    </xf>
    <xf numFmtId="0" fontId="5" fillId="0" borderId="21" xfId="0" applyFont="1" applyBorder="1" applyAlignment="1">
      <alignment horizontal="left"/>
    </xf>
    <xf numFmtId="0" fontId="5" fillId="0" borderId="22" xfId="0" applyFont="1" applyBorder="1" applyAlignment="1">
      <alignment horizontal="left"/>
    </xf>
    <xf numFmtId="0" fontId="0" fillId="0" borderId="22" xfId="0" applyBorder="1" applyAlignment="1">
      <alignment/>
    </xf>
    <xf numFmtId="0" fontId="6" fillId="0" borderId="22" xfId="0" applyFont="1" applyBorder="1" applyAlignment="1">
      <alignment horizontal="center"/>
    </xf>
    <xf numFmtId="0" fontId="5" fillId="0" borderId="22" xfId="0" applyFont="1" applyBorder="1" applyAlignment="1">
      <alignment horizontal="center"/>
    </xf>
    <xf numFmtId="174" fontId="7" fillId="0" borderId="15" xfId="0" applyNumberFormat="1" applyFont="1" applyBorder="1" applyAlignment="1">
      <alignment horizontal="center" vertical="center"/>
    </xf>
    <xf numFmtId="174" fontId="7" fillId="0" borderId="15" xfId="60" applyNumberFormat="1" applyFont="1" applyBorder="1" applyAlignment="1">
      <alignment horizontal="center" vertical="center"/>
    </xf>
    <xf numFmtId="174" fontId="6" fillId="0" borderId="15" xfId="0" applyNumberFormat="1" applyFont="1" applyBorder="1" applyAlignment="1">
      <alignment horizontal="center" vertical="center" wrapText="1"/>
    </xf>
    <xf numFmtId="173" fontId="6" fillId="0" borderId="15" xfId="0" applyNumberFormat="1" applyFont="1" applyBorder="1" applyAlignment="1">
      <alignment horizontal="center" vertical="center" wrapText="1"/>
    </xf>
    <xf numFmtId="173" fontId="7" fillId="0" borderId="15" xfId="0" applyNumberFormat="1" applyFont="1" applyBorder="1" applyAlignment="1">
      <alignment horizontal="center" vertical="center" wrapText="1"/>
    </xf>
    <xf numFmtId="174" fontId="7" fillId="0" borderId="15" xfId="0" applyNumberFormat="1" applyFont="1" applyBorder="1" applyAlignment="1">
      <alignment horizontal="center" vertical="center" wrapText="1"/>
    </xf>
    <xf numFmtId="0" fontId="7" fillId="0" borderId="0" xfId="0" applyFont="1" applyAlignment="1">
      <alignment/>
    </xf>
    <xf numFmtId="171" fontId="7" fillId="0" borderId="10" xfId="60" applyNumberFormat="1" applyFont="1" applyBorder="1" applyAlignment="1">
      <alignment horizontal="center" vertical="center"/>
    </xf>
    <xf numFmtId="171" fontId="7" fillId="0" borderId="10" xfId="0" applyNumberFormat="1" applyFont="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171" fontId="7" fillId="0" borderId="23" xfId="0" applyNumberFormat="1" applyFont="1" applyBorder="1" applyAlignment="1">
      <alignment horizontal="center" vertical="center"/>
    </xf>
    <xf numFmtId="10" fontId="7" fillId="0" borderId="24" xfId="0" applyNumberFormat="1" applyFont="1" applyBorder="1" applyAlignment="1">
      <alignment horizontal="center" vertical="center"/>
    </xf>
    <xf numFmtId="166" fontId="7" fillId="0" borderId="24" xfId="0" applyNumberFormat="1" applyFont="1" applyBorder="1" applyAlignment="1">
      <alignment horizontal="center" vertical="center"/>
    </xf>
    <xf numFmtId="165" fontId="7" fillId="0" borderId="24" xfId="0" applyNumberFormat="1" applyFont="1" applyBorder="1" applyAlignment="1">
      <alignment horizontal="center" vertical="center"/>
    </xf>
    <xf numFmtId="174" fontId="7" fillId="0" borderId="24" xfId="0" applyNumberFormat="1" applyFont="1" applyBorder="1" applyAlignment="1">
      <alignment horizontal="center" vertical="center"/>
    </xf>
    <xf numFmtId="171" fontId="7" fillId="0" borderId="24" xfId="60" applyNumberFormat="1" applyFont="1" applyBorder="1" applyAlignment="1">
      <alignment horizontal="center" vertical="center"/>
    </xf>
    <xf numFmtId="176" fontId="7" fillId="0" borderId="24" xfId="0" applyNumberFormat="1" applyFont="1" applyBorder="1" applyAlignment="1">
      <alignment horizontal="center" vertical="center"/>
    </xf>
    <xf numFmtId="174" fontId="7" fillId="0" borderId="24" xfId="0" applyNumberFormat="1" applyFont="1" applyBorder="1" applyAlignment="1">
      <alignment horizontal="center" vertical="center" wrapText="1"/>
    </xf>
    <xf numFmtId="174" fontId="6" fillId="0" borderId="24" xfId="0" applyNumberFormat="1" applyFont="1" applyBorder="1" applyAlignment="1">
      <alignment horizontal="center" vertical="center" wrapText="1"/>
    </xf>
    <xf numFmtId="173" fontId="6" fillId="0" borderId="24" xfId="0" applyNumberFormat="1" applyFont="1" applyBorder="1" applyAlignment="1">
      <alignment horizontal="center" vertical="center" wrapText="1"/>
    </xf>
    <xf numFmtId="173" fontId="7" fillId="0" borderId="24" xfId="0" applyNumberFormat="1" applyFont="1" applyBorder="1" applyAlignment="1">
      <alignment horizontal="center" vertical="center" wrapText="1"/>
    </xf>
    <xf numFmtId="171" fontId="7" fillId="0" borderId="24" xfId="0" applyNumberFormat="1" applyFont="1" applyBorder="1" applyAlignment="1">
      <alignment horizontal="center" vertical="center" wrapText="1"/>
    </xf>
    <xf numFmtId="176" fontId="47" fillId="0" borderId="25" xfId="0" applyNumberFormat="1" applyFont="1" applyBorder="1" applyAlignment="1">
      <alignment horizontal="center" vertical="center"/>
    </xf>
    <xf numFmtId="174" fontId="7" fillId="0" borderId="12" xfId="0" applyNumberFormat="1" applyFont="1" applyBorder="1" applyAlignment="1">
      <alignment horizontal="center" vertical="center"/>
    </xf>
    <xf numFmtId="174" fontId="7" fillId="0" borderId="13" xfId="0" applyNumberFormat="1" applyFont="1" applyBorder="1" applyAlignment="1">
      <alignment horizontal="center" vertical="center"/>
    </xf>
    <xf numFmtId="171" fontId="7" fillId="0" borderId="15" xfId="60" applyNumberFormat="1" applyFont="1" applyBorder="1" applyAlignment="1">
      <alignment horizontal="center" vertical="center"/>
    </xf>
    <xf numFmtId="0" fontId="6" fillId="0" borderId="12" xfId="0" applyFont="1" applyBorder="1" applyAlignment="1">
      <alignment horizontal="center" vertical="center" wrapText="1"/>
    </xf>
    <xf numFmtId="172" fontId="2" fillId="0" borderId="0" xfId="0" applyNumberFormat="1" applyFont="1" applyAlignment="1">
      <alignment wrapText="1"/>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horizontal="right"/>
    </xf>
    <xf numFmtId="3" fontId="7" fillId="0" borderId="29" xfId="0" applyNumberFormat="1" applyFont="1" applyBorder="1" applyAlignment="1">
      <alignment horizontal="center"/>
    </xf>
    <xf numFmtId="174" fontId="7" fillId="0" borderId="29" xfId="0" applyNumberFormat="1" applyFont="1" applyBorder="1" applyAlignment="1">
      <alignment horizontal="center"/>
    </xf>
    <xf numFmtId="174" fontId="7" fillId="0" borderId="29" xfId="60" applyNumberFormat="1" applyFont="1" applyBorder="1" applyAlignment="1">
      <alignment horizontal="center"/>
    </xf>
    <xf numFmtId="174" fontId="7" fillId="0" borderId="29" xfId="0" applyNumberFormat="1" applyFont="1" applyBorder="1" applyAlignment="1">
      <alignment horizontal="center" wrapText="1"/>
    </xf>
    <xf numFmtId="0" fontId="7" fillId="0" borderId="11" xfId="0" applyFont="1" applyBorder="1" applyAlignment="1">
      <alignment horizontal="right"/>
    </xf>
    <xf numFmtId="3" fontId="7" fillId="0" borderId="12" xfId="0" applyNumberFormat="1" applyFont="1" applyBorder="1" applyAlignment="1">
      <alignment horizontal="center"/>
    </xf>
    <xf numFmtId="174" fontId="7" fillId="0" borderId="12" xfId="60" applyNumberFormat="1" applyFont="1" applyBorder="1" applyAlignment="1">
      <alignment horizontal="center"/>
    </xf>
    <xf numFmtId="172" fontId="7" fillId="0" borderId="12" xfId="60" applyNumberFormat="1" applyFont="1" applyBorder="1" applyAlignment="1">
      <alignment horizontal="center"/>
    </xf>
    <xf numFmtId="174" fontId="6" fillId="0" borderId="24" xfId="0" applyNumberFormat="1" applyFont="1" applyBorder="1" applyAlignment="1">
      <alignment horizontal="center" vertical="center"/>
    </xf>
    <xf numFmtId="14" fontId="5" fillId="0" borderId="22" xfId="0" applyNumberFormat="1" applyFont="1" applyBorder="1" applyAlignment="1">
      <alignment horizontal="center"/>
    </xf>
    <xf numFmtId="174" fontId="6" fillId="0" borderId="10" xfId="0" applyNumberFormat="1" applyFont="1" applyBorder="1" applyAlignment="1">
      <alignment horizontal="center"/>
    </xf>
    <xf numFmtId="174" fontId="6" fillId="0" borderId="12" xfId="0" applyNumberFormat="1" applyFont="1" applyBorder="1" applyAlignment="1">
      <alignment horizontal="center"/>
    </xf>
    <xf numFmtId="9" fontId="7" fillId="0" borderId="12" xfId="60" applyNumberFormat="1" applyFont="1" applyBorder="1" applyAlignment="1">
      <alignment horizontal="center"/>
    </xf>
    <xf numFmtId="0" fontId="48" fillId="0" borderId="19" xfId="0" applyFont="1" applyBorder="1" applyAlignment="1">
      <alignment horizontal="left"/>
    </xf>
    <xf numFmtId="0" fontId="5" fillId="0" borderId="19" xfId="0" applyFont="1" applyBorder="1" applyAlignment="1">
      <alignment horizontal="left"/>
    </xf>
    <xf numFmtId="14" fontId="5" fillId="0" borderId="19" xfId="0" applyNumberFormat="1" applyFont="1" applyBorder="1" applyAlignment="1">
      <alignment horizontal="center"/>
    </xf>
    <xf numFmtId="0" fontId="6" fillId="0" borderId="19" xfId="0" applyFont="1" applyBorder="1" applyAlignment="1">
      <alignment horizontal="center"/>
    </xf>
    <xf numFmtId="172" fontId="7" fillId="0" borderId="10" xfId="0" applyNumberFormat="1" applyFont="1" applyBorder="1" applyAlignment="1">
      <alignment horizontal="center" vertical="center"/>
    </xf>
    <xf numFmtId="0" fontId="5" fillId="0" borderId="0" xfId="0" applyFont="1" applyAlignment="1">
      <alignment horizontal="center"/>
    </xf>
    <xf numFmtId="4" fontId="7" fillId="0" borderId="0" xfId="0" applyNumberFormat="1" applyFont="1" applyAlignment="1">
      <alignment/>
    </xf>
    <xf numFmtId="0" fontId="6" fillId="0" borderId="0" xfId="0" applyFont="1" applyAlignment="1">
      <alignment wrapText="1"/>
    </xf>
    <xf numFmtId="0" fontId="2" fillId="0" borderId="0" xfId="0" applyFont="1" applyBorder="1" applyAlignment="1">
      <alignment/>
    </xf>
    <xf numFmtId="0" fontId="0" fillId="0" borderId="0" xfId="0" applyFont="1" applyBorder="1" applyAlignment="1">
      <alignment/>
    </xf>
    <xf numFmtId="171" fontId="2" fillId="0" borderId="10" xfId="0" applyNumberFormat="1" applyFont="1" applyFill="1" applyBorder="1" applyAlignment="1">
      <alignment horizontal="right"/>
    </xf>
    <xf numFmtId="174" fontId="0" fillId="0" borderId="10" xfId="0" applyNumberFormat="1" applyFont="1" applyFill="1" applyBorder="1" applyAlignment="1">
      <alignment horizontal="right"/>
    </xf>
    <xf numFmtId="182" fontId="2" fillId="0" borderId="10" xfId="0" applyNumberFormat="1" applyFont="1" applyFill="1" applyBorder="1" applyAlignment="1">
      <alignment horizontal="right"/>
    </xf>
    <xf numFmtId="0" fontId="7" fillId="0" borderId="0" xfId="0" applyFont="1" applyBorder="1" applyAlignment="1">
      <alignment horizontal="left"/>
    </xf>
    <xf numFmtId="174" fontId="6" fillId="0" borderId="10" xfId="0" applyNumberFormat="1" applyFont="1" applyFill="1" applyBorder="1" applyAlignment="1">
      <alignment horizontal="center"/>
    </xf>
    <xf numFmtId="0" fontId="47" fillId="0" borderId="0" xfId="0" applyFont="1" applyAlignment="1">
      <alignment/>
    </xf>
    <xf numFmtId="0" fontId="2" fillId="0" borderId="25"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174" fontId="7" fillId="0" borderId="23" xfId="0" applyNumberFormat="1" applyFont="1" applyBorder="1" applyAlignment="1">
      <alignment horizontal="center" vertical="center" wrapText="1"/>
    </xf>
    <xf numFmtId="171" fontId="7" fillId="0" borderId="15" xfId="0" applyNumberFormat="1" applyFont="1" applyBorder="1" applyAlignment="1">
      <alignment horizontal="center" vertical="center"/>
    </xf>
    <xf numFmtId="182" fontId="7" fillId="0" borderId="10" xfId="42" applyNumberFormat="1" applyFont="1" applyBorder="1" applyAlignment="1">
      <alignment horizontal="center" vertical="center" wrapText="1"/>
    </xf>
    <xf numFmtId="182" fontId="7" fillId="0" borderId="17" xfId="42" applyNumberFormat="1" applyFont="1" applyBorder="1" applyAlignment="1">
      <alignment horizontal="center"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1" fontId="7" fillId="0" borderId="35" xfId="0" applyNumberFormat="1" applyFont="1" applyBorder="1" applyAlignment="1">
      <alignment horizontal="left" vertical="center" wrapText="1"/>
    </xf>
    <xf numFmtId="1" fontId="6" fillId="0" borderId="35" xfId="0" applyNumberFormat="1" applyFont="1" applyBorder="1" applyAlignment="1">
      <alignment horizontal="left" vertical="center" wrapText="1"/>
    </xf>
    <xf numFmtId="0" fontId="6" fillId="0" borderId="35" xfId="0" applyFont="1" applyBorder="1" applyAlignment="1">
      <alignment horizontal="left" vertical="center" wrapText="1"/>
    </xf>
    <xf numFmtId="182" fontId="0" fillId="0" borderId="10" xfId="42" applyNumberFormat="1" applyFont="1" applyFill="1" applyBorder="1" applyAlignment="1">
      <alignment horizontal="right"/>
    </xf>
    <xf numFmtId="191" fontId="0" fillId="0" borderId="10" xfId="0" applyNumberFormat="1" applyFont="1" applyFill="1" applyBorder="1" applyAlignment="1">
      <alignment horizontal="right"/>
    </xf>
    <xf numFmtId="182" fontId="7" fillId="0" borderId="24" xfId="42" applyNumberFormat="1" applyFont="1" applyBorder="1" applyAlignment="1">
      <alignment horizontal="center" vertical="center" wrapText="1"/>
    </xf>
    <xf numFmtId="182" fontId="7" fillId="0" borderId="15" xfId="42" applyNumberFormat="1" applyFont="1" applyBorder="1" applyAlignment="1">
      <alignment horizontal="center" vertical="center" wrapText="1"/>
    </xf>
    <xf numFmtId="182" fontId="7" fillId="0" borderId="36" xfId="42" applyNumberFormat="1" applyFont="1" applyBorder="1" applyAlignment="1">
      <alignment horizontal="center" vertical="center" wrapText="1"/>
    </xf>
    <xf numFmtId="182" fontId="2" fillId="0" borderId="0" xfId="0" applyNumberFormat="1" applyFont="1" applyFill="1" applyBorder="1" applyAlignment="1">
      <alignment horizontal="right"/>
    </xf>
    <xf numFmtId="3" fontId="7" fillId="0" borderId="10" xfId="0" applyNumberFormat="1" applyFont="1" applyBorder="1" applyAlignment="1">
      <alignment horizontal="center" vertical="center"/>
    </xf>
    <xf numFmtId="3" fontId="7" fillId="0" borderId="15" xfId="0" applyNumberFormat="1" applyFont="1" applyBorder="1" applyAlignment="1">
      <alignment horizontal="center" vertical="center"/>
    </xf>
    <xf numFmtId="0" fontId="7" fillId="0" borderId="37" xfId="0" applyFont="1" applyBorder="1" applyAlignment="1">
      <alignment horizontal="left" vertical="center" wrapText="1"/>
    </xf>
    <xf numFmtId="174" fontId="7" fillId="0" borderId="38" xfId="0" applyNumberFormat="1" applyFont="1" applyBorder="1" applyAlignment="1">
      <alignment horizontal="center" vertical="center" wrapText="1"/>
    </xf>
    <xf numFmtId="174" fontId="7" fillId="0" borderId="39" xfId="0" applyNumberFormat="1" applyFont="1" applyBorder="1" applyAlignment="1">
      <alignment horizontal="center" vertical="center" wrapText="1"/>
    </xf>
    <xf numFmtId="3" fontId="7" fillId="0" borderId="39" xfId="0" applyNumberFormat="1" applyFont="1" applyBorder="1" applyAlignment="1">
      <alignment horizontal="center" vertical="center"/>
    </xf>
    <xf numFmtId="0" fontId="7" fillId="0" borderId="39" xfId="0" applyFont="1" applyBorder="1" applyAlignment="1">
      <alignment horizontal="center" vertical="center"/>
    </xf>
    <xf numFmtId="174" fontId="6" fillId="0" borderId="39" xfId="0" applyNumberFormat="1" applyFont="1" applyBorder="1" applyAlignment="1">
      <alignment horizontal="center" vertical="center" wrapText="1"/>
    </xf>
    <xf numFmtId="173" fontId="6" fillId="0" borderId="39" xfId="0" applyNumberFormat="1" applyFont="1" applyBorder="1" applyAlignment="1">
      <alignment horizontal="center" vertical="center" wrapText="1"/>
    </xf>
    <xf numFmtId="173" fontId="7" fillId="0" borderId="39" xfId="0" applyNumberFormat="1" applyFont="1" applyBorder="1" applyAlignment="1">
      <alignment horizontal="center" vertical="center" wrapText="1"/>
    </xf>
    <xf numFmtId="171" fontId="7" fillId="0" borderId="39" xfId="60" applyNumberFormat="1" applyFont="1" applyBorder="1" applyAlignment="1">
      <alignment horizontal="center" vertical="center"/>
    </xf>
    <xf numFmtId="172" fontId="7" fillId="0" borderId="39" xfId="0" applyNumberFormat="1" applyFont="1" applyBorder="1" applyAlignment="1">
      <alignment horizontal="center" vertical="center"/>
    </xf>
    <xf numFmtId="182" fontId="7" fillId="0" borderId="39" xfId="42" applyNumberFormat="1" applyFont="1" applyBorder="1" applyAlignment="1">
      <alignment horizontal="center" vertical="center" wrapText="1"/>
    </xf>
    <xf numFmtId="182" fontId="7" fillId="0" borderId="40" xfId="42" applyNumberFormat="1" applyFont="1" applyBorder="1" applyAlignment="1">
      <alignment horizontal="center" vertical="center" wrapText="1"/>
    </xf>
    <xf numFmtId="0" fontId="7" fillId="0" borderId="24" xfId="0" applyFont="1" applyFill="1" applyBorder="1" applyAlignment="1">
      <alignment/>
    </xf>
    <xf numFmtId="0" fontId="7" fillId="0" borderId="41" xfId="0" applyFont="1" applyFill="1" applyBorder="1" applyAlignment="1">
      <alignment/>
    </xf>
    <xf numFmtId="171" fontId="7" fillId="0" borderId="24" xfId="60" applyNumberFormat="1" applyFont="1" applyBorder="1" applyAlignment="1">
      <alignment vertical="center" wrapText="1"/>
    </xf>
    <xf numFmtId="171" fontId="7" fillId="0" borderId="41" xfId="60" applyNumberFormat="1" applyFont="1" applyBorder="1" applyAlignment="1">
      <alignment vertical="center" wrapText="1"/>
    </xf>
    <xf numFmtId="0" fontId="6" fillId="0" borderId="35" xfId="0" applyFont="1" applyBorder="1" applyAlignment="1">
      <alignment horizontal="center" vertical="center" wrapText="1"/>
    </xf>
    <xf numFmtId="0" fontId="6" fillId="0" borderId="42" xfId="0" applyFont="1" applyBorder="1" applyAlignment="1">
      <alignment horizontal="center" vertical="center" wrapText="1"/>
    </xf>
    <xf numFmtId="44" fontId="49" fillId="0" borderId="24" xfId="44" applyFont="1" applyBorder="1" applyAlignment="1">
      <alignment horizontal="center" vertical="center" wrapText="1"/>
    </xf>
    <xf numFmtId="44" fontId="49" fillId="0" borderId="39" xfId="44" applyFont="1" applyBorder="1" applyAlignment="1">
      <alignment horizontal="center" vertical="center" wrapText="1"/>
    </xf>
    <xf numFmtId="0" fontId="0" fillId="0" borderId="10" xfId="0" applyFont="1" applyBorder="1" applyAlignment="1">
      <alignment horizontal="right"/>
    </xf>
    <xf numFmtId="0" fontId="2" fillId="0" borderId="10" xfId="0" applyFont="1" applyBorder="1" applyAlignment="1">
      <alignment horizontal="center" vertical="center" wrapText="1"/>
    </xf>
    <xf numFmtId="182" fontId="0" fillId="0" borderId="10" xfId="42" applyNumberFormat="1" applyFont="1" applyBorder="1" applyAlignment="1">
      <alignment horizontal="right" vertical="center"/>
    </xf>
    <xf numFmtId="14" fontId="6" fillId="0" borderId="0" xfId="0" applyNumberFormat="1" applyFont="1" applyAlignment="1">
      <alignment horizontal="center"/>
    </xf>
    <xf numFmtId="14" fontId="5" fillId="0" borderId="0" xfId="0" applyNumberFormat="1" applyFont="1" applyBorder="1" applyAlignment="1">
      <alignment horizontal="center"/>
    </xf>
    <xf numFmtId="0" fontId="6" fillId="0" borderId="43" xfId="0" applyFont="1" applyBorder="1" applyAlignment="1">
      <alignment horizontal="center" wrapText="1"/>
    </xf>
    <xf numFmtId="0" fontId="6" fillId="0" borderId="44" xfId="0" applyFont="1" applyBorder="1" applyAlignment="1">
      <alignment horizontal="center" wrapText="1"/>
    </xf>
    <xf numFmtId="4" fontId="7" fillId="0" borderId="45" xfId="0" applyNumberFormat="1" applyFont="1" applyBorder="1" applyAlignment="1">
      <alignment horizontal="right"/>
    </xf>
    <xf numFmtId="174" fontId="7" fillId="0" borderId="46" xfId="0" applyNumberFormat="1" applyFont="1" applyBorder="1" applyAlignment="1">
      <alignment horizontal="center" wrapText="1"/>
    </xf>
    <xf numFmtId="174" fontId="6" fillId="0" borderId="45" xfId="0" applyNumberFormat="1" applyFont="1" applyFill="1" applyBorder="1" applyAlignment="1">
      <alignment horizontal="center"/>
    </xf>
    <xf numFmtId="172" fontId="6" fillId="0" borderId="47" xfId="0" applyNumberFormat="1" applyFont="1" applyBorder="1" applyAlignment="1">
      <alignment horizontal="center"/>
    </xf>
    <xf numFmtId="173" fontId="6" fillId="0" borderId="48" xfId="0" applyNumberFormat="1" applyFont="1" applyBorder="1" applyAlignment="1">
      <alignment horizontal="center"/>
    </xf>
    <xf numFmtId="172" fontId="6" fillId="0" borderId="46" xfId="0" applyNumberFormat="1" applyFont="1" applyBorder="1" applyAlignment="1">
      <alignment horizontal="center"/>
    </xf>
    <xf numFmtId="173" fontId="6" fillId="0" borderId="49" xfId="0" applyNumberFormat="1" applyFont="1" applyBorder="1" applyAlignment="1">
      <alignment horizontal="center"/>
    </xf>
    <xf numFmtId="4" fontId="7" fillId="0" borderId="50" xfId="0" applyNumberFormat="1" applyFont="1" applyBorder="1" applyAlignment="1">
      <alignment horizontal="right"/>
    </xf>
    <xf numFmtId="174" fontId="7" fillId="0" borderId="47" xfId="0" applyNumberFormat="1" applyFont="1" applyBorder="1" applyAlignment="1">
      <alignment horizontal="center"/>
    </xf>
    <xf numFmtId="174" fontId="6" fillId="0" borderId="50" xfId="0" applyNumberFormat="1" applyFont="1" applyFill="1" applyBorder="1" applyAlignment="1">
      <alignment horizontal="center"/>
    </xf>
    <xf numFmtId="174" fontId="7" fillId="0" borderId="47" xfId="60" applyNumberFormat="1" applyFont="1" applyBorder="1" applyAlignment="1">
      <alignment horizontal="center"/>
    </xf>
    <xf numFmtId="4" fontId="7" fillId="0" borderId="51" xfId="0" applyNumberFormat="1" applyFont="1" applyBorder="1" applyAlignment="1">
      <alignment horizontal="right"/>
    </xf>
    <xf numFmtId="174" fontId="7" fillId="0" borderId="52" xfId="60" applyNumberFormat="1" applyFont="1" applyBorder="1" applyAlignment="1">
      <alignment horizontal="center"/>
    </xf>
    <xf numFmtId="174" fontId="6" fillId="0" borderId="51" xfId="0" applyNumberFormat="1" applyFont="1" applyFill="1" applyBorder="1" applyAlignment="1">
      <alignment horizontal="center"/>
    </xf>
    <xf numFmtId="172" fontId="6" fillId="0" borderId="52" xfId="0" applyNumberFormat="1" applyFont="1" applyBorder="1" applyAlignment="1">
      <alignment horizontal="center"/>
    </xf>
    <xf numFmtId="173" fontId="6" fillId="0" borderId="53" xfId="0" applyNumberFormat="1" applyFont="1" applyBorder="1" applyAlignment="1">
      <alignment horizontal="center"/>
    </xf>
    <xf numFmtId="4" fontId="6" fillId="0" borderId="0" xfId="0" applyNumberFormat="1" applyFont="1" applyBorder="1" applyAlignment="1">
      <alignment horizontal="right"/>
    </xf>
    <xf numFmtId="174" fontId="6" fillId="0" borderId="0" xfId="0" applyNumberFormat="1" applyFont="1" applyBorder="1" applyAlignment="1">
      <alignment horizontal="center"/>
    </xf>
    <xf numFmtId="0" fontId="5" fillId="0" borderId="0" xfId="0" applyFont="1" applyFill="1" applyAlignment="1">
      <alignment horizontal="center"/>
    </xf>
    <xf numFmtId="0" fontId="6" fillId="0" borderId="0" xfId="0" applyFont="1" applyBorder="1" applyAlignment="1">
      <alignment horizontal="left"/>
    </xf>
    <xf numFmtId="0" fontId="6" fillId="0" borderId="0" xfId="0" applyFont="1" applyBorder="1" applyAlignment="1">
      <alignment horizontal="center"/>
    </xf>
    <xf numFmtId="14" fontId="6" fillId="0" borderId="0" xfId="0" applyNumberFormat="1" applyFont="1" applyBorder="1" applyAlignment="1">
      <alignment horizontal="left"/>
    </xf>
    <xf numFmtId="0" fontId="7" fillId="0" borderId="0" xfId="0" applyFont="1" applyAlignment="1">
      <alignment horizontal="center"/>
    </xf>
    <xf numFmtId="0" fontId="7" fillId="0" borderId="0" xfId="0" applyFont="1" applyFill="1" applyBorder="1" applyAlignment="1">
      <alignment/>
    </xf>
    <xf numFmtId="0" fontId="6" fillId="0" borderId="10" xfId="0" applyFont="1" applyBorder="1" applyAlignment="1">
      <alignment horizontal="center" vertical="center"/>
    </xf>
    <xf numFmtId="176" fontId="47" fillId="0" borderId="0" xfId="0" applyNumberFormat="1" applyFont="1" applyFill="1" applyBorder="1" applyAlignment="1">
      <alignment horizontal="center" vertical="center"/>
    </xf>
    <xf numFmtId="0" fontId="6" fillId="0" borderId="10" xfId="0" applyFont="1" applyBorder="1" applyAlignment="1">
      <alignment horizontal="center" vertical="center" wrapText="1"/>
    </xf>
    <xf numFmtId="1" fontId="7" fillId="0" borderId="10" xfId="0" applyNumberFormat="1" applyFont="1" applyBorder="1" applyAlignment="1">
      <alignment horizontal="left" vertical="center" wrapText="1"/>
    </xf>
    <xf numFmtId="4" fontId="7" fillId="0" borderId="0" xfId="0" applyNumberFormat="1" applyFont="1" applyFill="1" applyBorder="1" applyAlignment="1">
      <alignment horizontal="left"/>
    </xf>
    <xf numFmtId="174" fontId="7" fillId="0" borderId="10" xfId="0" applyNumberFormat="1" applyFont="1" applyFill="1" applyBorder="1" applyAlignment="1">
      <alignment horizontal="center" vertical="center"/>
    </xf>
    <xf numFmtId="0" fontId="7" fillId="0" borderId="10" xfId="0" applyFont="1" applyBorder="1" applyAlignment="1">
      <alignment horizontal="left" vertical="center" wrapText="1"/>
    </xf>
    <xf numFmtId="0" fontId="46" fillId="0" borderId="0" xfId="0" applyFont="1" applyAlignment="1">
      <alignment/>
    </xf>
    <xf numFmtId="0" fontId="0" fillId="0" borderId="10" xfId="0" applyFont="1" applyBorder="1" applyAlignment="1">
      <alignment/>
    </xf>
    <xf numFmtId="0" fontId="5" fillId="0" borderId="10" xfId="0" applyFont="1" applyBorder="1" applyAlignment="1">
      <alignment horizontal="left"/>
    </xf>
    <xf numFmtId="0" fontId="5" fillId="0" borderId="10" xfId="0" applyFont="1" applyBorder="1" applyAlignment="1">
      <alignment horizontal="center"/>
    </xf>
    <xf numFmtId="0" fontId="7" fillId="0" borderId="10" xfId="0" applyFont="1" applyBorder="1" applyAlignment="1">
      <alignment horizontal="left"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0" applyNumberFormat="1" applyFont="1" applyBorder="1" applyAlignment="1" quotePrefix="1">
      <alignment horizontal="center" vertical="center"/>
    </xf>
    <xf numFmtId="176" fontId="7" fillId="0" borderId="10" xfId="0" applyNumberFormat="1" applyFont="1" applyBorder="1" applyAlignment="1">
      <alignment horizontal="center" vertical="center"/>
    </xf>
    <xf numFmtId="176" fontId="47" fillId="0" borderId="10" xfId="0" applyNumberFormat="1" applyFont="1" applyBorder="1" applyAlignment="1">
      <alignment horizontal="center" vertical="center"/>
    </xf>
    <xf numFmtId="0" fontId="6" fillId="0" borderId="10" xfId="0" applyFont="1" applyBorder="1" applyAlignment="1">
      <alignment horizontal="left" vertical="center" wrapText="1"/>
    </xf>
    <xf numFmtId="44" fontId="49" fillId="0" borderId="10" xfId="44" applyFont="1" applyBorder="1" applyAlignment="1">
      <alignment horizontal="center" vertical="center" wrapText="1"/>
    </xf>
    <xf numFmtId="0" fontId="7" fillId="0" borderId="10" xfId="0" applyFont="1" applyFill="1" applyBorder="1" applyAlignment="1">
      <alignment/>
    </xf>
    <xf numFmtId="174" fontId="0" fillId="0" borderId="10" xfId="42" applyNumberFormat="1" applyFont="1" applyFill="1" applyBorder="1" applyAlignment="1">
      <alignment horizontal="right"/>
    </xf>
    <xf numFmtId="3" fontId="0" fillId="0" borderId="10" xfId="42" applyNumberFormat="1" applyFont="1" applyFill="1" applyBorder="1" applyAlignment="1">
      <alignment horizontal="right"/>
    </xf>
    <xf numFmtId="182" fontId="0" fillId="0" borderId="10" xfId="0" applyNumberFormat="1" applyFont="1" applyFill="1" applyBorder="1" applyAlignment="1">
      <alignment horizontal="right"/>
    </xf>
    <xf numFmtId="171" fontId="2" fillId="0" borderId="10" xfId="60" applyNumberFormat="1" applyFont="1" applyFill="1" applyBorder="1" applyAlignment="1">
      <alignment horizontal="right"/>
    </xf>
    <xf numFmtId="0" fontId="2" fillId="0" borderId="10" xfId="0" applyFont="1" applyBorder="1" applyAlignment="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166" fontId="0" fillId="0" borderId="10" xfId="0" applyNumberFormat="1" applyFont="1" applyBorder="1" applyAlignment="1">
      <alignment horizontal="right"/>
    </xf>
    <xf numFmtId="165" fontId="0" fillId="0" borderId="10" xfId="0" applyNumberFormat="1" applyFont="1" applyBorder="1" applyAlignment="1">
      <alignment horizontal="right"/>
    </xf>
    <xf numFmtId="171" fontId="0" fillId="0" borderId="10" xfId="60" applyNumberFormat="1" applyFont="1" applyFill="1" applyBorder="1" applyAlignment="1">
      <alignment horizontal="right"/>
    </xf>
    <xf numFmtId="14" fontId="50" fillId="0" borderId="0" xfId="0" applyNumberFormat="1" applyFont="1" applyAlignment="1">
      <alignment/>
    </xf>
    <xf numFmtId="174" fontId="6" fillId="0" borderId="0" xfId="60" applyNumberFormat="1" applyFont="1" applyBorder="1" applyAlignment="1">
      <alignment horizontal="center"/>
    </xf>
    <xf numFmtId="182" fontId="0" fillId="0" borderId="10" xfId="42" applyNumberFormat="1" applyFont="1" applyBorder="1" applyAlignment="1">
      <alignment horizontal="right"/>
    </xf>
    <xf numFmtId="0" fontId="5" fillId="0" borderId="54" xfId="0" applyFont="1" applyBorder="1" applyAlignment="1">
      <alignment horizontal="center"/>
    </xf>
    <xf numFmtId="0" fontId="0" fillId="0" borderId="10" xfId="0" applyFont="1" applyFill="1" applyBorder="1" applyAlignment="1">
      <alignment horizontal="right"/>
    </xf>
    <xf numFmtId="0" fontId="0" fillId="0" borderId="10" xfId="0" applyFont="1" applyBorder="1" applyAlignment="1">
      <alignment horizontal="right" vertical="center" wrapText="1"/>
    </xf>
    <xf numFmtId="173" fontId="49" fillId="0" borderId="10" xfId="44" applyNumberFormat="1" applyFont="1" applyBorder="1" applyAlignment="1">
      <alignment horizontal="center" vertical="center" wrapText="1"/>
    </xf>
    <xf numFmtId="0" fontId="6" fillId="0" borderId="55" xfId="0" applyFont="1" applyBorder="1" applyAlignment="1">
      <alignment horizontal="center" vertical="center" wrapText="1"/>
    </xf>
    <xf numFmtId="174" fontId="6" fillId="0" borderId="56" xfId="0" applyNumberFormat="1" applyFont="1" applyFill="1" applyBorder="1" applyAlignment="1">
      <alignment horizontal="center"/>
    </xf>
    <xf numFmtId="174" fontId="6" fillId="0" borderId="57" xfId="0" applyNumberFormat="1" applyFont="1" applyFill="1" applyBorder="1" applyAlignment="1">
      <alignment horizontal="center"/>
    </xf>
    <xf numFmtId="174" fontId="6" fillId="0" borderId="58" xfId="0" applyNumberFormat="1" applyFont="1" applyFill="1" applyBorder="1" applyAlignment="1">
      <alignment horizontal="center"/>
    </xf>
    <xf numFmtId="174" fontId="7" fillId="0" borderId="59" xfId="0" applyNumberFormat="1" applyFont="1" applyFill="1" applyBorder="1" applyAlignment="1">
      <alignment horizontal="center"/>
    </xf>
    <xf numFmtId="174" fontId="7" fillId="0" borderId="60" xfId="0" applyNumberFormat="1" applyFont="1" applyFill="1" applyBorder="1" applyAlignment="1">
      <alignment horizontal="center"/>
    </xf>
    <xf numFmtId="174" fontId="7" fillId="0" borderId="61" xfId="0" applyNumberFormat="1" applyFont="1" applyFill="1" applyBorder="1" applyAlignment="1">
      <alignment horizontal="center"/>
    </xf>
    <xf numFmtId="0" fontId="7" fillId="0" borderId="62" xfId="0" applyFont="1" applyBorder="1" applyAlignment="1">
      <alignment vertical="center" wrapText="1"/>
    </xf>
    <xf numFmtId="0" fontId="7" fillId="0" borderId="0" xfId="0" applyFont="1" applyBorder="1" applyAlignment="1">
      <alignment vertical="center" wrapText="1"/>
    </xf>
    <xf numFmtId="0" fontId="7" fillId="0" borderId="63" xfId="0" applyFont="1" applyBorder="1" applyAlignment="1">
      <alignment vertical="center" wrapText="1"/>
    </xf>
    <xf numFmtId="0" fontId="7" fillId="0" borderId="64" xfId="0" applyFont="1" applyBorder="1" applyAlignment="1">
      <alignment vertical="center" wrapText="1"/>
    </xf>
    <xf numFmtId="0" fontId="7" fillId="0" borderId="65" xfId="0" applyFont="1" applyBorder="1" applyAlignment="1">
      <alignment vertical="center" wrapText="1"/>
    </xf>
    <xf numFmtId="0" fontId="7" fillId="0" borderId="66" xfId="0" applyFont="1" applyBorder="1" applyAlignment="1">
      <alignment vertical="center" wrapText="1"/>
    </xf>
    <xf numFmtId="182" fontId="7" fillId="0" borderId="10" xfId="42" applyNumberFormat="1" applyFont="1" applyBorder="1" applyAlignment="1">
      <alignment vertical="center" wrapText="1"/>
    </xf>
    <xf numFmtId="171" fontId="7" fillId="0" borderId="10" xfId="60" applyNumberFormat="1" applyFont="1" applyBorder="1" applyAlignment="1">
      <alignment horizontal="center" vertical="center" wrapText="1"/>
    </xf>
    <xf numFmtId="174" fontId="7" fillId="0" borderId="0" xfId="0" applyNumberFormat="1" applyFont="1" applyAlignment="1">
      <alignment horizontal="center"/>
    </xf>
    <xf numFmtId="182" fontId="7" fillId="0" borderId="10" xfId="42" applyNumberFormat="1" applyFont="1" applyBorder="1" applyAlignment="1">
      <alignment horizontal="right" vertical="center" wrapText="1"/>
    </xf>
    <xf numFmtId="174" fontId="7" fillId="0" borderId="49" xfId="0" applyNumberFormat="1" applyFont="1" applyFill="1" applyBorder="1" applyAlignment="1">
      <alignment horizontal="center"/>
    </xf>
    <xf numFmtId="174" fontId="7" fillId="0" borderId="48" xfId="0" applyNumberFormat="1" applyFont="1" applyFill="1" applyBorder="1" applyAlignment="1">
      <alignment horizontal="center"/>
    </xf>
    <xf numFmtId="174" fontId="7" fillId="0" borderId="53" xfId="0" applyNumberFormat="1" applyFont="1" applyFill="1" applyBorder="1" applyAlignment="1">
      <alignment horizontal="center"/>
    </xf>
    <xf numFmtId="0" fontId="0" fillId="0" borderId="0" xfId="0" applyFont="1" applyFill="1" applyBorder="1" applyAlignment="1">
      <alignment/>
    </xf>
    <xf numFmtId="166" fontId="6" fillId="0" borderId="47" xfId="0" applyNumberFormat="1" applyFont="1" applyBorder="1" applyAlignment="1">
      <alignment horizontal="center"/>
    </xf>
    <xf numFmtId="166" fontId="6" fillId="0" borderId="48" xfId="0" applyNumberFormat="1" applyFont="1" applyBorder="1" applyAlignment="1">
      <alignment horizontal="center"/>
    </xf>
    <xf numFmtId="166" fontId="6" fillId="0" borderId="46" xfId="0" applyNumberFormat="1" applyFont="1" applyBorder="1" applyAlignment="1">
      <alignment horizontal="center"/>
    </xf>
    <xf numFmtId="166" fontId="6" fillId="0" borderId="49" xfId="0" applyNumberFormat="1" applyFont="1" applyBorder="1" applyAlignment="1">
      <alignment horizontal="center"/>
    </xf>
    <xf numFmtId="166" fontId="6" fillId="0" borderId="67" xfId="0" applyNumberFormat="1" applyFont="1" applyBorder="1" applyAlignment="1">
      <alignment horizontal="center"/>
    </xf>
    <xf numFmtId="166" fontId="6" fillId="0" borderId="52" xfId="0" applyNumberFormat="1" applyFont="1" applyBorder="1" applyAlignment="1">
      <alignment horizontal="center"/>
    </xf>
    <xf numFmtId="166" fontId="6" fillId="0" borderId="53" xfId="0" applyNumberFormat="1" applyFont="1" applyBorder="1" applyAlignment="1">
      <alignment horizontal="center"/>
    </xf>
    <xf numFmtId="0" fontId="5" fillId="0" borderId="68" xfId="0" applyFont="1" applyBorder="1" applyAlignment="1">
      <alignment horizontal="center"/>
    </xf>
    <xf numFmtId="0" fontId="5" fillId="0" borderId="0" xfId="0" applyFont="1" applyBorder="1" applyAlignment="1">
      <alignment horizontal="center"/>
    </xf>
    <xf numFmtId="0" fontId="5" fillId="0" borderId="10" xfId="0" applyFont="1" applyFill="1" applyBorder="1" applyAlignment="1">
      <alignment horizontal="left" vertical="center"/>
    </xf>
    <xf numFmtId="0" fontId="47" fillId="0" borderId="0" xfId="0" applyFont="1" applyBorder="1" applyAlignment="1">
      <alignment horizontal="left"/>
    </xf>
    <xf numFmtId="0" fontId="5" fillId="0" borderId="55" xfId="0" applyFont="1" applyBorder="1" applyAlignment="1">
      <alignment horizontal="center"/>
    </xf>
    <xf numFmtId="0" fontId="5" fillId="0" borderId="69" xfId="0" applyFont="1" applyBorder="1" applyAlignment="1">
      <alignment horizontal="center"/>
    </xf>
    <xf numFmtId="0" fontId="5" fillId="0" borderId="0" xfId="0" applyFont="1" applyBorder="1" applyAlignment="1">
      <alignment horizontal="left"/>
    </xf>
    <xf numFmtId="0" fontId="6" fillId="0" borderId="10" xfId="0" applyFont="1" applyBorder="1" applyAlignment="1">
      <alignment horizontal="center" wrapText="1"/>
    </xf>
    <xf numFmtId="0" fontId="5" fillId="0" borderId="37" xfId="0" applyFont="1" applyBorder="1" applyAlignment="1">
      <alignment horizontal="left"/>
    </xf>
    <xf numFmtId="0" fontId="5" fillId="0" borderId="42" xfId="0" applyFont="1" applyBorder="1" applyAlignment="1">
      <alignment horizontal="left"/>
    </xf>
    <xf numFmtId="0" fontId="5" fillId="0" borderId="39" xfId="0" applyFont="1" applyBorder="1" applyAlignment="1">
      <alignment horizontal="left"/>
    </xf>
    <xf numFmtId="0" fontId="48" fillId="0" borderId="37" xfId="0" applyFont="1" applyBorder="1" applyAlignment="1">
      <alignment horizontal="center"/>
    </xf>
    <xf numFmtId="0" fontId="48" fillId="0" borderId="42" xfId="0" applyFont="1" applyBorder="1" applyAlignment="1">
      <alignment horizontal="center"/>
    </xf>
    <xf numFmtId="0" fontId="48" fillId="0" borderId="39" xfId="0" applyFont="1" applyBorder="1" applyAlignment="1">
      <alignment horizontal="center"/>
    </xf>
    <xf numFmtId="0" fontId="6" fillId="0" borderId="10" xfId="0" applyFont="1" applyBorder="1" applyAlignment="1">
      <alignment horizontal="left"/>
    </xf>
    <xf numFmtId="0" fontId="7" fillId="0" borderId="10" xfId="0" applyFont="1" applyBorder="1" applyAlignment="1">
      <alignment/>
    </xf>
    <xf numFmtId="0" fontId="47" fillId="0" borderId="10" xfId="0" applyFont="1" applyBorder="1" applyAlignment="1">
      <alignment/>
    </xf>
    <xf numFmtId="0" fontId="7" fillId="0" borderId="37" xfId="0" applyFont="1" applyBorder="1" applyAlignment="1">
      <alignment horizontal="left" vertical="top" wrapText="1"/>
    </xf>
    <xf numFmtId="0" fontId="7" fillId="0" borderId="42" xfId="0" applyFont="1" applyBorder="1" applyAlignment="1">
      <alignment horizontal="left" vertical="top" wrapText="1"/>
    </xf>
    <xf numFmtId="0" fontId="7" fillId="0" borderId="39" xfId="0" applyFont="1" applyBorder="1" applyAlignment="1">
      <alignment horizontal="left" vertical="top" wrapText="1"/>
    </xf>
    <xf numFmtId="0" fontId="7" fillId="0" borderId="10" xfId="0" applyFont="1" applyBorder="1" applyAlignment="1">
      <alignment horizontal="left" vertical="top" wrapText="1"/>
    </xf>
    <xf numFmtId="174" fontId="0" fillId="0" borderId="30" xfId="60" applyNumberFormat="1"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174" fontId="7" fillId="0" borderId="10" xfId="0" applyNumberFormat="1" applyFont="1" applyFill="1" applyBorder="1" applyAlignment="1">
      <alignment horizontal="left"/>
    </xf>
    <xf numFmtId="0" fontId="0" fillId="0" borderId="10" xfId="0" applyBorder="1" applyAlignment="1">
      <alignment/>
    </xf>
    <xf numFmtId="0" fontId="0" fillId="0" borderId="15" xfId="0" applyBorder="1" applyAlignment="1">
      <alignment/>
    </xf>
    <xf numFmtId="174" fontId="7" fillId="0" borderId="17" xfId="0" applyNumberFormat="1" applyFont="1" applyFill="1" applyBorder="1" applyAlignment="1">
      <alignment horizontal="left"/>
    </xf>
    <xf numFmtId="0" fontId="0" fillId="0" borderId="17" xfId="0" applyBorder="1" applyAlignment="1">
      <alignment/>
    </xf>
    <xf numFmtId="0" fontId="0" fillId="0" borderId="36" xfId="0" applyBorder="1" applyAlignment="1">
      <alignment/>
    </xf>
    <xf numFmtId="0" fontId="6" fillId="0" borderId="72" xfId="0" applyFont="1" applyBorder="1" applyAlignment="1">
      <alignment horizontal="left"/>
    </xf>
    <xf numFmtId="0" fontId="6" fillId="0" borderId="69" xfId="0" applyFont="1" applyBorder="1" applyAlignment="1">
      <alignment horizontal="left"/>
    </xf>
    <xf numFmtId="0" fontId="6" fillId="0" borderId="73" xfId="0" applyFont="1" applyBorder="1" applyAlignment="1">
      <alignment horizontal="left"/>
    </xf>
    <xf numFmtId="0" fontId="7" fillId="0" borderId="74" xfId="0" applyFont="1" applyBorder="1" applyAlignment="1">
      <alignment/>
    </xf>
    <xf numFmtId="0" fontId="7" fillId="0" borderId="75" xfId="0" applyFont="1" applyBorder="1" applyAlignment="1">
      <alignment/>
    </xf>
    <xf numFmtId="0" fontId="7" fillId="0" borderId="42" xfId="0" applyFont="1" applyBorder="1" applyAlignment="1">
      <alignment horizontal="left"/>
    </xf>
    <xf numFmtId="0" fontId="7" fillId="0" borderId="76" xfId="0" applyFont="1" applyBorder="1" applyAlignment="1">
      <alignment horizontal="left"/>
    </xf>
    <xf numFmtId="0" fontId="7" fillId="0" borderId="42" xfId="0" applyFont="1" applyBorder="1" applyAlignment="1">
      <alignment/>
    </xf>
    <xf numFmtId="0" fontId="7" fillId="0" borderId="76" xfId="0" applyFont="1" applyBorder="1" applyAlignment="1">
      <alignment/>
    </xf>
    <xf numFmtId="0" fontId="7" fillId="0" borderId="35" xfId="0" applyFont="1" applyBorder="1" applyAlignment="1">
      <alignment vertical="center"/>
    </xf>
    <xf numFmtId="0" fontId="0" fillId="0" borderId="42" xfId="0" applyBorder="1" applyAlignment="1">
      <alignment vertical="center"/>
    </xf>
    <xf numFmtId="0" fontId="0" fillId="0" borderId="76" xfId="0" applyBorder="1" applyAlignment="1">
      <alignment vertical="center"/>
    </xf>
    <xf numFmtId="0" fontId="47" fillId="0" borderId="77" xfId="0" applyFont="1" applyBorder="1" applyAlignment="1">
      <alignment/>
    </xf>
    <xf numFmtId="0" fontId="47" fillId="0" borderId="78" xfId="0" applyFont="1" applyBorder="1" applyAlignment="1">
      <alignment/>
    </xf>
    <xf numFmtId="0" fontId="47" fillId="0" borderId="79" xfId="0" applyFont="1" applyBorder="1" applyAlignment="1">
      <alignment/>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0" fillId="0" borderId="42" xfId="0" applyBorder="1" applyAlignment="1">
      <alignment vertical="top"/>
    </xf>
    <xf numFmtId="0" fontId="0" fillId="0" borderId="76" xfId="0" applyBorder="1" applyAlignment="1">
      <alignment vertical="top"/>
    </xf>
    <xf numFmtId="0" fontId="6" fillId="0" borderId="68"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xf>
    <xf numFmtId="0" fontId="0" fillId="0" borderId="20" xfId="0" applyBorder="1" applyAlignment="1">
      <alignment/>
    </xf>
    <xf numFmtId="0" fontId="0" fillId="0" borderId="80" xfId="0" applyBorder="1" applyAlignment="1">
      <alignment/>
    </xf>
    <xf numFmtId="0" fontId="6" fillId="0" borderId="81" xfId="0" applyFont="1" applyBorder="1" applyAlignment="1">
      <alignment horizontal="center" vertical="center"/>
    </xf>
    <xf numFmtId="0" fontId="6" fillId="0" borderId="54" xfId="0" applyFont="1" applyBorder="1" applyAlignment="1">
      <alignment horizontal="center" vertical="center"/>
    </xf>
    <xf numFmtId="0" fontId="0" fillId="0" borderId="54" xfId="0" applyBorder="1" applyAlignment="1">
      <alignment/>
    </xf>
    <xf numFmtId="0" fontId="0" fillId="0" borderId="82" xfId="0" applyBorder="1" applyAlignment="1">
      <alignment/>
    </xf>
    <xf numFmtId="0" fontId="6" fillId="0" borderId="10" xfId="0" applyFont="1" applyBorder="1" applyAlignment="1">
      <alignment horizontal="center"/>
    </xf>
    <xf numFmtId="173" fontId="7" fillId="0" borderId="10" xfId="44" applyNumberFormat="1" applyFont="1" applyBorder="1" applyAlignment="1">
      <alignment horizontal="center" vertical="center" wrapText="1"/>
    </xf>
    <xf numFmtId="14" fontId="5" fillId="0" borderId="83" xfId="0" applyNumberFormat="1" applyFont="1" applyBorder="1" applyAlignment="1">
      <alignment horizontal="left"/>
    </xf>
    <xf numFmtId="14" fontId="5" fillId="0" borderId="83" xfId="0" applyNumberFormat="1" applyFont="1" applyBorder="1" applyAlignment="1">
      <alignment horizontal="center"/>
    </xf>
    <xf numFmtId="0" fontId="6" fillId="0" borderId="71" xfId="0" applyFont="1" applyBorder="1" applyAlignment="1">
      <alignment horizontal="right" wrapText="1"/>
    </xf>
    <xf numFmtId="0" fontId="6" fillId="0" borderId="84" xfId="0" applyFont="1" applyBorder="1" applyAlignment="1">
      <alignment horizontal="center" vertical="center" wrapText="1"/>
    </xf>
    <xf numFmtId="174" fontId="6" fillId="0" borderId="85" xfId="0" applyNumberFormat="1" applyFont="1" applyBorder="1" applyAlignment="1">
      <alignment horizontal="center" vertical="center" wrapText="1"/>
    </xf>
    <xf numFmtId="174" fontId="6" fillId="0" borderId="86" xfId="0" applyNumberFormat="1" applyFont="1" applyBorder="1" applyAlignment="1">
      <alignment horizontal="center" vertical="center" wrapText="1"/>
    </xf>
    <xf numFmtId="0" fontId="6" fillId="0" borderId="71" xfId="0" applyFont="1" applyBorder="1" applyAlignment="1">
      <alignment horizontal="center" vertical="center" wrapText="1"/>
    </xf>
    <xf numFmtId="0" fontId="47" fillId="0" borderId="10" xfId="0" applyFont="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18"/>
  <sheetViews>
    <sheetView tabSelected="1" zoomScale="90" zoomScaleNormal="90" zoomScalePageLayoutView="0" workbookViewId="0" topLeftCell="A1">
      <selection activeCell="A3" sqref="A3:E3"/>
    </sheetView>
  </sheetViews>
  <sheetFormatPr defaultColWidth="9.140625" defaultRowHeight="12.75"/>
  <cols>
    <col min="1" max="1" width="21.00390625" style="0" bestFit="1" customWidth="1"/>
    <col min="2" max="2" width="15.7109375" style="0" customWidth="1"/>
    <col min="3" max="5" width="12.7109375" style="0" customWidth="1"/>
    <col min="6" max="6" width="15.28125" style="0" customWidth="1"/>
    <col min="7" max="14" width="13.28125" style="0" customWidth="1"/>
    <col min="15" max="16" width="12.7109375" style="0" customWidth="1"/>
  </cols>
  <sheetData>
    <row r="1" spans="1:16" ht="18">
      <c r="A1" s="260" t="s">
        <v>160</v>
      </c>
      <c r="B1" s="260"/>
      <c r="C1" s="260"/>
      <c r="D1" s="260"/>
      <c r="E1" s="260"/>
      <c r="F1" s="260"/>
      <c r="G1" s="260"/>
      <c r="H1" s="260"/>
      <c r="I1" s="261" t="s">
        <v>12</v>
      </c>
      <c r="J1" s="261"/>
      <c r="K1" s="261"/>
      <c r="L1" s="261"/>
      <c r="M1" s="261"/>
      <c r="N1" s="261"/>
      <c r="O1" s="261"/>
      <c r="P1" s="261"/>
    </row>
    <row r="2" spans="1:10" ht="18.75" thickBot="1">
      <c r="A2" s="321" t="s">
        <v>185</v>
      </c>
      <c r="B2" s="321"/>
      <c r="C2" s="1"/>
      <c r="D2" s="322">
        <v>41484</v>
      </c>
      <c r="E2" s="1"/>
      <c r="F2" s="1"/>
      <c r="G2" s="1"/>
      <c r="H2" s="1"/>
      <c r="I2" s="1"/>
      <c r="J2" s="1"/>
    </row>
    <row r="3" spans="1:16" ht="18.75" thickBot="1">
      <c r="A3" s="328" t="s">
        <v>190</v>
      </c>
      <c r="B3" s="328"/>
      <c r="C3" s="328"/>
      <c r="D3" s="328"/>
      <c r="E3" s="328"/>
      <c r="F3" s="226"/>
      <c r="G3" s="262" t="s">
        <v>123</v>
      </c>
      <c r="H3" s="263"/>
      <c r="I3" s="263"/>
      <c r="J3" s="263"/>
      <c r="K3" s="263"/>
      <c r="L3" s="263"/>
      <c r="M3" s="263"/>
      <c r="N3" s="263"/>
      <c r="O3" s="258"/>
      <c r="P3" s="259"/>
    </row>
    <row r="4" spans="1:14" ht="126.75" thickBot="1">
      <c r="A4" s="323" t="s">
        <v>124</v>
      </c>
      <c r="B4" s="324" t="s">
        <v>125</v>
      </c>
      <c r="C4" s="325" t="s">
        <v>126</v>
      </c>
      <c r="D4" s="326" t="s">
        <v>127</v>
      </c>
      <c r="E4" s="327" t="s">
        <v>128</v>
      </c>
      <c r="F4" s="230" t="s">
        <v>158</v>
      </c>
      <c r="G4" s="166" t="s">
        <v>177</v>
      </c>
      <c r="H4" s="167" t="s">
        <v>178</v>
      </c>
      <c r="I4" s="166" t="s">
        <v>179</v>
      </c>
      <c r="J4" s="167" t="s">
        <v>180</v>
      </c>
      <c r="K4" s="166" t="s">
        <v>181</v>
      </c>
      <c r="L4" s="167" t="s">
        <v>182</v>
      </c>
      <c r="M4" s="166" t="s">
        <v>183</v>
      </c>
      <c r="N4" s="167" t="s">
        <v>184</v>
      </c>
    </row>
    <row r="5" spans="1:14" ht="15.75">
      <c r="A5" s="168" t="s">
        <v>129</v>
      </c>
      <c r="B5" s="169">
        <f>'2nd IA Configuration'!B6-'2nd IA Configuration'!C6</f>
        <v>-946.4000000000087</v>
      </c>
      <c r="C5" s="234">
        <f>'2nd IA Configuration'!B7-'2nd IA Configuration'!C7</f>
        <v>408.1</v>
      </c>
      <c r="D5" s="247">
        <v>0</v>
      </c>
      <c r="E5" s="170">
        <f aca="true" t="shared" si="0" ref="E5:E12">SUM(B5:D5)</f>
        <v>-538.3000000000087</v>
      </c>
      <c r="F5" s="231" t="s">
        <v>170</v>
      </c>
      <c r="G5" s="171">
        <v>0</v>
      </c>
      <c r="H5" s="172">
        <v>0</v>
      </c>
      <c r="I5" s="173">
        <f>-E5</f>
        <v>538.3000000000087</v>
      </c>
      <c r="J5" s="174">
        <v>0</v>
      </c>
      <c r="K5" s="253" t="s">
        <v>130</v>
      </c>
      <c r="L5" s="254" t="s">
        <v>130</v>
      </c>
      <c r="M5" s="253" t="s">
        <v>130</v>
      </c>
      <c r="N5" s="254" t="s">
        <v>130</v>
      </c>
    </row>
    <row r="6" spans="1:14" ht="15.75">
      <c r="A6" s="175" t="s">
        <v>131</v>
      </c>
      <c r="B6" s="176">
        <f>'2nd IA Configuration'!C6-'2nd IA Configuration'!D6-'2nd IA Configuration'!E6</f>
        <v>-387</v>
      </c>
      <c r="C6" s="235">
        <f>'2nd IA Configuration'!C7-'2nd IA Configuration'!D7-'2nd IA Configuration'!E7</f>
        <v>73.7</v>
      </c>
      <c r="D6" s="248">
        <v>0</v>
      </c>
      <c r="E6" s="177">
        <f t="shared" si="0"/>
        <v>-313.3</v>
      </c>
      <c r="F6" s="232" t="s">
        <v>170</v>
      </c>
      <c r="G6" s="171">
        <v>0</v>
      </c>
      <c r="H6" s="172">
        <v>0</v>
      </c>
      <c r="I6" s="171">
        <f>-E6</f>
        <v>313.3</v>
      </c>
      <c r="J6" s="172">
        <v>0</v>
      </c>
      <c r="K6" s="251" t="s">
        <v>130</v>
      </c>
      <c r="L6" s="252" t="s">
        <v>130</v>
      </c>
      <c r="M6" s="251" t="s">
        <v>130</v>
      </c>
      <c r="N6" s="252" t="s">
        <v>130</v>
      </c>
    </row>
    <row r="7" spans="1:14" ht="15.75">
      <c r="A7" s="175" t="s">
        <v>132</v>
      </c>
      <c r="B7" s="176">
        <f>'2nd IA Configuration'!D6-'2nd IA Configuration'!F6-'2nd IA Configuration'!H6</f>
        <v>-463.9000000000001</v>
      </c>
      <c r="C7" s="235">
        <f>'2nd IA Configuration'!D7-'2nd IA Configuration'!F7-'2nd IA Configuration'!H7</f>
        <v>110.3</v>
      </c>
      <c r="D7" s="248">
        <v>0</v>
      </c>
      <c r="E7" s="177">
        <f t="shared" si="0"/>
        <v>-353.6000000000001</v>
      </c>
      <c r="F7" s="232" t="s">
        <v>170</v>
      </c>
      <c r="G7" s="171">
        <v>0</v>
      </c>
      <c r="H7" s="172">
        <v>0</v>
      </c>
      <c r="I7" s="171">
        <v>301.4</v>
      </c>
      <c r="J7" s="172">
        <v>0</v>
      </c>
      <c r="K7" s="171">
        <v>301.4</v>
      </c>
      <c r="L7" s="172">
        <v>54.89</v>
      </c>
      <c r="M7" s="171">
        <f>-E7</f>
        <v>353.6000000000001</v>
      </c>
      <c r="N7" s="172">
        <v>63.62</v>
      </c>
    </row>
    <row r="8" spans="1:14" ht="15.75">
      <c r="A8" s="175" t="s">
        <v>133</v>
      </c>
      <c r="B8" s="176">
        <f>'2nd IA Configuration'!E6-'2nd IA Configuration'!I6</f>
        <v>-210.1999999999971</v>
      </c>
      <c r="C8" s="235">
        <f>'2nd IA Configuration'!E7-'2nd IA Configuration'!I7</f>
        <v>40</v>
      </c>
      <c r="D8" s="248">
        <v>-150.60000000000002</v>
      </c>
      <c r="E8" s="177">
        <f>SUM(B8:D8)</f>
        <v>-320.7999999999971</v>
      </c>
      <c r="F8" s="232" t="s">
        <v>170</v>
      </c>
      <c r="G8" s="171">
        <v>0</v>
      </c>
      <c r="H8" s="172">
        <v>0</v>
      </c>
      <c r="I8" s="171">
        <v>186.9</v>
      </c>
      <c r="J8" s="172">
        <v>0</v>
      </c>
      <c r="K8" s="171">
        <v>186.9</v>
      </c>
      <c r="L8" s="172">
        <v>48.28</v>
      </c>
      <c r="M8" s="171">
        <f>-E8</f>
        <v>320.7999999999971</v>
      </c>
      <c r="N8" s="172">
        <v>93.28</v>
      </c>
    </row>
    <row r="9" spans="1:14" ht="15.75">
      <c r="A9" s="175" t="s">
        <v>134</v>
      </c>
      <c r="B9" s="176">
        <f>'2nd IA Configuration'!F6-'2nd IA Configuration'!G6</f>
        <v>-251.69999999999982</v>
      </c>
      <c r="C9" s="235">
        <f>'2nd IA Configuration'!F7-'2nd IA Configuration'!G7</f>
        <v>32.099999999999994</v>
      </c>
      <c r="D9" s="248">
        <v>-222.5</v>
      </c>
      <c r="E9" s="177">
        <f t="shared" si="0"/>
        <v>-442.0999999999998</v>
      </c>
      <c r="F9" s="232" t="s">
        <v>170</v>
      </c>
      <c r="G9" s="171">
        <v>0</v>
      </c>
      <c r="H9" s="172">
        <v>0</v>
      </c>
      <c r="I9" s="171">
        <v>253.4</v>
      </c>
      <c r="J9" s="172">
        <v>0</v>
      </c>
      <c r="K9" s="171">
        <v>253.4</v>
      </c>
      <c r="L9" s="172">
        <v>54.89</v>
      </c>
      <c r="M9" s="171">
        <f>-E9</f>
        <v>442.0999999999998</v>
      </c>
      <c r="N9" s="172">
        <v>151.41</v>
      </c>
    </row>
    <row r="10" spans="1:14" ht="15.75">
      <c r="A10" s="175" t="s">
        <v>49</v>
      </c>
      <c r="B10" s="178">
        <f>'2nd IA Configuration'!G6</f>
        <v>43.19999999999982</v>
      </c>
      <c r="C10" s="235">
        <f>'2nd IA Configuration'!G7</f>
        <v>26.8</v>
      </c>
      <c r="D10" s="248">
        <v>4.6</v>
      </c>
      <c r="E10" s="177">
        <f t="shared" si="0"/>
        <v>74.59999999999981</v>
      </c>
      <c r="F10" s="232" t="s">
        <v>157</v>
      </c>
      <c r="G10" s="171">
        <v>0</v>
      </c>
      <c r="H10" s="172">
        <v>284.87</v>
      </c>
      <c r="I10" s="171">
        <v>16.600000000000364</v>
      </c>
      <c r="J10" s="172">
        <v>274.43</v>
      </c>
      <c r="K10" s="171">
        <f>E10</f>
        <v>74.59999999999981</v>
      </c>
      <c r="L10" s="172">
        <v>216.1</v>
      </c>
      <c r="M10" s="251" t="s">
        <v>130</v>
      </c>
      <c r="N10" s="252" t="s">
        <v>130</v>
      </c>
    </row>
    <row r="11" spans="1:14" ht="15.75">
      <c r="A11" s="175" t="s">
        <v>50</v>
      </c>
      <c r="B11" s="178">
        <f>'2nd IA Configuration'!H6</f>
        <v>58.90000000000009</v>
      </c>
      <c r="C11" s="235">
        <f>'2nd IA Configuration'!H7</f>
        <v>12.8</v>
      </c>
      <c r="D11" s="248">
        <v>-3.3</v>
      </c>
      <c r="E11" s="177">
        <f t="shared" si="0"/>
        <v>68.40000000000009</v>
      </c>
      <c r="F11" s="232" t="s">
        <v>157</v>
      </c>
      <c r="G11" s="171">
        <v>0</v>
      </c>
      <c r="H11" s="172">
        <v>269.02</v>
      </c>
      <c r="I11" s="171">
        <f>E11</f>
        <v>68.40000000000009</v>
      </c>
      <c r="J11" s="172">
        <v>126.82</v>
      </c>
      <c r="K11" s="251" t="s">
        <v>130</v>
      </c>
      <c r="L11" s="255" t="s">
        <v>130</v>
      </c>
      <c r="M11" s="251" t="s">
        <v>130</v>
      </c>
      <c r="N11" s="255" t="s">
        <v>130</v>
      </c>
    </row>
    <row r="12" spans="1:14" ht="16.5" thickBot="1">
      <c r="A12" s="179" t="s">
        <v>7</v>
      </c>
      <c r="B12" s="180">
        <f>'2nd IA Configuration'!I6</f>
        <v>-40.5</v>
      </c>
      <c r="C12" s="236">
        <f>'2nd IA Configuration'!I7</f>
        <v>37.8</v>
      </c>
      <c r="D12" s="249">
        <v>-69</v>
      </c>
      <c r="E12" s="181">
        <f t="shared" si="0"/>
        <v>-71.7</v>
      </c>
      <c r="F12" s="233" t="s">
        <v>170</v>
      </c>
      <c r="G12" s="182">
        <v>0</v>
      </c>
      <c r="H12" s="183">
        <v>76.05</v>
      </c>
      <c r="I12" s="182">
        <f>-E12</f>
        <v>71.7</v>
      </c>
      <c r="J12" s="183">
        <v>121.61</v>
      </c>
      <c r="K12" s="256" t="s">
        <v>130</v>
      </c>
      <c r="L12" s="257" t="s">
        <v>130</v>
      </c>
      <c r="M12" s="256" t="s">
        <v>130</v>
      </c>
      <c r="N12" s="257" t="s">
        <v>130</v>
      </c>
    </row>
    <row r="13" spans="1:9" ht="15.75">
      <c r="A13" s="184" t="s">
        <v>135</v>
      </c>
      <c r="B13" s="224">
        <f>SUM(B5:B12)</f>
        <v>-2197.600000000006</v>
      </c>
      <c r="C13" s="185">
        <f>SUM(C5:C12)</f>
        <v>741.5999999999999</v>
      </c>
      <c r="D13" s="185">
        <f>SUM(D5:D12)</f>
        <v>-440.8</v>
      </c>
      <c r="E13" s="185">
        <f>SUM(E5:E12)</f>
        <v>-1896.8000000000059</v>
      </c>
      <c r="F13" s="185"/>
      <c r="G13" s="1"/>
      <c r="H13" s="1"/>
      <c r="I13" s="1"/>
    </row>
    <row r="15" spans="1:9" ht="15">
      <c r="A15" s="196" t="s">
        <v>136</v>
      </c>
      <c r="G15" s="1"/>
      <c r="H15" s="1"/>
      <c r="I15" s="1"/>
    </row>
    <row r="16" spans="1:10" ht="18">
      <c r="A16" s="62" t="s">
        <v>137</v>
      </c>
      <c r="B16" s="186"/>
      <c r="C16" s="186"/>
      <c r="D16" s="186"/>
      <c r="E16" s="186"/>
      <c r="F16" s="186"/>
      <c r="G16" s="186"/>
      <c r="H16" s="1"/>
      <c r="I16" s="164"/>
      <c r="J16" s="1"/>
    </row>
    <row r="17" spans="1:10" ht="18">
      <c r="A17" s="62" t="s">
        <v>138</v>
      </c>
      <c r="B17" s="186"/>
      <c r="C17" s="186"/>
      <c r="D17" s="186"/>
      <c r="E17" s="186"/>
      <c r="F17" s="186"/>
      <c r="G17" s="186"/>
      <c r="H17" s="1"/>
      <c r="I17" s="164"/>
      <c r="J17" s="1"/>
    </row>
    <row r="18" spans="1:10" ht="15">
      <c r="A18" s="62" t="s">
        <v>139</v>
      </c>
      <c r="B18" s="1"/>
      <c r="C18" s="1"/>
      <c r="D18" s="1"/>
      <c r="E18" s="1"/>
      <c r="F18" s="1"/>
      <c r="G18" s="1"/>
      <c r="H18" s="1"/>
      <c r="I18" s="1"/>
      <c r="J18" s="1"/>
    </row>
  </sheetData>
  <sheetProtection/>
  <mergeCells count="5">
    <mergeCell ref="A1:H1"/>
    <mergeCell ref="A2:B2"/>
    <mergeCell ref="I1:P1"/>
    <mergeCell ref="G3:N3"/>
    <mergeCell ref="A3:E3"/>
  </mergeCells>
  <printOptions/>
  <pageMargins left="0.7" right="0.7" top="0.75" bottom="0.75" header="0.3" footer="0.3"/>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D1"/>
    </sheetView>
  </sheetViews>
  <sheetFormatPr defaultColWidth="9.140625" defaultRowHeight="12.75"/>
  <cols>
    <col min="1" max="1" width="62.28125" style="0" customWidth="1"/>
    <col min="2" max="6" width="12.7109375" style="0" customWidth="1"/>
    <col min="7" max="7" width="13.421875" style="0" customWidth="1"/>
    <col min="8" max="8" width="14.8515625" style="0" customWidth="1"/>
    <col min="9" max="9" width="12.7109375" style="0" customWidth="1"/>
  </cols>
  <sheetData>
    <row r="1" spans="1:10" ht="18">
      <c r="A1" s="264" t="s">
        <v>167</v>
      </c>
      <c r="B1" s="264"/>
      <c r="C1" s="264"/>
      <c r="D1" s="264"/>
      <c r="E1" s="165" t="s">
        <v>12</v>
      </c>
      <c r="F1" s="187"/>
      <c r="G1" s="188"/>
      <c r="H1" s="2"/>
      <c r="I1" s="62"/>
      <c r="J1" s="62"/>
    </row>
    <row r="2" spans="1:10" ht="15.75">
      <c r="A2" s="187" t="s">
        <v>12</v>
      </c>
      <c r="B2" s="187"/>
      <c r="C2" s="187"/>
      <c r="D2" s="187"/>
      <c r="E2" s="189"/>
      <c r="F2" s="187"/>
      <c r="G2" s="188"/>
      <c r="H2" s="2"/>
      <c r="I2" s="62"/>
      <c r="J2" s="62"/>
    </row>
    <row r="3" spans="1:10" ht="15.75">
      <c r="A3" s="187"/>
      <c r="B3" s="187"/>
      <c r="C3" s="187"/>
      <c r="D3" s="187"/>
      <c r="E3" s="189"/>
      <c r="F3" s="187"/>
      <c r="G3" s="188"/>
      <c r="H3" s="2"/>
      <c r="I3" s="62"/>
      <c r="J3" s="62"/>
    </row>
    <row r="4" spans="1:10" ht="15.75">
      <c r="A4" s="18"/>
      <c r="B4" s="193" t="s">
        <v>12</v>
      </c>
      <c r="C4" s="265" t="s">
        <v>46</v>
      </c>
      <c r="D4" s="265"/>
      <c r="E4" s="265"/>
      <c r="F4" s="265"/>
      <c r="G4" s="265"/>
      <c r="H4" s="265"/>
      <c r="I4" s="265"/>
      <c r="J4" s="62"/>
    </row>
    <row r="5" spans="1:10" ht="15.75">
      <c r="A5" s="194" t="s">
        <v>12</v>
      </c>
      <c r="B5" s="192" t="s">
        <v>13</v>
      </c>
      <c r="C5" s="192" t="s">
        <v>17</v>
      </c>
      <c r="D5" s="192" t="s">
        <v>16</v>
      </c>
      <c r="E5" s="192" t="s">
        <v>14</v>
      </c>
      <c r="F5" s="192" t="s">
        <v>8</v>
      </c>
      <c r="G5" s="192" t="s">
        <v>49</v>
      </c>
      <c r="H5" s="192" t="s">
        <v>50</v>
      </c>
      <c r="I5" s="192" t="s">
        <v>7</v>
      </c>
      <c r="J5" s="62"/>
    </row>
    <row r="6" spans="1:10" ht="15" customHeight="1">
      <c r="A6" s="195" t="s">
        <v>140</v>
      </c>
      <c r="B6" s="10">
        <f>'2nd IA Parameters'!B18-'1st IA Parameters'!B18</f>
        <v>-2197.600000000006</v>
      </c>
      <c r="C6" s="10">
        <f>'2nd IA Parameters'!C18-'1st IA Parameters'!C18</f>
        <v>-1251.199999999997</v>
      </c>
      <c r="D6" s="10">
        <f>'2nd IA Parameters'!D18-'1st IA Parameters'!D18</f>
        <v>-613.5</v>
      </c>
      <c r="E6" s="10">
        <f>'2nd IA Parameters'!E18-'1st IA Parameters'!E18</f>
        <v>-250.6999999999971</v>
      </c>
      <c r="F6" s="10">
        <f>'2nd IA Parameters'!F18-'1st IA Parameters'!F18</f>
        <v>-208.5</v>
      </c>
      <c r="G6" s="10">
        <f>'2nd IA Parameters'!G18-'1st IA Parameters'!G18</f>
        <v>43.19999999999982</v>
      </c>
      <c r="H6" s="10">
        <f>'2nd IA Parameters'!H18-'1st IA Parameters'!H18</f>
        <v>58.90000000000009</v>
      </c>
      <c r="I6" s="10">
        <f>'2nd IA Parameters'!I18-'1st IA Parameters'!I18</f>
        <v>-40.5</v>
      </c>
      <c r="J6" s="109"/>
    </row>
    <row r="7" spans="1:10" ht="15" customHeight="1">
      <c r="A7" s="195" t="s">
        <v>141</v>
      </c>
      <c r="B7" s="10">
        <f>ROUND('BRA Parameters'!B19*0.2,1)</f>
        <v>741.6</v>
      </c>
      <c r="C7" s="10">
        <f>ROUND('BRA Parameters'!C19*0.2,1)</f>
        <v>333.5</v>
      </c>
      <c r="D7" s="10">
        <f>ROUND('BRA Parameters'!D19*0.2,1)</f>
        <v>182</v>
      </c>
      <c r="E7" s="10">
        <f>ROUND('BRA Parameters'!E19*0.2,1)</f>
        <v>77.8</v>
      </c>
      <c r="F7" s="10">
        <f>ROUND('BRA Parameters'!F19*0.2,1)</f>
        <v>58.9</v>
      </c>
      <c r="G7" s="10">
        <f>ROUND('BRA Parameters'!G19*0.2,1)</f>
        <v>26.8</v>
      </c>
      <c r="H7" s="10">
        <f>ROUND('BRA Parameters'!H19*0.2,1)</f>
        <v>12.8</v>
      </c>
      <c r="I7" s="10">
        <f>ROUND('BRA Parameters'!I19*0.2,1)</f>
        <v>37.8</v>
      </c>
      <c r="J7" s="109"/>
    </row>
    <row r="8" spans="1:10" ht="15" customHeight="1">
      <c r="A8" s="198" t="s">
        <v>142</v>
      </c>
      <c r="B8" s="17" t="s">
        <v>24</v>
      </c>
      <c r="C8" s="11">
        <f>'2nd IA Parameters'!C14-'1st IA Parameters'!C14</f>
        <v>0</v>
      </c>
      <c r="D8" s="11">
        <f>'2nd IA Parameters'!D14-'1st IA Parameters'!D14</f>
        <v>0</v>
      </c>
      <c r="E8" s="11">
        <f>'2nd IA Parameters'!E14-'1st IA Parameters'!E14</f>
        <v>0</v>
      </c>
      <c r="F8" s="11">
        <f>'2nd IA Parameters'!F14-'1st IA Parameters'!F14</f>
        <v>0</v>
      </c>
      <c r="G8" s="11">
        <f>'2nd IA Parameters'!G14-'1st IA Parameters'!G14</f>
        <v>0</v>
      </c>
      <c r="H8" s="11">
        <f>'2nd IA Parameters'!H14-'1st IA Parameters'!H14</f>
        <v>0</v>
      </c>
      <c r="I8" s="11">
        <f>'2nd IA Parameters'!I14-'1st IA Parameters'!I14</f>
        <v>0</v>
      </c>
      <c r="J8" s="62"/>
    </row>
    <row r="9" spans="1:10" ht="15" customHeight="1">
      <c r="A9" s="198" t="s">
        <v>168</v>
      </c>
      <c r="B9" s="17" t="s">
        <v>24</v>
      </c>
      <c r="C9" s="197">
        <v>-9.2</v>
      </c>
      <c r="D9" s="197">
        <v>177.8</v>
      </c>
      <c r="E9" s="11">
        <v>1846.7</v>
      </c>
      <c r="F9" s="11">
        <v>185.2</v>
      </c>
      <c r="G9" s="11">
        <v>0</v>
      </c>
      <c r="H9" s="11">
        <v>243.5</v>
      </c>
      <c r="I9" s="197">
        <v>2028.8</v>
      </c>
      <c r="J9" s="62"/>
    </row>
    <row r="10" spans="1:10" ht="15">
      <c r="A10" s="2"/>
      <c r="B10" s="190"/>
      <c r="C10" s="245" t="s">
        <v>12</v>
      </c>
      <c r="D10" s="245" t="s">
        <v>12</v>
      </c>
      <c r="E10" s="245" t="s">
        <v>12</v>
      </c>
      <c r="F10" s="245" t="s">
        <v>12</v>
      </c>
      <c r="G10" s="245" t="s">
        <v>12</v>
      </c>
      <c r="H10" s="245" t="s">
        <v>12</v>
      </c>
      <c r="I10" s="245" t="s">
        <v>12</v>
      </c>
      <c r="J10" s="62"/>
    </row>
    <row r="11" spans="1:10" ht="15.75">
      <c r="A11" s="2" t="s">
        <v>143</v>
      </c>
      <c r="B11" s="190"/>
      <c r="C11" s="190"/>
      <c r="D11" s="190"/>
      <c r="E11" s="190"/>
      <c r="F11" s="190"/>
      <c r="G11" s="190"/>
      <c r="H11" s="62"/>
      <c r="I11" s="118"/>
      <c r="J11" s="62"/>
    </row>
    <row r="12" spans="1:10" ht="15.75">
      <c r="A12" s="2" t="s">
        <v>144</v>
      </c>
      <c r="B12" s="190"/>
      <c r="C12" s="190"/>
      <c r="D12" s="190"/>
      <c r="E12" s="190"/>
      <c r="F12" s="190"/>
      <c r="G12" s="190"/>
      <c r="H12" s="62"/>
      <c r="I12" s="118"/>
      <c r="J12" s="62"/>
    </row>
    <row r="13" ht="15">
      <c r="A13" s="191" t="s">
        <v>169</v>
      </c>
    </row>
    <row r="15" spans="2:6" ht="12.75">
      <c r="B15" s="7" t="s">
        <v>12</v>
      </c>
      <c r="C15" s="7" t="s">
        <v>12</v>
      </c>
      <c r="D15" s="7" t="s">
        <v>12</v>
      </c>
      <c r="E15" s="7" t="s">
        <v>12</v>
      </c>
      <c r="F15" s="7" t="s">
        <v>12</v>
      </c>
    </row>
    <row r="16" spans="2:9" ht="12.75">
      <c r="B16" s="7" t="s">
        <v>12</v>
      </c>
      <c r="C16" s="7" t="s">
        <v>12</v>
      </c>
      <c r="D16" s="7" t="s">
        <v>12</v>
      </c>
      <c r="E16" s="7" t="s">
        <v>12</v>
      </c>
      <c r="F16" s="7" t="s">
        <v>12</v>
      </c>
      <c r="G16" s="9" t="s">
        <v>12</v>
      </c>
      <c r="I16" t="s">
        <v>12</v>
      </c>
    </row>
  </sheetData>
  <sheetProtection/>
  <mergeCells count="2">
    <mergeCell ref="A1:D1"/>
    <mergeCell ref="C4:I4"/>
  </mergeCells>
  <printOptions/>
  <pageMargins left="0.7" right="0.7" top="0.75" bottom="0.75" header="0.3" footer="0.3"/>
  <pageSetup fitToHeight="1" fitToWidth="1" horizontalDpi="600" verticalDpi="600" orientation="landscape" scale="71" r:id="rId1"/>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 sqref="A1:I1"/>
    </sheetView>
  </sheetViews>
  <sheetFormatPr defaultColWidth="9.140625" defaultRowHeight="12.75"/>
  <cols>
    <col min="1" max="1" width="46.7109375" style="0" customWidth="1"/>
    <col min="2" max="9" width="16.7109375" style="0" customWidth="1"/>
  </cols>
  <sheetData>
    <row r="1" spans="1:9" ht="18">
      <c r="A1" s="266" t="s">
        <v>161</v>
      </c>
      <c r="B1" s="267"/>
      <c r="C1" s="267"/>
      <c r="D1" s="267"/>
      <c r="E1" s="267"/>
      <c r="F1" s="267"/>
      <c r="G1" s="267"/>
      <c r="H1" s="267"/>
      <c r="I1" s="268"/>
    </row>
    <row r="2" spans="1:9" ht="18">
      <c r="A2" s="269" t="s">
        <v>12</v>
      </c>
      <c r="B2" s="270"/>
      <c r="C2" s="270"/>
      <c r="D2" s="270"/>
      <c r="E2" s="270"/>
      <c r="F2" s="270"/>
      <c r="G2" s="270"/>
      <c r="H2" s="270"/>
      <c r="I2" s="271"/>
    </row>
    <row r="3" spans="1:9" ht="18">
      <c r="A3" s="201"/>
      <c r="B3" s="202" t="s">
        <v>13</v>
      </c>
      <c r="C3" s="272" t="s">
        <v>44</v>
      </c>
      <c r="D3" s="272"/>
      <c r="E3" s="272"/>
      <c r="F3" s="272"/>
      <c r="G3" s="272"/>
      <c r="H3" s="272"/>
      <c r="I3" s="272"/>
    </row>
    <row r="4" spans="1:9" ht="15">
      <c r="A4" s="203" t="s">
        <v>36</v>
      </c>
      <c r="B4" s="64">
        <v>0.159</v>
      </c>
      <c r="C4" s="273" t="s">
        <v>163</v>
      </c>
      <c r="D4" s="273"/>
      <c r="E4" s="273"/>
      <c r="F4" s="273"/>
      <c r="G4" s="273"/>
      <c r="H4" s="273"/>
      <c r="I4" s="273"/>
    </row>
    <row r="5" spans="1:9" ht="15" customHeight="1">
      <c r="A5" s="203" t="s">
        <v>37</v>
      </c>
      <c r="B5" s="204">
        <v>0.0605</v>
      </c>
      <c r="C5" s="275" t="s">
        <v>164</v>
      </c>
      <c r="D5" s="276"/>
      <c r="E5" s="276"/>
      <c r="F5" s="276"/>
      <c r="G5" s="276"/>
      <c r="H5" s="276"/>
      <c r="I5" s="277"/>
    </row>
    <row r="6" spans="1:9" ht="15">
      <c r="A6" s="203" t="s">
        <v>38</v>
      </c>
      <c r="B6" s="205">
        <v>1.0889</v>
      </c>
      <c r="C6" s="275"/>
      <c r="D6" s="276"/>
      <c r="E6" s="276"/>
      <c r="F6" s="276"/>
      <c r="G6" s="276"/>
      <c r="H6" s="276"/>
      <c r="I6" s="277"/>
    </row>
    <row r="7" spans="1:9" ht="15">
      <c r="A7" s="203" t="s">
        <v>45</v>
      </c>
      <c r="B7" s="206">
        <v>0.956</v>
      </c>
      <c r="C7" s="275"/>
      <c r="D7" s="276"/>
      <c r="E7" s="276"/>
      <c r="F7" s="276"/>
      <c r="G7" s="276"/>
      <c r="H7" s="276"/>
      <c r="I7" s="277"/>
    </row>
    <row r="8" spans="1:9" ht="15">
      <c r="A8" s="203" t="s">
        <v>145</v>
      </c>
      <c r="B8" s="11">
        <v>156863</v>
      </c>
      <c r="C8" s="275"/>
      <c r="D8" s="276"/>
      <c r="E8" s="276"/>
      <c r="F8" s="276"/>
      <c r="G8" s="276"/>
      <c r="H8" s="276"/>
      <c r="I8" s="277"/>
    </row>
    <row r="9" spans="1:9" ht="15">
      <c r="A9" s="203" t="s">
        <v>48</v>
      </c>
      <c r="B9" s="207" t="s">
        <v>162</v>
      </c>
      <c r="C9" s="275"/>
      <c r="D9" s="276"/>
      <c r="E9" s="276"/>
      <c r="F9" s="276"/>
      <c r="G9" s="276"/>
      <c r="H9" s="276"/>
      <c r="I9" s="277"/>
    </row>
    <row r="10" spans="1:9" ht="15.75">
      <c r="A10" s="203" t="s">
        <v>12</v>
      </c>
      <c r="B10" s="208" t="s">
        <v>12</v>
      </c>
      <c r="C10" s="274" t="s">
        <v>12</v>
      </c>
      <c r="D10" s="274"/>
      <c r="E10" s="274"/>
      <c r="F10" s="274"/>
      <c r="G10" s="274"/>
      <c r="H10" s="274"/>
      <c r="I10" s="274"/>
    </row>
    <row r="11" spans="1:9" ht="15.75">
      <c r="A11" s="203"/>
      <c r="B11" s="209" t="s">
        <v>12</v>
      </c>
      <c r="C11" s="265" t="s">
        <v>62</v>
      </c>
      <c r="D11" s="265"/>
      <c r="E11" s="265"/>
      <c r="F11" s="265"/>
      <c r="G11" s="265"/>
      <c r="H11" s="265"/>
      <c r="I11" s="265"/>
    </row>
    <row r="12" spans="1:9" ht="15.75">
      <c r="A12" s="162" t="s">
        <v>12</v>
      </c>
      <c r="B12" s="192" t="s">
        <v>13</v>
      </c>
      <c r="C12" s="192" t="s">
        <v>17</v>
      </c>
      <c r="D12" s="192" t="s">
        <v>16</v>
      </c>
      <c r="E12" s="192" t="s">
        <v>14</v>
      </c>
      <c r="F12" s="192" t="s">
        <v>8</v>
      </c>
      <c r="G12" s="192" t="s">
        <v>49</v>
      </c>
      <c r="H12" s="192" t="s">
        <v>50</v>
      </c>
      <c r="I12" s="192" t="s">
        <v>7</v>
      </c>
    </row>
    <row r="13" spans="1:9" ht="15">
      <c r="A13" s="198" t="s">
        <v>9</v>
      </c>
      <c r="B13" s="10" t="s">
        <v>24</v>
      </c>
      <c r="C13" s="10">
        <v>-3790</v>
      </c>
      <c r="D13" s="11">
        <v>2170</v>
      </c>
      <c r="E13" s="11">
        <v>4380</v>
      </c>
      <c r="F13" s="11">
        <v>4010</v>
      </c>
      <c r="G13" s="11">
        <v>1510</v>
      </c>
      <c r="H13" s="11">
        <v>1500</v>
      </c>
      <c r="I13" s="11">
        <v>3170</v>
      </c>
    </row>
    <row r="14" spans="1:9" ht="15">
      <c r="A14" s="198" t="s">
        <v>11</v>
      </c>
      <c r="B14" s="10" t="s">
        <v>24</v>
      </c>
      <c r="C14" s="10">
        <v>5467</v>
      </c>
      <c r="D14" s="11">
        <v>7871</v>
      </c>
      <c r="E14" s="11">
        <v>7686</v>
      </c>
      <c r="F14" s="11">
        <v>5720.7</v>
      </c>
      <c r="G14" s="11">
        <v>2372</v>
      </c>
      <c r="H14" s="11">
        <v>1925</v>
      </c>
      <c r="I14" s="11">
        <v>5576</v>
      </c>
    </row>
    <row r="15" spans="1:9" ht="15" customHeight="1">
      <c r="A15" s="195" t="s">
        <v>10</v>
      </c>
      <c r="B15" s="10">
        <f>ROUND((B8*B6),1)</f>
        <v>170808.1</v>
      </c>
      <c r="C15" s="10">
        <v>69007.2</v>
      </c>
      <c r="D15" s="12">
        <v>38042.8</v>
      </c>
      <c r="E15" s="12">
        <v>16650.4</v>
      </c>
      <c r="F15" s="12">
        <v>12437.5</v>
      </c>
      <c r="G15" s="12">
        <v>6324.4</v>
      </c>
      <c r="H15" s="12">
        <v>3060.8</v>
      </c>
      <c r="I15" s="12">
        <v>8803.7</v>
      </c>
    </row>
    <row r="16" spans="1:9" ht="15" customHeight="1">
      <c r="A16" s="198" t="s">
        <v>52</v>
      </c>
      <c r="B16" s="11">
        <v>26150.2</v>
      </c>
      <c r="C16" s="139">
        <v>0</v>
      </c>
      <c r="D16" s="139">
        <v>0</v>
      </c>
      <c r="E16" s="139">
        <v>0</v>
      </c>
      <c r="F16" s="139">
        <v>0</v>
      </c>
      <c r="G16" s="139">
        <v>0</v>
      </c>
      <c r="H16" s="139">
        <v>0</v>
      </c>
      <c r="I16" s="139">
        <v>0</v>
      </c>
    </row>
    <row r="17" spans="1:9" ht="15" customHeight="1">
      <c r="A17" s="198" t="s">
        <v>165</v>
      </c>
      <c r="B17" s="11">
        <f>ROUND(B16*$B$6,1)</f>
        <v>28475</v>
      </c>
      <c r="C17" s="85">
        <v>0</v>
      </c>
      <c r="D17" s="85">
        <v>0</v>
      </c>
      <c r="E17" s="85">
        <v>0</v>
      </c>
      <c r="F17" s="85">
        <v>0</v>
      </c>
      <c r="G17" s="85">
        <v>0</v>
      </c>
      <c r="H17" s="85">
        <v>0</v>
      </c>
      <c r="I17" s="85">
        <v>0</v>
      </c>
    </row>
    <row r="18" spans="1:9" ht="15" customHeight="1">
      <c r="A18" s="195" t="s">
        <v>53</v>
      </c>
      <c r="B18" s="13">
        <f>B15-B17</f>
        <v>142333.1</v>
      </c>
      <c r="C18" s="13">
        <f>C15-C17</f>
        <v>69007.2</v>
      </c>
      <c r="D18" s="13">
        <f aca="true" t="shared" si="0" ref="D18:I18">D15-D17</f>
        <v>38042.8</v>
      </c>
      <c r="E18" s="13">
        <f t="shared" si="0"/>
        <v>16650.4</v>
      </c>
      <c r="F18" s="13">
        <f t="shared" si="0"/>
        <v>12437.5</v>
      </c>
      <c r="G18" s="13">
        <f>G15-G17</f>
        <v>6324.4</v>
      </c>
      <c r="H18" s="13">
        <f t="shared" si="0"/>
        <v>3060.8</v>
      </c>
      <c r="I18" s="13">
        <f t="shared" si="0"/>
        <v>8803.7</v>
      </c>
    </row>
    <row r="19" spans="1:9" ht="15" customHeight="1">
      <c r="A19" s="195" t="s">
        <v>48</v>
      </c>
      <c r="B19" s="10">
        <f>'BRA Parameters'!B19*0.6</f>
        <v>2224.8599999999997</v>
      </c>
      <c r="C19" s="10">
        <f>'BRA Parameters'!C19*0.6</f>
        <v>1000.3794003576693</v>
      </c>
      <c r="D19" s="10">
        <f>'BRA Parameters'!D19*0.6</f>
        <v>546.0417738289398</v>
      </c>
      <c r="E19" s="10">
        <f>'BRA Parameters'!E19*0.6</f>
        <v>233.49211903647964</v>
      </c>
      <c r="F19" s="10">
        <f>'BRA Parameters'!F19*0.6</f>
        <v>176.74450313288415</v>
      </c>
      <c r="G19" s="10">
        <f>'BRA Parameters'!G19*0.6</f>
        <v>80.41947853766676</v>
      </c>
      <c r="H19" s="10">
        <f>'BRA Parameters'!H19*0.6</f>
        <v>38.41327188537098</v>
      </c>
      <c r="I19" s="10">
        <f>'BRA Parameters'!I19*0.6</f>
        <v>113.43037738901545</v>
      </c>
    </row>
    <row r="20" spans="1:9" ht="15" customHeight="1">
      <c r="A20" s="210" t="s">
        <v>54</v>
      </c>
      <c r="B20" s="15">
        <f>'BRA Parameters'!B20*(1-'BRA Parameters'!$B$5)/(1-$B$5)</f>
        <v>341.5014635444386</v>
      </c>
      <c r="C20" s="15">
        <f>'BRA Parameters'!C20*(1-'BRA Parameters'!$B$5)/(1-$B$5)</f>
        <v>241.395023948909</v>
      </c>
      <c r="D20" s="15">
        <f>'BRA Parameters'!D20*(1-'BRA Parameters'!$B$5)/(1-$B$5)</f>
        <v>274.4345396487493</v>
      </c>
      <c r="E20" s="15">
        <f>'BRA Parameters'!E20*(1-'BRA Parameters'!$B$5)/(1-$B$5)</f>
        <v>241.395023948909</v>
      </c>
      <c r="F20" s="15">
        <f>'BRA Parameters'!F20*(1-'BRA Parameters'!$B$5)/(1-$B$5)</f>
        <v>274.4345396487493</v>
      </c>
      <c r="G20" s="15">
        <f>'BRA Parameters'!G20*(1-'BRA Parameters'!$B$5)/(1-$B$5)</f>
        <v>274.4345396487493</v>
      </c>
      <c r="H20" s="15">
        <f>'BRA Parameters'!H20*(1-'BRA Parameters'!$B$5)/(1-$B$5)</f>
        <v>274.4345396487493</v>
      </c>
      <c r="I20" s="15">
        <f>'BRA Parameters'!I20*(1-'BRA Parameters'!$B$5)/(1-$B$5)</f>
        <v>241.395023948909</v>
      </c>
    </row>
    <row r="21" spans="1:9" ht="15" customHeight="1">
      <c r="A21" s="194" t="s">
        <v>56</v>
      </c>
      <c r="B21" s="15"/>
      <c r="C21" s="15"/>
      <c r="D21" s="15"/>
      <c r="E21" s="15"/>
      <c r="F21" s="15"/>
      <c r="G21" s="15"/>
      <c r="H21" s="15"/>
      <c r="I21" s="15"/>
    </row>
    <row r="22" spans="1:9" ht="15" customHeight="1">
      <c r="A22" s="198" t="s">
        <v>25</v>
      </c>
      <c r="B22" s="14">
        <f>ROUND(B$20*1.5,2)</f>
        <v>512.25</v>
      </c>
      <c r="C22" s="14">
        <f aca="true" t="shared" si="1" ref="C22:H22">ROUND(C$20*1.5,2)</f>
        <v>362.09</v>
      </c>
      <c r="D22" s="14">
        <f t="shared" si="1"/>
        <v>411.65</v>
      </c>
      <c r="E22" s="14">
        <f t="shared" si="1"/>
        <v>362.09</v>
      </c>
      <c r="F22" s="14">
        <f t="shared" si="1"/>
        <v>411.65</v>
      </c>
      <c r="G22" s="14">
        <f t="shared" si="1"/>
        <v>411.65</v>
      </c>
      <c r="H22" s="14">
        <f t="shared" si="1"/>
        <v>411.65</v>
      </c>
      <c r="I22" s="14">
        <f>ROUND(I$20*1.5,2)</f>
        <v>362.09</v>
      </c>
    </row>
    <row r="23" spans="1:9" ht="15" customHeight="1">
      <c r="A23" s="198" t="s">
        <v>26</v>
      </c>
      <c r="B23" s="14">
        <f>ROUND(B$20,2)</f>
        <v>341.5</v>
      </c>
      <c r="C23" s="14">
        <f aca="true" t="shared" si="2" ref="C23:H23">ROUND(C$20,2)</f>
        <v>241.4</v>
      </c>
      <c r="D23" s="14">
        <f t="shared" si="2"/>
        <v>274.43</v>
      </c>
      <c r="E23" s="14">
        <f t="shared" si="2"/>
        <v>241.4</v>
      </c>
      <c r="F23" s="14">
        <f t="shared" si="2"/>
        <v>274.43</v>
      </c>
      <c r="G23" s="14">
        <f t="shared" si="2"/>
        <v>274.43</v>
      </c>
      <c r="H23" s="14">
        <f t="shared" si="2"/>
        <v>274.43</v>
      </c>
      <c r="I23" s="14">
        <f>ROUND(I$20,2)</f>
        <v>241.4</v>
      </c>
    </row>
    <row r="24" spans="1:9" ht="15" customHeight="1">
      <c r="A24" s="198" t="s">
        <v>27</v>
      </c>
      <c r="B24" s="14">
        <f>ROUND(B$20*0.2,2)</f>
        <v>68.3</v>
      </c>
      <c r="C24" s="14">
        <f aca="true" t="shared" si="3" ref="C24:H24">ROUND(C$20*0.2,2)</f>
        <v>48.28</v>
      </c>
      <c r="D24" s="14">
        <f t="shared" si="3"/>
        <v>54.89</v>
      </c>
      <c r="E24" s="14">
        <f t="shared" si="3"/>
        <v>48.28</v>
      </c>
      <c r="F24" s="14">
        <f t="shared" si="3"/>
        <v>54.89</v>
      </c>
      <c r="G24" s="14">
        <f t="shared" si="3"/>
        <v>54.89</v>
      </c>
      <c r="H24" s="14">
        <f t="shared" si="3"/>
        <v>54.89</v>
      </c>
      <c r="I24" s="14">
        <f>ROUND(I$20*0.2,2)</f>
        <v>48.28</v>
      </c>
    </row>
    <row r="25" spans="1:9" ht="15" customHeight="1">
      <c r="A25" s="198" t="s">
        <v>28</v>
      </c>
      <c r="B25" s="10">
        <f>ROUND(B$18*(1+$B$4-3%)/(1+$B$4)-B19,1)</f>
        <v>136424</v>
      </c>
      <c r="C25" s="10">
        <f aca="true" t="shared" si="4" ref="C25:I25">ROUND(C$18*(1+$B$4-3%)/(1+$B$4)-C19,1)</f>
        <v>66220.6</v>
      </c>
      <c r="D25" s="10">
        <f t="shared" si="4"/>
        <v>36512</v>
      </c>
      <c r="E25" s="10">
        <f t="shared" si="4"/>
        <v>15985.9</v>
      </c>
      <c r="F25" s="10">
        <f t="shared" si="4"/>
        <v>11938.8</v>
      </c>
      <c r="G25" s="10">
        <f t="shared" si="4"/>
        <v>6080.3</v>
      </c>
      <c r="H25" s="10">
        <f t="shared" si="4"/>
        <v>2943.2</v>
      </c>
      <c r="I25" s="10">
        <f t="shared" si="4"/>
        <v>8462.4</v>
      </c>
    </row>
    <row r="26" spans="1:9" ht="15" customHeight="1">
      <c r="A26" s="198" t="s">
        <v>29</v>
      </c>
      <c r="B26" s="10">
        <f>ROUND(B$18*(1+$B$4+1%)/(1+$B$4)-B19,1)</f>
        <v>141336.3</v>
      </c>
      <c r="C26" s="10">
        <f aca="true" t="shared" si="5" ref="C26:I26">ROUND(C$18*(1+$B$4+1%)/(1+$B$4)-C19,1)</f>
        <v>68602.2</v>
      </c>
      <c r="D26" s="10">
        <f t="shared" si="5"/>
        <v>37825</v>
      </c>
      <c r="E26" s="10">
        <f t="shared" si="5"/>
        <v>16560.6</v>
      </c>
      <c r="F26" s="10">
        <f t="shared" si="5"/>
        <v>12368.1</v>
      </c>
      <c r="G26" s="10">
        <f t="shared" si="5"/>
        <v>6298.5</v>
      </c>
      <c r="H26" s="10">
        <f t="shared" si="5"/>
        <v>3048.8</v>
      </c>
      <c r="I26" s="10">
        <f t="shared" si="5"/>
        <v>8766.2</v>
      </c>
    </row>
    <row r="27" spans="1:9" ht="15" customHeight="1">
      <c r="A27" s="198" t="s">
        <v>30</v>
      </c>
      <c r="B27" s="10">
        <f>ROUND(B$18*(1+$B$4+5%)/(1+$B$4)-B19,1)</f>
        <v>146248.6</v>
      </c>
      <c r="C27" s="10">
        <f aca="true" t="shared" si="6" ref="C27:H27">ROUND(C$18*(1+$B$4+5%)/(1+$B$4)-C19,1)</f>
        <v>70983.8</v>
      </c>
      <c r="D27" s="10">
        <f t="shared" si="6"/>
        <v>39137.9</v>
      </c>
      <c r="E27" s="10">
        <f t="shared" si="6"/>
        <v>17135.2</v>
      </c>
      <c r="F27" s="10">
        <f t="shared" si="6"/>
        <v>12797.3</v>
      </c>
      <c r="G27" s="10">
        <f t="shared" si="6"/>
        <v>6516.8</v>
      </c>
      <c r="H27" s="10">
        <f t="shared" si="6"/>
        <v>3154.4</v>
      </c>
      <c r="I27" s="10">
        <f>ROUND(I$18*(1+$B$4+5%)/(1+$B$4)-I19,1)</f>
        <v>9070.1</v>
      </c>
    </row>
    <row r="28" spans="1:9" ht="15" customHeight="1">
      <c r="A28" s="198" t="s">
        <v>59</v>
      </c>
      <c r="B28" s="17" t="s">
        <v>24</v>
      </c>
      <c r="C28" s="107">
        <v>159</v>
      </c>
      <c r="D28" s="107" t="s">
        <v>24</v>
      </c>
      <c r="E28" s="64" t="s">
        <v>24</v>
      </c>
      <c r="F28" s="64" t="s">
        <v>24</v>
      </c>
      <c r="G28" s="64" t="s">
        <v>24</v>
      </c>
      <c r="H28" s="64" t="s">
        <v>24</v>
      </c>
      <c r="I28" s="64" t="s">
        <v>24</v>
      </c>
    </row>
    <row r="29" spans="1:9" ht="15" customHeight="1">
      <c r="A29" s="198" t="s">
        <v>72</v>
      </c>
      <c r="B29" s="243">
        <f>'Updated Min Res Req''ments'!B17</f>
        <v>135529.6</v>
      </c>
      <c r="C29" s="243">
        <f>'Updated Min Res Req''ments'!C17</f>
        <v>59737.8</v>
      </c>
      <c r="D29" s="243">
        <f>'Updated Min Res Req''ments'!D17</f>
        <v>28031.3</v>
      </c>
      <c r="E29" s="243">
        <f>'Updated Min Res Req''ments'!E17</f>
        <v>7965.8</v>
      </c>
      <c r="F29" s="243">
        <f>'Updated Min Res Req''ments'!F17</f>
        <v>5933.8</v>
      </c>
      <c r="G29" s="243">
        <f>'Updated Min Res Req''ments'!G17</f>
        <v>3572.6</v>
      </c>
      <c r="H29" s="243">
        <f>'Updated Min Res Req''ments'!H17</f>
        <v>996.4</v>
      </c>
      <c r="I29" s="243">
        <f>'Updated Min Res Req''ments'!I17</f>
        <v>2784.4</v>
      </c>
    </row>
    <row r="30" spans="1:9" ht="15" customHeight="1">
      <c r="A30" s="198" t="s">
        <v>73</v>
      </c>
      <c r="B30" s="243">
        <f>'Updated Min Res Req''ments'!B18</f>
        <v>130631</v>
      </c>
      <c r="C30" s="243">
        <f>'Updated Min Res Req''ments'!C18</f>
        <v>55506.1</v>
      </c>
      <c r="D30" s="243">
        <f>'Updated Min Res Req''ments'!D18</f>
        <v>24118.3</v>
      </c>
      <c r="E30" s="243">
        <f>'Updated Min Res Req''ments'!E18</f>
        <v>6910.1</v>
      </c>
      <c r="F30" s="243">
        <f>'Updated Min Res Req''ments'!F18</f>
        <v>4700.2</v>
      </c>
      <c r="G30" s="243">
        <f>'Updated Min Res Req''ments'!G18</f>
        <v>3109.6</v>
      </c>
      <c r="H30" s="243">
        <f>'Updated Min Res Req''ments'!H18</f>
        <v>786</v>
      </c>
      <c r="I30" s="243">
        <f>'Updated Min Res Req''ments'!I18</f>
        <v>2161</v>
      </c>
    </row>
    <row r="31" spans="1:9" ht="15" customHeight="1">
      <c r="A31" s="194" t="s">
        <v>111</v>
      </c>
      <c r="B31" s="126"/>
      <c r="C31" s="126"/>
      <c r="D31" s="126"/>
      <c r="E31" s="126"/>
      <c r="F31" s="126"/>
      <c r="G31" s="126"/>
      <c r="H31" s="126"/>
      <c r="I31" s="126"/>
    </row>
    <row r="32" spans="1:9" ht="15" customHeight="1">
      <c r="A32" s="198" t="s">
        <v>112</v>
      </c>
      <c r="B32" s="17" t="s">
        <v>24</v>
      </c>
      <c r="C32" s="126" t="s">
        <v>24</v>
      </c>
      <c r="D32" s="126" t="s">
        <v>24</v>
      </c>
      <c r="E32" s="126" t="s">
        <v>24</v>
      </c>
      <c r="F32" s="126" t="s">
        <v>24</v>
      </c>
      <c r="G32" s="126" t="s">
        <v>24</v>
      </c>
      <c r="H32" s="126" t="s">
        <v>24</v>
      </c>
      <c r="I32" s="126" t="s">
        <v>24</v>
      </c>
    </row>
    <row r="33" spans="1:9" ht="15">
      <c r="A33" s="212" t="s">
        <v>113</v>
      </c>
      <c r="B33" s="244">
        <f>'Updated Min Res Req''ments'!B20</f>
        <v>0.9522</v>
      </c>
      <c r="C33" s="126" t="s">
        <v>24</v>
      </c>
      <c r="D33" s="126" t="s">
        <v>24</v>
      </c>
      <c r="E33" s="126" t="s">
        <v>24</v>
      </c>
      <c r="F33" s="126" t="s">
        <v>24</v>
      </c>
      <c r="G33" s="126" t="s">
        <v>24</v>
      </c>
      <c r="H33" s="126" t="s">
        <v>24</v>
      </c>
      <c r="I33" s="126" t="s">
        <v>24</v>
      </c>
    </row>
    <row r="34" spans="1:9" ht="15">
      <c r="A34" s="212" t="s">
        <v>114</v>
      </c>
      <c r="B34" s="244">
        <f>'Updated Min Res Req''ments'!B21</f>
        <v>0.917784</v>
      </c>
      <c r="C34" s="126" t="s">
        <v>24</v>
      </c>
      <c r="D34" s="126" t="s">
        <v>24</v>
      </c>
      <c r="E34" s="126" t="s">
        <v>24</v>
      </c>
      <c r="F34" s="126" t="s">
        <v>24</v>
      </c>
      <c r="G34" s="126" t="s">
        <v>24</v>
      </c>
      <c r="H34" s="126" t="s">
        <v>24</v>
      </c>
      <c r="I34" s="126" t="s">
        <v>24</v>
      </c>
    </row>
  </sheetData>
  <sheetProtection/>
  <mergeCells count="11">
    <mergeCell ref="C11:I11"/>
    <mergeCell ref="A1:I1"/>
    <mergeCell ref="A2:I2"/>
    <mergeCell ref="C3:I3"/>
    <mergeCell ref="C4:I4"/>
    <mergeCell ref="C10:I10"/>
    <mergeCell ref="C5:I5"/>
    <mergeCell ref="C6:I6"/>
    <mergeCell ref="C7:I7"/>
    <mergeCell ref="C8:I8"/>
    <mergeCell ref="C9:I9"/>
  </mergeCells>
  <printOptions horizontalCentered="1" verticalCentered="1"/>
  <pageMargins left="0.25" right="0.25" top="0.38" bottom="0.43" header="0" footer="0"/>
  <pageSetup fitToHeight="1" fitToWidth="1"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I1"/>
    </sheetView>
  </sheetViews>
  <sheetFormatPr defaultColWidth="9.140625" defaultRowHeight="12.75"/>
  <cols>
    <col min="1" max="1" width="46.7109375" style="0" customWidth="1"/>
    <col min="2" max="9" width="16.7109375" style="0" customWidth="1"/>
  </cols>
  <sheetData>
    <row r="1" spans="1:9" ht="18">
      <c r="A1" s="266" t="s">
        <v>121</v>
      </c>
      <c r="B1" s="267"/>
      <c r="C1" s="267"/>
      <c r="D1" s="267"/>
      <c r="E1" s="267"/>
      <c r="F1" s="267"/>
      <c r="G1" s="267"/>
      <c r="H1" s="267"/>
      <c r="I1" s="268"/>
    </row>
    <row r="2" spans="1:9" ht="18">
      <c r="A2" s="269" t="s">
        <v>12</v>
      </c>
      <c r="B2" s="270"/>
      <c r="C2" s="270"/>
      <c r="D2" s="270"/>
      <c r="E2" s="270"/>
      <c r="F2" s="270"/>
      <c r="G2" s="270"/>
      <c r="H2" s="270"/>
      <c r="I2" s="271"/>
    </row>
    <row r="3" spans="1:10" ht="18">
      <c r="A3" s="201"/>
      <c r="B3" s="202" t="s">
        <v>13</v>
      </c>
      <c r="C3" s="272" t="s">
        <v>44</v>
      </c>
      <c r="D3" s="272"/>
      <c r="E3" s="272"/>
      <c r="F3" s="272"/>
      <c r="G3" s="272"/>
      <c r="H3" s="272"/>
      <c r="I3" s="272"/>
      <c r="J3" s="108" t="s">
        <v>12</v>
      </c>
    </row>
    <row r="4" spans="1:9" ht="15" customHeight="1">
      <c r="A4" s="203" t="s">
        <v>36</v>
      </c>
      <c r="B4" s="64">
        <v>0.154</v>
      </c>
      <c r="C4" s="273" t="s">
        <v>148</v>
      </c>
      <c r="D4" s="273"/>
      <c r="E4" s="273"/>
      <c r="F4" s="273"/>
      <c r="G4" s="273"/>
      <c r="H4" s="273"/>
      <c r="I4" s="273"/>
    </row>
    <row r="5" spans="1:9" ht="15" customHeight="1">
      <c r="A5" s="203" t="s">
        <v>37</v>
      </c>
      <c r="B5" s="204">
        <v>0.0589</v>
      </c>
      <c r="C5" s="278" t="s">
        <v>159</v>
      </c>
      <c r="D5" s="278"/>
      <c r="E5" s="278"/>
      <c r="F5" s="278"/>
      <c r="G5" s="278"/>
      <c r="H5" s="278"/>
      <c r="I5" s="278"/>
    </row>
    <row r="6" spans="1:9" ht="15" customHeight="1">
      <c r="A6" s="203" t="s">
        <v>38</v>
      </c>
      <c r="B6" s="205">
        <v>1.086</v>
      </c>
      <c r="C6" s="278"/>
      <c r="D6" s="278"/>
      <c r="E6" s="278"/>
      <c r="F6" s="278"/>
      <c r="G6" s="278"/>
      <c r="H6" s="278"/>
      <c r="I6" s="278"/>
    </row>
    <row r="7" spans="1:9" ht="15" customHeight="1">
      <c r="A7" s="203" t="s">
        <v>45</v>
      </c>
      <c r="B7" s="206">
        <v>0.955</v>
      </c>
      <c r="C7" s="278"/>
      <c r="D7" s="278"/>
      <c r="E7" s="278"/>
      <c r="F7" s="278"/>
      <c r="G7" s="278"/>
      <c r="H7" s="278"/>
      <c r="I7" s="278"/>
    </row>
    <row r="8" spans="1:9" ht="15" customHeight="1">
      <c r="A8" s="203" t="s">
        <v>145</v>
      </c>
      <c r="B8" s="11">
        <v>159845</v>
      </c>
      <c r="C8" s="237"/>
      <c r="D8" s="238"/>
      <c r="E8" s="238"/>
      <c r="F8" s="238"/>
      <c r="G8" s="238"/>
      <c r="H8" s="238"/>
      <c r="I8" s="239"/>
    </row>
    <row r="9" spans="1:9" ht="15" customHeight="1">
      <c r="A9" s="203" t="s">
        <v>48</v>
      </c>
      <c r="B9" s="207" t="s">
        <v>146</v>
      </c>
      <c r="C9" s="240"/>
      <c r="D9" s="241"/>
      <c r="E9" s="241"/>
      <c r="F9" s="241"/>
      <c r="G9" s="241"/>
      <c r="H9" s="241"/>
      <c r="I9" s="242"/>
    </row>
    <row r="10" spans="1:9" ht="15" customHeight="1">
      <c r="A10" s="203" t="s">
        <v>12</v>
      </c>
      <c r="B10" s="208" t="s">
        <v>12</v>
      </c>
      <c r="C10" s="274" t="s">
        <v>12</v>
      </c>
      <c r="D10" s="274"/>
      <c r="E10" s="274"/>
      <c r="F10" s="274"/>
      <c r="G10" s="274"/>
      <c r="H10" s="274"/>
      <c r="I10" s="274"/>
    </row>
    <row r="11" spans="1:9" ht="15" customHeight="1">
      <c r="A11" s="203"/>
      <c r="B11" s="209" t="s">
        <v>12</v>
      </c>
      <c r="C11" s="265" t="s">
        <v>62</v>
      </c>
      <c r="D11" s="265"/>
      <c r="E11" s="265"/>
      <c r="F11" s="265"/>
      <c r="G11" s="265"/>
      <c r="H11" s="265"/>
      <c r="I11" s="265"/>
    </row>
    <row r="12" spans="1:9" ht="15" customHeight="1">
      <c r="A12" s="162" t="s">
        <v>12</v>
      </c>
      <c r="B12" s="192" t="s">
        <v>13</v>
      </c>
      <c r="C12" s="192" t="s">
        <v>17</v>
      </c>
      <c r="D12" s="192" t="s">
        <v>16</v>
      </c>
      <c r="E12" s="192" t="s">
        <v>14</v>
      </c>
      <c r="F12" s="192" t="s">
        <v>8</v>
      </c>
      <c r="G12" s="192" t="s">
        <v>49</v>
      </c>
      <c r="H12" s="192" t="s">
        <v>50</v>
      </c>
      <c r="I12" s="192" t="s">
        <v>7</v>
      </c>
    </row>
    <row r="13" spans="1:10" ht="15" customHeight="1">
      <c r="A13" s="198" t="s">
        <v>9</v>
      </c>
      <c r="B13" s="10" t="s">
        <v>24</v>
      </c>
      <c r="C13" s="10">
        <v>-3630</v>
      </c>
      <c r="D13" s="11">
        <v>1860</v>
      </c>
      <c r="E13" s="11">
        <v>4530</v>
      </c>
      <c r="F13" s="11">
        <v>3610</v>
      </c>
      <c r="G13" s="11">
        <v>2060</v>
      </c>
      <c r="H13" s="11">
        <v>1450</v>
      </c>
      <c r="I13" s="11">
        <v>3260</v>
      </c>
      <c r="J13" s="4"/>
    </row>
    <row r="14" spans="1:10" ht="15" customHeight="1">
      <c r="A14" s="198" t="s">
        <v>11</v>
      </c>
      <c r="B14" s="10" t="s">
        <v>24</v>
      </c>
      <c r="C14" s="10">
        <v>5467</v>
      </c>
      <c r="D14" s="11">
        <v>7871</v>
      </c>
      <c r="E14" s="11">
        <v>7686</v>
      </c>
      <c r="F14" s="11">
        <v>5720.7</v>
      </c>
      <c r="G14" s="11">
        <v>2372</v>
      </c>
      <c r="H14" s="11">
        <v>1925</v>
      </c>
      <c r="I14" s="11">
        <v>5576</v>
      </c>
      <c r="J14" s="4"/>
    </row>
    <row r="15" spans="1:10" ht="15" customHeight="1">
      <c r="A15" s="195" t="s">
        <v>10</v>
      </c>
      <c r="B15" s="10">
        <f>ROUND((B8*B6),1)</f>
        <v>173591.7</v>
      </c>
      <c r="C15" s="10">
        <v>70258.4</v>
      </c>
      <c r="D15" s="12">
        <v>38656.3</v>
      </c>
      <c r="E15" s="12">
        <v>16901.1</v>
      </c>
      <c r="F15" s="12">
        <v>12646</v>
      </c>
      <c r="G15" s="12">
        <v>6281.2</v>
      </c>
      <c r="H15" s="12">
        <v>3001.9</v>
      </c>
      <c r="I15" s="12">
        <v>8844.2</v>
      </c>
      <c r="J15" s="4"/>
    </row>
    <row r="16" spans="1:10" ht="15" customHeight="1">
      <c r="A16" s="198" t="s">
        <v>52</v>
      </c>
      <c r="B16" s="11">
        <v>26759.7</v>
      </c>
      <c r="C16" s="139">
        <v>0</v>
      </c>
      <c r="D16" s="139">
        <v>0</v>
      </c>
      <c r="E16" s="139">
        <v>0</v>
      </c>
      <c r="F16" s="139">
        <v>0</v>
      </c>
      <c r="G16" s="139">
        <v>0</v>
      </c>
      <c r="H16" s="139">
        <v>0</v>
      </c>
      <c r="I16" s="139">
        <v>0</v>
      </c>
      <c r="J16" s="4"/>
    </row>
    <row r="17" spans="1:10" ht="15" customHeight="1">
      <c r="A17" s="198" t="s">
        <v>51</v>
      </c>
      <c r="B17" s="11">
        <f>ROUND(B16*$B$6,1)</f>
        <v>29061</v>
      </c>
      <c r="C17" s="85">
        <v>0</v>
      </c>
      <c r="D17" s="85">
        <v>0</v>
      </c>
      <c r="E17" s="85">
        <v>0</v>
      </c>
      <c r="F17" s="85">
        <v>0</v>
      </c>
      <c r="G17" s="85">
        <v>0</v>
      </c>
      <c r="H17" s="85">
        <v>0</v>
      </c>
      <c r="I17" s="85">
        <v>0</v>
      </c>
      <c r="J17" s="4"/>
    </row>
    <row r="18" spans="1:10" ht="15" customHeight="1">
      <c r="A18" s="195" t="s">
        <v>53</v>
      </c>
      <c r="B18" s="13">
        <f>B15-B17</f>
        <v>144530.7</v>
      </c>
      <c r="C18" s="13">
        <f>C15-C17</f>
        <v>70258.4</v>
      </c>
      <c r="D18" s="13">
        <f aca="true" t="shared" si="0" ref="D18:I18">D15-D17</f>
        <v>38656.3</v>
      </c>
      <c r="E18" s="13">
        <f t="shared" si="0"/>
        <v>16901.1</v>
      </c>
      <c r="F18" s="13">
        <f t="shared" si="0"/>
        <v>12646</v>
      </c>
      <c r="G18" s="13">
        <f>G15-G17</f>
        <v>6281.2</v>
      </c>
      <c r="H18" s="13">
        <f t="shared" si="0"/>
        <v>3001.9</v>
      </c>
      <c r="I18" s="13">
        <f t="shared" si="0"/>
        <v>8844.2</v>
      </c>
      <c r="J18" s="4"/>
    </row>
    <row r="19" spans="1:10" ht="15" customHeight="1">
      <c r="A19" s="195" t="s">
        <v>48</v>
      </c>
      <c r="B19" s="10">
        <f>'BRA Parameters'!B19*0.8</f>
        <v>2966.48</v>
      </c>
      <c r="C19" s="10">
        <f>'BRA Parameters'!C19*0.8</f>
        <v>1333.8392004768925</v>
      </c>
      <c r="D19" s="10">
        <f>'BRA Parameters'!D19*0.8</f>
        <v>728.0556984385864</v>
      </c>
      <c r="E19" s="10">
        <f>'BRA Parameters'!E19*0.8</f>
        <v>311.3228253819729</v>
      </c>
      <c r="F19" s="10">
        <f>'BRA Parameters'!F19*0.8</f>
        <v>235.65933751051222</v>
      </c>
      <c r="G19" s="10">
        <f>'BRA Parameters'!G19*0.8</f>
        <v>107.22597138355569</v>
      </c>
      <c r="H19" s="10">
        <f>'BRA Parameters'!H19*0.8</f>
        <v>51.217695847161316</v>
      </c>
      <c r="I19" s="10">
        <f>'BRA Parameters'!I19*0.8</f>
        <v>151.24050318535396</v>
      </c>
      <c r="J19" s="4"/>
    </row>
    <row r="20" spans="1:10" ht="15" customHeight="1">
      <c r="A20" s="210" t="s">
        <v>54</v>
      </c>
      <c r="B20" s="15">
        <f>'BRA Parameters'!B20*(1-'BRA Parameters'!$B$5)/(1-'1st IA Parameters'!$B$5)</f>
        <v>340.9208638826905</v>
      </c>
      <c r="C20" s="15">
        <f>'BRA Parameters'!C20*(1-'BRA Parameters'!$B$5)/(1-'1st IA Parameters'!$B$5)</f>
        <v>240.98461906279886</v>
      </c>
      <c r="D20" s="15">
        <f>'BRA Parameters'!D20*(1-'BRA Parameters'!$B$5)/(1-'1st IA Parameters'!$B$5)</f>
        <v>273.9679630219955</v>
      </c>
      <c r="E20" s="15">
        <f>'BRA Parameters'!E20*(1-'BRA Parameters'!$B$5)/(1-'1st IA Parameters'!$B$5)</f>
        <v>240.98461906279886</v>
      </c>
      <c r="F20" s="15">
        <f>'BRA Parameters'!F20*(1-'BRA Parameters'!$B$5)/(1-'1st IA Parameters'!$B$5)</f>
        <v>273.9679630219955</v>
      </c>
      <c r="G20" s="15">
        <f>'BRA Parameters'!G20*(1-'BRA Parameters'!$B$5)/(1-'1st IA Parameters'!$B$5)</f>
        <v>273.9679630219955</v>
      </c>
      <c r="H20" s="15">
        <f>'BRA Parameters'!H20*(1-'BRA Parameters'!$B$5)/(1-'1st IA Parameters'!$B$5)</f>
        <v>273.9679630219955</v>
      </c>
      <c r="I20" s="15">
        <f>'BRA Parameters'!I20*(1-'BRA Parameters'!$B$5)/(1-'1st IA Parameters'!$B$5)</f>
        <v>240.98461906279886</v>
      </c>
      <c r="J20" s="4"/>
    </row>
    <row r="21" spans="1:10" ht="15" customHeight="1">
      <c r="A21" s="194" t="s">
        <v>56</v>
      </c>
      <c r="B21" s="15"/>
      <c r="C21" s="15"/>
      <c r="D21" s="15"/>
      <c r="E21" s="15"/>
      <c r="F21" s="15"/>
      <c r="G21" s="15"/>
      <c r="H21" s="15"/>
      <c r="I21" s="15"/>
      <c r="J21" s="4"/>
    </row>
    <row r="22" spans="1:10" ht="15" customHeight="1">
      <c r="A22" s="198" t="s">
        <v>25</v>
      </c>
      <c r="B22" s="14">
        <f>ROUND(B$20*1.5,2)</f>
        <v>511.38</v>
      </c>
      <c r="C22" s="14">
        <f aca="true" t="shared" si="1" ref="C22:H22">ROUND(C$20*1.5,2)</f>
        <v>361.48</v>
      </c>
      <c r="D22" s="14">
        <f t="shared" si="1"/>
        <v>410.95</v>
      </c>
      <c r="E22" s="14">
        <f t="shared" si="1"/>
        <v>361.48</v>
      </c>
      <c r="F22" s="14">
        <f t="shared" si="1"/>
        <v>410.95</v>
      </c>
      <c r="G22" s="14">
        <f t="shared" si="1"/>
        <v>410.95</v>
      </c>
      <c r="H22" s="14">
        <f t="shared" si="1"/>
        <v>410.95</v>
      </c>
      <c r="I22" s="14">
        <f>ROUND(I$20*1.5,2)</f>
        <v>361.48</v>
      </c>
      <c r="J22" s="4"/>
    </row>
    <row r="23" spans="1:10" ht="15" customHeight="1">
      <c r="A23" s="198" t="s">
        <v>26</v>
      </c>
      <c r="B23" s="14">
        <f>ROUND(B$20,2)</f>
        <v>340.92</v>
      </c>
      <c r="C23" s="14">
        <f aca="true" t="shared" si="2" ref="C23:H23">ROUND(C$20,2)</f>
        <v>240.98</v>
      </c>
      <c r="D23" s="14">
        <f t="shared" si="2"/>
        <v>273.97</v>
      </c>
      <c r="E23" s="14">
        <f t="shared" si="2"/>
        <v>240.98</v>
      </c>
      <c r="F23" s="14">
        <f t="shared" si="2"/>
        <v>273.97</v>
      </c>
      <c r="G23" s="14">
        <f t="shared" si="2"/>
        <v>273.97</v>
      </c>
      <c r="H23" s="14">
        <f t="shared" si="2"/>
        <v>273.97</v>
      </c>
      <c r="I23" s="14">
        <f>ROUND(I$20,2)</f>
        <v>240.98</v>
      </c>
      <c r="J23" s="4"/>
    </row>
    <row r="24" spans="1:10" ht="15" customHeight="1">
      <c r="A24" s="198" t="s">
        <v>27</v>
      </c>
      <c r="B24" s="14">
        <f>ROUND(B$20*0.2,2)</f>
        <v>68.18</v>
      </c>
      <c r="C24" s="14">
        <f aca="true" t="shared" si="3" ref="C24:H24">ROUND(C$20*0.2,2)</f>
        <v>48.2</v>
      </c>
      <c r="D24" s="14">
        <f t="shared" si="3"/>
        <v>54.79</v>
      </c>
      <c r="E24" s="14">
        <f t="shared" si="3"/>
        <v>48.2</v>
      </c>
      <c r="F24" s="14">
        <f t="shared" si="3"/>
        <v>54.79</v>
      </c>
      <c r="G24" s="14">
        <f t="shared" si="3"/>
        <v>54.79</v>
      </c>
      <c r="H24" s="14">
        <f t="shared" si="3"/>
        <v>54.79</v>
      </c>
      <c r="I24" s="14">
        <f>ROUND(I$20*0.2,2)</f>
        <v>48.2</v>
      </c>
      <c r="J24" s="4"/>
    </row>
    <row r="25" spans="1:10" ht="15" customHeight="1">
      <c r="A25" s="198" t="s">
        <v>28</v>
      </c>
      <c r="B25" s="10">
        <f aca="true" t="shared" si="4" ref="B25:I25">ROUND(B$18*(1+$B$4-3%)/(1+$B$4)-B19,1)</f>
        <v>137806.9</v>
      </c>
      <c r="C25" s="10">
        <f t="shared" si="4"/>
        <v>67098.1</v>
      </c>
      <c r="D25" s="10">
        <f t="shared" si="4"/>
        <v>36923.3</v>
      </c>
      <c r="E25" s="10">
        <f t="shared" si="4"/>
        <v>16150.4</v>
      </c>
      <c r="F25" s="10">
        <f t="shared" si="4"/>
        <v>12081.6</v>
      </c>
      <c r="G25" s="10">
        <f t="shared" si="4"/>
        <v>6010.7</v>
      </c>
      <c r="H25" s="10">
        <f t="shared" si="4"/>
        <v>2872.6</v>
      </c>
      <c r="I25" s="10">
        <f t="shared" si="4"/>
        <v>8463</v>
      </c>
      <c r="J25" s="4"/>
    </row>
    <row r="26" spans="1:10" ht="15" customHeight="1">
      <c r="A26" s="198" t="s">
        <v>29</v>
      </c>
      <c r="B26" s="10">
        <f>ROUND(B$18*(1+$B$4+1%)/(1+$B$4)-B19,1)</f>
        <v>142816.7</v>
      </c>
      <c r="C26" s="10">
        <f aca="true" t="shared" si="5" ref="C26:I26">ROUND(C$18*(1+$B$4+1%)/(1+$B$4)-C19,1)</f>
        <v>69533.4</v>
      </c>
      <c r="D26" s="10">
        <f t="shared" si="5"/>
        <v>38263.2</v>
      </c>
      <c r="E26" s="10">
        <f t="shared" si="5"/>
        <v>16736.2</v>
      </c>
      <c r="F26" s="10">
        <f t="shared" si="5"/>
        <v>12519.9</v>
      </c>
      <c r="G26" s="10">
        <f t="shared" si="5"/>
        <v>6228.4</v>
      </c>
      <c r="H26" s="10">
        <f t="shared" si="5"/>
        <v>2976.7</v>
      </c>
      <c r="I26" s="10">
        <f t="shared" si="5"/>
        <v>8769.6</v>
      </c>
      <c r="J26" s="4"/>
    </row>
    <row r="27" spans="1:10" ht="15" customHeight="1">
      <c r="A27" s="198" t="s">
        <v>30</v>
      </c>
      <c r="B27" s="10">
        <f>ROUND(B$18*(1+$B$4+5%)/(1+$B$4)-B19,1)</f>
        <v>147826.4</v>
      </c>
      <c r="C27" s="10">
        <f aca="true" t="shared" si="6" ref="C27:H27">ROUND(C$18*(1+$B$4+5%)/(1+$B$4)-C19,1)</f>
        <v>71968.7</v>
      </c>
      <c r="D27" s="10">
        <f t="shared" si="6"/>
        <v>39603.1</v>
      </c>
      <c r="E27" s="10">
        <f t="shared" si="6"/>
        <v>17322.1</v>
      </c>
      <c r="F27" s="10">
        <f t="shared" si="6"/>
        <v>12958.3</v>
      </c>
      <c r="G27" s="10">
        <f t="shared" si="6"/>
        <v>6446.1</v>
      </c>
      <c r="H27" s="10">
        <f t="shared" si="6"/>
        <v>3080.7</v>
      </c>
      <c r="I27" s="10">
        <f>ROUND(I$18*(1+$B$4+5%)/(1+$B$4)-I19,1)</f>
        <v>9076.2</v>
      </c>
      <c r="J27" s="4"/>
    </row>
    <row r="28" spans="1:9" ht="15" customHeight="1">
      <c r="A28" s="198" t="s">
        <v>59</v>
      </c>
      <c r="B28" s="17" t="s">
        <v>24</v>
      </c>
      <c r="C28" s="107">
        <v>159</v>
      </c>
      <c r="D28" s="107" t="s">
        <v>24</v>
      </c>
      <c r="E28" s="64" t="s">
        <v>24</v>
      </c>
      <c r="F28" s="64" t="s">
        <v>24</v>
      </c>
      <c r="G28" s="64" t="s">
        <v>24</v>
      </c>
      <c r="H28" s="64" t="s">
        <v>24</v>
      </c>
      <c r="I28" s="64" t="s">
        <v>24</v>
      </c>
    </row>
    <row r="29" spans="1:9" ht="15" customHeight="1">
      <c r="A29" s="198" t="s">
        <v>72</v>
      </c>
      <c r="B29" s="246">
        <v>137905.4</v>
      </c>
      <c r="C29" s="246" t="s">
        <v>166</v>
      </c>
      <c r="D29" s="246">
        <v>28717.5</v>
      </c>
      <c r="E29" s="246">
        <v>8391.2</v>
      </c>
      <c r="F29" s="246">
        <v>6240.9</v>
      </c>
      <c r="G29" s="246">
        <v>3577.3</v>
      </c>
      <c r="H29" s="246">
        <v>934.2</v>
      </c>
      <c r="I29" s="246">
        <v>2853.9</v>
      </c>
    </row>
    <row r="30" spans="1:9" ht="15" customHeight="1">
      <c r="A30" s="198" t="s">
        <v>73</v>
      </c>
      <c r="B30" s="246">
        <v>130175.9</v>
      </c>
      <c r="C30" s="246">
        <v>56703.9</v>
      </c>
      <c r="D30" s="246">
        <v>25056.4</v>
      </c>
      <c r="E30" s="246">
        <v>7191.5</v>
      </c>
      <c r="F30" s="246">
        <v>4948.3</v>
      </c>
      <c r="G30" s="246">
        <v>3198</v>
      </c>
      <c r="H30" s="246">
        <v>717.7</v>
      </c>
      <c r="I30" s="246">
        <v>2081.6</v>
      </c>
    </row>
    <row r="31" spans="1:9" ht="15" customHeight="1">
      <c r="A31" s="194" t="s">
        <v>111</v>
      </c>
      <c r="B31" s="126"/>
      <c r="C31" s="126"/>
      <c r="D31" s="126"/>
      <c r="E31" s="126"/>
      <c r="F31" s="126"/>
      <c r="G31" s="126"/>
      <c r="H31" s="126"/>
      <c r="I31" s="126"/>
    </row>
    <row r="32" spans="1:9" ht="15" customHeight="1">
      <c r="A32" s="198" t="s">
        <v>112</v>
      </c>
      <c r="B32" s="17" t="s">
        <v>24</v>
      </c>
      <c r="C32" s="126" t="s">
        <v>24</v>
      </c>
      <c r="D32" s="126" t="s">
        <v>24</v>
      </c>
      <c r="E32" s="126" t="s">
        <v>24</v>
      </c>
      <c r="F32" s="126" t="s">
        <v>24</v>
      </c>
      <c r="G32" s="126" t="s">
        <v>24</v>
      </c>
      <c r="H32" s="126" t="s">
        <v>24</v>
      </c>
      <c r="I32" s="126" t="s">
        <v>24</v>
      </c>
    </row>
    <row r="33" spans="1:9" ht="15" customHeight="1">
      <c r="A33" s="212" t="s">
        <v>113</v>
      </c>
      <c r="B33" s="244">
        <v>0.95416</v>
      </c>
      <c r="C33" s="126" t="s">
        <v>24</v>
      </c>
      <c r="D33" s="126" t="s">
        <v>24</v>
      </c>
      <c r="E33" s="126" t="s">
        <v>24</v>
      </c>
      <c r="F33" s="126" t="s">
        <v>24</v>
      </c>
      <c r="G33" s="126" t="s">
        <v>24</v>
      </c>
      <c r="H33" s="126" t="s">
        <v>24</v>
      </c>
      <c r="I33" s="126" t="s">
        <v>24</v>
      </c>
    </row>
    <row r="34" spans="1:9" ht="15" customHeight="1">
      <c r="A34" s="212" t="s">
        <v>114</v>
      </c>
      <c r="B34" s="244">
        <v>0.90068</v>
      </c>
      <c r="C34" s="126" t="s">
        <v>24</v>
      </c>
      <c r="D34" s="126" t="s">
        <v>24</v>
      </c>
      <c r="E34" s="126" t="s">
        <v>24</v>
      </c>
      <c r="F34" s="126" t="s">
        <v>24</v>
      </c>
      <c r="G34" s="126" t="s">
        <v>24</v>
      </c>
      <c r="H34" s="126" t="s">
        <v>24</v>
      </c>
      <c r="I34" s="126" t="s">
        <v>24</v>
      </c>
    </row>
  </sheetData>
  <sheetProtection/>
  <mergeCells count="7">
    <mergeCell ref="C5:I7"/>
    <mergeCell ref="A1:I1"/>
    <mergeCell ref="A2:I2"/>
    <mergeCell ref="C10:I10"/>
    <mergeCell ref="C11:I11"/>
    <mergeCell ref="C3:I3"/>
    <mergeCell ref="C4:I4"/>
  </mergeCells>
  <printOptions horizontalCentered="1" verticalCentered="1"/>
  <pageMargins left="0.45" right="0.45" top="0.5" bottom="0.5" header="0.3" footer="0.3"/>
  <pageSetup fitToHeight="1" fitToWidth="1" horizontalDpi="600" verticalDpi="600" orientation="landscape" scale="72" r:id="rId1"/>
</worksheet>
</file>

<file path=xl/worksheets/sheet5.xml><?xml version="1.0" encoding="utf-8"?>
<worksheet xmlns="http://schemas.openxmlformats.org/spreadsheetml/2006/main" xmlns:r="http://schemas.openxmlformats.org/officeDocument/2006/relationships">
  <sheetPr>
    <pageSetUpPr fitToPage="1"/>
  </sheetPr>
  <dimension ref="A1:O82"/>
  <sheetViews>
    <sheetView zoomScaleSheetLayoutView="75" workbookViewId="0" topLeftCell="A1">
      <selection activeCell="A1" sqref="A1"/>
    </sheetView>
  </sheetViews>
  <sheetFormatPr defaultColWidth="30.7109375" defaultRowHeight="12.75"/>
  <cols>
    <col min="1" max="1" width="47.00390625" style="0" customWidth="1"/>
    <col min="2" max="2" width="15.7109375" style="1" customWidth="1"/>
    <col min="3" max="3" width="16.28125" style="1" customWidth="1"/>
    <col min="4" max="7" width="15.7109375" style="1" customWidth="1"/>
    <col min="8" max="8" width="15.7109375" style="0" customWidth="1"/>
    <col min="9" max="9" width="17.7109375" style="0" customWidth="1"/>
    <col min="10" max="10" width="15.7109375" style="0" customWidth="1"/>
    <col min="11" max="11" width="50.7109375" style="0" customWidth="1"/>
    <col min="12" max="12" width="10.57421875" style="0" bestFit="1" customWidth="1"/>
  </cols>
  <sheetData>
    <row r="1" spans="1:9" ht="18.75" thickBot="1">
      <c r="A1" s="51" t="s">
        <v>69</v>
      </c>
      <c r="B1" s="52"/>
      <c r="C1" s="52"/>
      <c r="D1" s="52"/>
      <c r="E1" s="53"/>
      <c r="F1" s="53"/>
      <c r="G1" s="99">
        <v>40674</v>
      </c>
      <c r="H1" s="55" t="s">
        <v>120</v>
      </c>
      <c r="I1" s="54"/>
    </row>
    <row r="2" spans="1:9" ht="18.75" thickBot="1">
      <c r="A2" s="103" t="s">
        <v>115</v>
      </c>
      <c r="B2" s="104"/>
      <c r="C2" s="104"/>
      <c r="D2" s="104"/>
      <c r="E2" s="48"/>
      <c r="F2" s="48"/>
      <c r="G2" s="105"/>
      <c r="H2" s="106"/>
      <c r="I2" s="106"/>
    </row>
    <row r="3" spans="1:11" ht="18.75" thickBot="1">
      <c r="A3" s="51"/>
      <c r="B3" s="55" t="s">
        <v>13</v>
      </c>
      <c r="C3" s="291" t="s">
        <v>44</v>
      </c>
      <c r="D3" s="292"/>
      <c r="E3" s="292"/>
      <c r="F3" s="292"/>
      <c r="G3" s="292"/>
      <c r="H3" s="292"/>
      <c r="I3" s="293"/>
      <c r="J3" s="108" t="s">
        <v>12</v>
      </c>
      <c r="K3" s="108" t="s">
        <v>12</v>
      </c>
    </row>
    <row r="4" spans="1:11" ht="15">
      <c r="A4" s="65" t="s">
        <v>36</v>
      </c>
      <c r="B4" s="67">
        <v>0.153</v>
      </c>
      <c r="C4" s="294" t="s">
        <v>70</v>
      </c>
      <c r="D4" s="294"/>
      <c r="E4" s="294"/>
      <c r="F4" s="294"/>
      <c r="G4" s="294"/>
      <c r="H4" s="294"/>
      <c r="I4" s="295"/>
      <c r="K4" s="62"/>
    </row>
    <row r="5" spans="1:11" ht="15">
      <c r="A5" s="66" t="s">
        <v>37</v>
      </c>
      <c r="B5" s="68">
        <v>0.0625</v>
      </c>
      <c r="C5" s="296" t="s">
        <v>64</v>
      </c>
      <c r="D5" s="296"/>
      <c r="E5" s="296"/>
      <c r="F5" s="296"/>
      <c r="G5" s="296"/>
      <c r="H5" s="296"/>
      <c r="I5" s="297"/>
      <c r="K5" s="62"/>
    </row>
    <row r="6" spans="1:11" ht="15">
      <c r="A6" s="66" t="s">
        <v>38</v>
      </c>
      <c r="B6" s="69">
        <v>1.0809</v>
      </c>
      <c r="C6" s="298" t="s">
        <v>108</v>
      </c>
      <c r="D6" s="298"/>
      <c r="E6" s="298"/>
      <c r="F6" s="298"/>
      <c r="G6" s="298"/>
      <c r="H6" s="298"/>
      <c r="I6" s="299"/>
      <c r="K6" s="62"/>
    </row>
    <row r="7" spans="1:11" ht="15" customHeight="1">
      <c r="A7" s="66" t="s">
        <v>45</v>
      </c>
      <c r="B7" s="70">
        <v>0.956</v>
      </c>
      <c r="C7" s="87" t="s">
        <v>67</v>
      </c>
      <c r="D7" s="87"/>
      <c r="E7" s="87"/>
      <c r="F7" s="87"/>
      <c r="G7" s="87"/>
      <c r="H7" s="87"/>
      <c r="I7" s="88"/>
      <c r="K7" s="62"/>
    </row>
    <row r="8" spans="1:11" ht="15" customHeight="1">
      <c r="A8" s="66" t="s">
        <v>39</v>
      </c>
      <c r="B8" s="71">
        <f>F42</f>
        <v>164757.6</v>
      </c>
      <c r="C8" s="300"/>
      <c r="D8" s="301"/>
      <c r="E8" s="301"/>
      <c r="F8" s="301"/>
      <c r="G8" s="301"/>
      <c r="H8" s="301"/>
      <c r="I8" s="302"/>
      <c r="K8" s="62"/>
    </row>
    <row r="9" spans="1:11" ht="18" customHeight="1">
      <c r="A9" s="66" t="s">
        <v>48</v>
      </c>
      <c r="B9" s="72">
        <v>0.025</v>
      </c>
      <c r="C9" s="308"/>
      <c r="D9" s="308"/>
      <c r="E9" s="308"/>
      <c r="F9" s="308"/>
      <c r="G9" s="308"/>
      <c r="H9" s="308"/>
      <c r="I9" s="309"/>
      <c r="K9" s="62"/>
    </row>
    <row r="10" spans="1:11" ht="15.75" customHeight="1" thickBot="1">
      <c r="A10" s="66" t="s">
        <v>42</v>
      </c>
      <c r="B10" s="73">
        <f>MAX(B20*0.3,20)*365</f>
        <v>37474.185</v>
      </c>
      <c r="C10" s="303" t="s">
        <v>12</v>
      </c>
      <c r="D10" s="304"/>
      <c r="E10" s="304"/>
      <c r="F10" s="304"/>
      <c r="G10" s="304"/>
      <c r="H10" s="304"/>
      <c r="I10" s="305"/>
      <c r="K10" s="62"/>
    </row>
    <row r="11" spans="1:11" ht="15.75" customHeight="1" thickBot="1">
      <c r="A11" s="66"/>
      <c r="B11" s="79" t="s">
        <v>12</v>
      </c>
      <c r="C11" s="282" t="s">
        <v>62</v>
      </c>
      <c r="D11" s="283"/>
      <c r="E11" s="283"/>
      <c r="F11" s="283"/>
      <c r="G11" s="283"/>
      <c r="H11" s="283"/>
      <c r="I11" s="284"/>
      <c r="K11" s="62"/>
    </row>
    <row r="12" spans="1:11" ht="19.5" customHeight="1" thickBot="1">
      <c r="A12" s="119" t="s">
        <v>12</v>
      </c>
      <c r="B12" s="120" t="s">
        <v>13</v>
      </c>
      <c r="C12" s="121" t="s">
        <v>17</v>
      </c>
      <c r="D12" s="122" t="s">
        <v>16</v>
      </c>
      <c r="E12" s="122" t="s">
        <v>14</v>
      </c>
      <c r="F12" s="122" t="s">
        <v>8</v>
      </c>
      <c r="G12" s="122" t="s">
        <v>49</v>
      </c>
      <c r="H12" s="122" t="s">
        <v>50</v>
      </c>
      <c r="I12" s="123" t="s">
        <v>7</v>
      </c>
      <c r="K12" s="62"/>
    </row>
    <row r="13" spans="1:11" ht="19.5" customHeight="1">
      <c r="A13" s="128" t="s">
        <v>9</v>
      </c>
      <c r="B13" s="124" t="s">
        <v>24</v>
      </c>
      <c r="C13" s="142">
        <f>B67</f>
        <v>2020</v>
      </c>
      <c r="D13" s="80">
        <f>B64</f>
        <v>5790</v>
      </c>
      <c r="E13" s="80">
        <f>B65</f>
        <v>5420</v>
      </c>
      <c r="F13" s="80">
        <f>B61</f>
        <v>4880</v>
      </c>
      <c r="G13" s="80">
        <f>B62</f>
        <v>2110</v>
      </c>
      <c r="H13" s="80">
        <f>B54</f>
        <v>1410</v>
      </c>
      <c r="I13" s="81">
        <f>B59</f>
        <v>3500</v>
      </c>
      <c r="J13" s="4"/>
      <c r="K13" s="109" t="s">
        <v>12</v>
      </c>
    </row>
    <row r="14" spans="1:11" ht="19.5" customHeight="1">
      <c r="A14" s="129" t="s">
        <v>11</v>
      </c>
      <c r="B14" s="74" t="s">
        <v>24</v>
      </c>
      <c r="C14" s="143">
        <f>C67</f>
        <v>5694</v>
      </c>
      <c r="D14" s="11">
        <f>C64</f>
        <v>8189</v>
      </c>
      <c r="E14" s="11">
        <f>C65</f>
        <v>7718.5</v>
      </c>
      <c r="F14" s="11">
        <f>C61</f>
        <v>5720.7</v>
      </c>
      <c r="G14" s="11">
        <f>C62</f>
        <v>2372</v>
      </c>
      <c r="H14" s="11">
        <f>C54</f>
        <v>1925</v>
      </c>
      <c r="I14" s="56">
        <f>C59</f>
        <v>5606.3</v>
      </c>
      <c r="J14" s="4"/>
      <c r="K14" s="109" t="s">
        <v>12</v>
      </c>
    </row>
    <row r="15" spans="1:11" ht="19.5" customHeight="1">
      <c r="A15" s="130" t="s">
        <v>10</v>
      </c>
      <c r="B15" s="74">
        <f>ROUND((B8*B6),1)</f>
        <v>178086.5</v>
      </c>
      <c r="C15" s="143">
        <v>72187</v>
      </c>
      <c r="D15" s="12">
        <v>39995</v>
      </c>
      <c r="E15" s="12">
        <v>17358</v>
      </c>
      <c r="F15" s="12">
        <v>13099</v>
      </c>
      <c r="G15" s="12">
        <v>6211</v>
      </c>
      <c r="H15" s="12">
        <v>3018</v>
      </c>
      <c r="I15" s="57">
        <v>8951</v>
      </c>
      <c r="J15" s="4"/>
      <c r="K15" s="109" t="s">
        <v>12</v>
      </c>
    </row>
    <row r="16" spans="1:12" ht="19.5" customHeight="1">
      <c r="A16" s="129" t="s">
        <v>52</v>
      </c>
      <c r="B16" s="71">
        <f>I42</f>
        <v>27535.8</v>
      </c>
      <c r="C16" s="144">
        <f>I67</f>
        <v>0</v>
      </c>
      <c r="D16" s="139">
        <f>I64</f>
        <v>0</v>
      </c>
      <c r="E16" s="139">
        <f>I65</f>
        <v>0</v>
      </c>
      <c r="F16" s="139">
        <f>I61</f>
        <v>0</v>
      </c>
      <c r="G16" s="139">
        <f>I62</f>
        <v>0</v>
      </c>
      <c r="H16" s="139">
        <f>I54</f>
        <v>0</v>
      </c>
      <c r="I16" s="140">
        <f>I59</f>
        <v>0</v>
      </c>
      <c r="J16" s="4"/>
      <c r="K16" s="109" t="s">
        <v>12</v>
      </c>
      <c r="L16" s="8" t="s">
        <v>12</v>
      </c>
    </row>
    <row r="17" spans="1:12" ht="19.5" customHeight="1">
      <c r="A17" s="129" t="s">
        <v>51</v>
      </c>
      <c r="B17" s="98">
        <f>ROUND(B16*$B$6,1)</f>
        <v>29763.4</v>
      </c>
      <c r="C17" s="145">
        <f aca="true" t="shared" si="0" ref="C17:I17">ROUND(C16*$B$6,1)</f>
        <v>0</v>
      </c>
      <c r="D17" s="85">
        <f t="shared" si="0"/>
        <v>0</v>
      </c>
      <c r="E17" s="85">
        <f t="shared" si="0"/>
        <v>0</v>
      </c>
      <c r="F17" s="85">
        <f t="shared" si="0"/>
        <v>0</v>
      </c>
      <c r="G17" s="85">
        <f t="shared" si="0"/>
        <v>0</v>
      </c>
      <c r="H17" s="85">
        <f t="shared" si="0"/>
        <v>0</v>
      </c>
      <c r="I17" s="86">
        <f t="shared" si="0"/>
        <v>0</v>
      </c>
      <c r="J17" s="4"/>
      <c r="K17" s="109" t="s">
        <v>12</v>
      </c>
      <c r="L17" s="7" t="s">
        <v>12</v>
      </c>
    </row>
    <row r="18" spans="1:11" ht="19.5" customHeight="1">
      <c r="A18" s="131" t="s">
        <v>53</v>
      </c>
      <c r="B18" s="75">
        <f>B15-B17</f>
        <v>148323.1</v>
      </c>
      <c r="C18" s="146">
        <f aca="true" t="shared" si="1" ref="C18:I18">C15-C17</f>
        <v>72187</v>
      </c>
      <c r="D18" s="13">
        <f t="shared" si="1"/>
        <v>39995</v>
      </c>
      <c r="E18" s="13">
        <f t="shared" si="1"/>
        <v>17358</v>
      </c>
      <c r="F18" s="13">
        <f t="shared" si="1"/>
        <v>13099</v>
      </c>
      <c r="G18" s="13">
        <f t="shared" si="1"/>
        <v>6211</v>
      </c>
      <c r="H18" s="13">
        <f t="shared" si="1"/>
        <v>3018</v>
      </c>
      <c r="I18" s="58">
        <f t="shared" si="1"/>
        <v>8951</v>
      </c>
      <c r="J18" s="4"/>
      <c r="K18" s="109"/>
    </row>
    <row r="19" spans="1:11" ht="19.5" customHeight="1">
      <c r="A19" s="130" t="s">
        <v>48</v>
      </c>
      <c r="B19" s="74">
        <f>ROUND((B18*B9),1)</f>
        <v>3708.1</v>
      </c>
      <c r="C19" s="143">
        <f>H67</f>
        <v>1667.2990005961155</v>
      </c>
      <c r="D19" s="11">
        <f>H64</f>
        <v>910.069623048233</v>
      </c>
      <c r="E19" s="11">
        <f>H65</f>
        <v>389.1535317274661</v>
      </c>
      <c r="F19" s="11">
        <f>H61</f>
        <v>294.57417188814026</v>
      </c>
      <c r="G19" s="11">
        <f>H62</f>
        <v>134.0324642294446</v>
      </c>
      <c r="H19" s="11">
        <f>H54</f>
        <v>64.02211980895164</v>
      </c>
      <c r="I19" s="56">
        <f>H59</f>
        <v>189.05062898169243</v>
      </c>
      <c r="J19" s="4"/>
      <c r="K19" s="109"/>
    </row>
    <row r="20" spans="1:11" ht="19.5" customHeight="1">
      <c r="A20" s="132" t="s">
        <v>54</v>
      </c>
      <c r="B20" s="76">
        <v>342.23</v>
      </c>
      <c r="C20" s="147">
        <v>241.91</v>
      </c>
      <c r="D20" s="15">
        <v>275.02</v>
      </c>
      <c r="E20" s="15">
        <v>241.91</v>
      </c>
      <c r="F20" s="15">
        <v>275.02</v>
      </c>
      <c r="G20" s="15">
        <v>275.02</v>
      </c>
      <c r="H20" s="15">
        <v>275.02</v>
      </c>
      <c r="I20" s="59">
        <v>241.91</v>
      </c>
      <c r="J20" s="4"/>
      <c r="K20" s="109"/>
    </row>
    <row r="21" spans="1:11" ht="19.5" customHeight="1">
      <c r="A21" s="157" t="s">
        <v>56</v>
      </c>
      <c r="B21" s="76"/>
      <c r="C21" s="147"/>
      <c r="D21" s="15"/>
      <c r="E21" s="15"/>
      <c r="F21" s="15"/>
      <c r="G21" s="15"/>
      <c r="H21" s="15"/>
      <c r="I21" s="59"/>
      <c r="J21" s="4"/>
      <c r="K21" s="109"/>
    </row>
    <row r="22" spans="1:11" ht="19.5" customHeight="1">
      <c r="A22" s="129" t="s">
        <v>25</v>
      </c>
      <c r="B22" s="77">
        <f>ROUND(B$20*1.5,2)</f>
        <v>513.35</v>
      </c>
      <c r="C22" s="148">
        <f aca="true" t="shared" si="2" ref="C22:H22">ROUND(C$20*1.5,2)</f>
        <v>362.87</v>
      </c>
      <c r="D22" s="14">
        <f t="shared" si="2"/>
        <v>412.53</v>
      </c>
      <c r="E22" s="14">
        <f t="shared" si="2"/>
        <v>362.87</v>
      </c>
      <c r="F22" s="14">
        <f t="shared" si="2"/>
        <v>412.53</v>
      </c>
      <c r="G22" s="14">
        <f t="shared" si="2"/>
        <v>412.53</v>
      </c>
      <c r="H22" s="14">
        <f t="shared" si="2"/>
        <v>412.53</v>
      </c>
      <c r="I22" s="60">
        <f>ROUND(I$20*1.5,2)</f>
        <v>362.87</v>
      </c>
      <c r="J22" s="4"/>
      <c r="K22" s="109"/>
    </row>
    <row r="23" spans="1:11" ht="19.5" customHeight="1">
      <c r="A23" s="129" t="s">
        <v>26</v>
      </c>
      <c r="B23" s="77">
        <f>ROUND(B$20,2)</f>
        <v>342.23</v>
      </c>
      <c r="C23" s="148">
        <f aca="true" t="shared" si="3" ref="C23:H23">ROUND(C$20,2)</f>
        <v>241.91</v>
      </c>
      <c r="D23" s="14">
        <f t="shared" si="3"/>
        <v>275.02</v>
      </c>
      <c r="E23" s="14">
        <f t="shared" si="3"/>
        <v>241.91</v>
      </c>
      <c r="F23" s="14">
        <f t="shared" si="3"/>
        <v>275.02</v>
      </c>
      <c r="G23" s="14">
        <f t="shared" si="3"/>
        <v>275.02</v>
      </c>
      <c r="H23" s="14">
        <f t="shared" si="3"/>
        <v>275.02</v>
      </c>
      <c r="I23" s="60">
        <f>ROUND(I$20,2)</f>
        <v>241.91</v>
      </c>
      <c r="J23" s="4"/>
      <c r="K23" s="109"/>
    </row>
    <row r="24" spans="1:11" ht="19.5" customHeight="1">
      <c r="A24" s="129" t="s">
        <v>27</v>
      </c>
      <c r="B24" s="77">
        <f>ROUND(B$20*0.2,2)</f>
        <v>68.45</v>
      </c>
      <c r="C24" s="148">
        <f aca="true" t="shared" si="4" ref="C24:H24">ROUND(C$20*0.2,2)</f>
        <v>48.38</v>
      </c>
      <c r="D24" s="14">
        <f t="shared" si="4"/>
        <v>55</v>
      </c>
      <c r="E24" s="14">
        <f t="shared" si="4"/>
        <v>48.38</v>
      </c>
      <c r="F24" s="14">
        <f t="shared" si="4"/>
        <v>55</v>
      </c>
      <c r="G24" s="14">
        <f t="shared" si="4"/>
        <v>55</v>
      </c>
      <c r="H24" s="14">
        <f t="shared" si="4"/>
        <v>55</v>
      </c>
      <c r="I24" s="60">
        <f>ROUND(I$20*0.2,2)</f>
        <v>48.38</v>
      </c>
      <c r="J24" s="4"/>
      <c r="K24" s="109"/>
    </row>
    <row r="25" spans="1:11" ht="19.5" customHeight="1">
      <c r="A25" s="129" t="s">
        <v>28</v>
      </c>
      <c r="B25" s="74">
        <f aca="true" t="shared" si="5" ref="B25:I25">ROUND(B$18*(1+$B$4-3%)/(1+$B$4)-B19,1)</f>
        <v>140755.8</v>
      </c>
      <c r="C25" s="143">
        <f t="shared" si="5"/>
        <v>68641.5</v>
      </c>
      <c r="D25" s="10">
        <f t="shared" si="5"/>
        <v>38044.3</v>
      </c>
      <c r="E25" s="10">
        <f t="shared" si="5"/>
        <v>16517.2</v>
      </c>
      <c r="F25" s="10">
        <f t="shared" si="5"/>
        <v>12463.6</v>
      </c>
      <c r="G25" s="10">
        <f t="shared" si="5"/>
        <v>5915.4</v>
      </c>
      <c r="H25" s="10">
        <f t="shared" si="5"/>
        <v>2875.5</v>
      </c>
      <c r="I25" s="61">
        <f t="shared" si="5"/>
        <v>8529.1</v>
      </c>
      <c r="J25" s="4"/>
      <c r="K25" s="109"/>
    </row>
    <row r="26" spans="1:13" ht="19.5" customHeight="1">
      <c r="A26" s="129" t="s">
        <v>29</v>
      </c>
      <c r="B26" s="74">
        <f aca="true" t="shared" si="6" ref="B26:I26">ROUND(B$18*(1+$B$4+1%)/(1+$B$4)-B19,1)</f>
        <v>145901.4</v>
      </c>
      <c r="C26" s="143">
        <f t="shared" si="6"/>
        <v>71145.8</v>
      </c>
      <c r="D26" s="10">
        <f t="shared" si="6"/>
        <v>39431.8</v>
      </c>
      <c r="E26" s="10">
        <f t="shared" si="6"/>
        <v>17119.4</v>
      </c>
      <c r="F26" s="10">
        <f t="shared" si="6"/>
        <v>12918</v>
      </c>
      <c r="G26" s="10">
        <f t="shared" si="6"/>
        <v>6130.8</v>
      </c>
      <c r="H26" s="10">
        <f t="shared" si="6"/>
        <v>2980.2</v>
      </c>
      <c r="I26" s="61">
        <f t="shared" si="6"/>
        <v>8839.6</v>
      </c>
      <c r="J26" s="4"/>
      <c r="K26" s="109"/>
      <c r="L26" s="7" t="s">
        <v>12</v>
      </c>
      <c r="M26" s="9" t="s">
        <v>12</v>
      </c>
    </row>
    <row r="27" spans="1:11" ht="19.5" customHeight="1">
      <c r="A27" s="129" t="s">
        <v>30</v>
      </c>
      <c r="B27" s="74">
        <f aca="true" t="shared" si="7" ref="B27:I27">ROUND(B$18*(1+$B$4+5%)/(1+$B$4)-B19,1)</f>
        <v>151047.1</v>
      </c>
      <c r="C27" s="143">
        <f t="shared" si="7"/>
        <v>73650.1</v>
      </c>
      <c r="D27" s="10">
        <f t="shared" si="7"/>
        <v>40819.3</v>
      </c>
      <c r="E27" s="10">
        <f t="shared" si="7"/>
        <v>17721.6</v>
      </c>
      <c r="F27" s="10">
        <f t="shared" si="7"/>
        <v>13372.5</v>
      </c>
      <c r="G27" s="10">
        <f t="shared" si="7"/>
        <v>6346.3</v>
      </c>
      <c r="H27" s="10">
        <f t="shared" si="7"/>
        <v>3084.9</v>
      </c>
      <c r="I27" s="61">
        <f t="shared" si="7"/>
        <v>9150.1</v>
      </c>
      <c r="J27" s="4"/>
      <c r="K27" s="109"/>
    </row>
    <row r="28" spans="1:12" ht="19.5" customHeight="1">
      <c r="A28" s="129" t="s">
        <v>59</v>
      </c>
      <c r="B28" s="78" t="s">
        <v>24</v>
      </c>
      <c r="C28" s="150">
        <v>159</v>
      </c>
      <c r="D28" s="107" t="s">
        <v>24</v>
      </c>
      <c r="E28" s="64" t="s">
        <v>24</v>
      </c>
      <c r="F28" s="64" t="s">
        <v>24</v>
      </c>
      <c r="G28" s="64" t="s">
        <v>24</v>
      </c>
      <c r="H28" s="64" t="s">
        <v>24</v>
      </c>
      <c r="I28" s="125" t="s">
        <v>24</v>
      </c>
      <c r="K28" s="62"/>
      <c r="L28" s="7" t="s">
        <v>12</v>
      </c>
    </row>
    <row r="29" spans="1:12" ht="19.5" customHeight="1">
      <c r="A29" s="129" t="s">
        <v>116</v>
      </c>
      <c r="B29" s="159">
        <f>ROUND(MAX(125.47*0.2,20)*365,2)</f>
        <v>9159.31</v>
      </c>
      <c r="C29" s="159">
        <f>ROUND(MAX(125.47*0.2,20)*365,2)</f>
        <v>9159.31</v>
      </c>
      <c r="D29" s="159">
        <f>ROUND(MAX(125.47*0.2,20)*365,2)</f>
        <v>9159.31</v>
      </c>
      <c r="E29" s="159">
        <f>ROUND(MAX(125.47*0.2,20)*365,2)</f>
        <v>9159.31</v>
      </c>
      <c r="F29" s="159">
        <f>ROUND(MAX(125.47*0.2,20)*365,2)</f>
        <v>9159.31</v>
      </c>
      <c r="G29" s="159">
        <f>ROUND(MAX(213.97*0.2,20)*365,2)</f>
        <v>15619.81</v>
      </c>
      <c r="H29" s="159">
        <f>ROUND(MAX(125.47*0.2,20)*365,2)</f>
        <v>9159.31</v>
      </c>
      <c r="I29" s="159">
        <f>ROUND(MAX(125.47*0.2,20)*365,2)</f>
        <v>9159.31</v>
      </c>
      <c r="J29" s="9" t="s">
        <v>12</v>
      </c>
      <c r="K29" s="62" t="s">
        <v>12</v>
      </c>
      <c r="L29" s="7"/>
    </row>
    <row r="30" spans="1:12" ht="19.5" customHeight="1">
      <c r="A30" s="129" t="s">
        <v>117</v>
      </c>
      <c r="B30" s="159">
        <f>ROUND(MAX(125.99*0.2,20)*365,2)</f>
        <v>9197.27</v>
      </c>
      <c r="C30" s="160">
        <f aca="true" t="shared" si="8" ref="C30:F31">ROUND(MAX(136.5*0.2,20)*365,2)</f>
        <v>9964.5</v>
      </c>
      <c r="D30" s="160">
        <f t="shared" si="8"/>
        <v>9964.5</v>
      </c>
      <c r="E30" s="160">
        <f t="shared" si="8"/>
        <v>9964.5</v>
      </c>
      <c r="F30" s="160">
        <f t="shared" si="8"/>
        <v>9964.5</v>
      </c>
      <c r="G30" s="160">
        <f>ROUND(MAX(225*0.2,20)*365,2)</f>
        <v>16425</v>
      </c>
      <c r="H30" s="160">
        <f>ROUND(MAX(136.5*0.2,20)*365,2)</f>
        <v>9964.5</v>
      </c>
      <c r="I30" s="160">
        <f>ROUND(MAX(136.5*0.2,20)*365,2)</f>
        <v>9964.5</v>
      </c>
      <c r="J30" s="9"/>
      <c r="K30" s="62"/>
      <c r="L30" s="7"/>
    </row>
    <row r="31" spans="1:12" ht="19.5" customHeight="1">
      <c r="A31" s="129" t="s">
        <v>118</v>
      </c>
      <c r="B31" s="159">
        <f>ROUND(MAX(125.99*0.2,20)*365,2)</f>
        <v>9197.27</v>
      </c>
      <c r="C31" s="160">
        <f t="shared" si="8"/>
        <v>9964.5</v>
      </c>
      <c r="D31" s="160">
        <f t="shared" si="8"/>
        <v>9964.5</v>
      </c>
      <c r="E31" s="160">
        <f t="shared" si="8"/>
        <v>9964.5</v>
      </c>
      <c r="F31" s="160">
        <f t="shared" si="8"/>
        <v>9964.5</v>
      </c>
      <c r="G31" s="160">
        <f>ROUND(MAX(225*0.2,20)*365,2)</f>
        <v>16425</v>
      </c>
      <c r="H31" s="160">
        <f>ROUND(MAX(136.5*0.2,20)*365,2)</f>
        <v>9964.5</v>
      </c>
      <c r="I31" s="160">
        <f>ROUND(MAX(136.5*0.2,20)*365,2)</f>
        <v>9964.5</v>
      </c>
      <c r="J31" s="9"/>
      <c r="K31" s="62"/>
      <c r="L31" s="7"/>
    </row>
    <row r="32" spans="1:12" ht="19.5" customHeight="1">
      <c r="A32" s="129" t="s">
        <v>72</v>
      </c>
      <c r="B32" s="135">
        <v>137808.8</v>
      </c>
      <c r="C32" s="151">
        <v>61255.3</v>
      </c>
      <c r="D32" s="126">
        <v>28773.1</v>
      </c>
      <c r="E32" s="126">
        <v>8402.1</v>
      </c>
      <c r="F32" s="126">
        <v>6374.1</v>
      </c>
      <c r="G32" s="126">
        <v>3382.1</v>
      </c>
      <c r="H32" s="126">
        <v>887</v>
      </c>
      <c r="I32" s="136">
        <v>2729.1</v>
      </c>
      <c r="K32" s="118" t="s">
        <v>12</v>
      </c>
      <c r="L32" s="7"/>
    </row>
    <row r="33" spans="1:12" ht="19.5" customHeight="1">
      <c r="A33" s="141" t="s">
        <v>73</v>
      </c>
      <c r="B33" s="135">
        <v>128450.2</v>
      </c>
      <c r="C33" s="151">
        <v>57748.7</v>
      </c>
      <c r="D33" s="126">
        <v>25397.4</v>
      </c>
      <c r="E33" s="126">
        <v>7152.1</v>
      </c>
      <c r="F33" s="126">
        <v>4977.3</v>
      </c>
      <c r="G33" s="126">
        <v>2813.2</v>
      </c>
      <c r="H33" s="126">
        <v>654.4</v>
      </c>
      <c r="I33" s="136">
        <v>1897.8</v>
      </c>
      <c r="K33" s="118" t="s">
        <v>12</v>
      </c>
      <c r="L33" s="7"/>
    </row>
    <row r="34" spans="1:12" ht="19.5" customHeight="1">
      <c r="A34" s="158" t="s">
        <v>111</v>
      </c>
      <c r="B34" s="135"/>
      <c r="C34" s="151"/>
      <c r="D34" s="126"/>
      <c r="E34" s="126"/>
      <c r="F34" s="126"/>
      <c r="G34" s="126"/>
      <c r="H34" s="126"/>
      <c r="I34" s="136"/>
      <c r="K34" s="118"/>
      <c r="L34" s="7"/>
    </row>
    <row r="35" spans="1:12" ht="19.5" customHeight="1">
      <c r="A35" s="129" t="s">
        <v>112</v>
      </c>
      <c r="B35" s="78" t="s">
        <v>24</v>
      </c>
      <c r="C35" s="149">
        <f>ROUND((C15-C14)/(F67*$B$6),3)</f>
        <v>0.997</v>
      </c>
      <c r="D35" s="63">
        <f>ROUND((D15-D14)/(F64*$B$6),3)</f>
        <v>0.874</v>
      </c>
      <c r="E35" s="63">
        <f>ROUND((E15-E14)/(F65*$B$6),3)</f>
        <v>0.619</v>
      </c>
      <c r="F35" s="63">
        <f>ROUND((F15-F14)/(F61*$B$6),3)</f>
        <v>0.626</v>
      </c>
      <c r="G35" s="63">
        <f>ROUND((G15-G14)/(F62*$B$6),3)</f>
        <v>0.716</v>
      </c>
      <c r="H35" s="64">
        <f>ROUND((H15-H14)/(F54*$B$6),3)</f>
        <v>0.427</v>
      </c>
      <c r="I35" s="82">
        <f>ROUND((I15-I14)/(F59*$B$6),3)</f>
        <v>0.442</v>
      </c>
      <c r="K35" s="118"/>
      <c r="L35" s="7"/>
    </row>
    <row r="36" spans="1:12" ht="19.5" customHeight="1">
      <c r="A36" s="153" t="s">
        <v>113</v>
      </c>
      <c r="B36" s="155">
        <v>0.954112</v>
      </c>
      <c r="C36" s="151" t="s">
        <v>24</v>
      </c>
      <c r="D36" s="126" t="s">
        <v>24</v>
      </c>
      <c r="E36" s="126" t="s">
        <v>24</v>
      </c>
      <c r="F36" s="126" t="s">
        <v>24</v>
      </c>
      <c r="G36" s="126" t="s">
        <v>24</v>
      </c>
      <c r="H36" s="126" t="s">
        <v>24</v>
      </c>
      <c r="I36" s="136" t="s">
        <v>24</v>
      </c>
      <c r="K36" s="118"/>
      <c r="L36" s="7"/>
    </row>
    <row r="37" spans="1:12" ht="19.5" customHeight="1" thickBot="1">
      <c r="A37" s="154" t="s">
        <v>114</v>
      </c>
      <c r="B37" s="156">
        <v>0.8910159999999999</v>
      </c>
      <c r="C37" s="152" t="s">
        <v>24</v>
      </c>
      <c r="D37" s="127" t="s">
        <v>24</v>
      </c>
      <c r="E37" s="127" t="s">
        <v>24</v>
      </c>
      <c r="F37" s="127" t="s">
        <v>24</v>
      </c>
      <c r="G37" s="127" t="s">
        <v>24</v>
      </c>
      <c r="H37" s="127" t="s">
        <v>24</v>
      </c>
      <c r="I37" s="137" t="s">
        <v>24</v>
      </c>
      <c r="K37" s="118"/>
      <c r="L37" s="7"/>
    </row>
    <row r="38" spans="1:11" ht="19.5" customHeight="1">
      <c r="A38" s="310" t="s">
        <v>60</v>
      </c>
      <c r="B38" s="311"/>
      <c r="C38" s="311"/>
      <c r="D38" s="311"/>
      <c r="E38" s="311"/>
      <c r="F38" s="311"/>
      <c r="G38" s="311"/>
      <c r="H38" s="311"/>
      <c r="I38" s="312"/>
      <c r="J38" s="313"/>
      <c r="K38" s="62"/>
    </row>
    <row r="39" spans="1:14" ht="19.5" customHeight="1">
      <c r="A39" s="310" t="s">
        <v>55</v>
      </c>
      <c r="B39" s="311"/>
      <c r="C39" s="311"/>
      <c r="D39" s="311"/>
      <c r="E39" s="311"/>
      <c r="F39" s="311"/>
      <c r="G39" s="311"/>
      <c r="H39" s="311"/>
      <c r="I39" s="312"/>
      <c r="J39" s="314"/>
      <c r="K39" s="62"/>
      <c r="N39" s="9" t="s">
        <v>12</v>
      </c>
    </row>
    <row r="40" spans="1:11" ht="18" customHeight="1" thickBot="1">
      <c r="A40" s="315" t="s">
        <v>107</v>
      </c>
      <c r="B40" s="316"/>
      <c r="C40" s="316"/>
      <c r="D40" s="316"/>
      <c r="E40" s="316"/>
      <c r="F40" s="316"/>
      <c r="G40" s="316"/>
      <c r="H40" s="316"/>
      <c r="I40" s="317"/>
      <c r="J40" s="318"/>
      <c r="K40" s="62" t="s">
        <v>12</v>
      </c>
    </row>
    <row r="41" spans="1:13" s="3" customFormat="1" ht="64.5" customHeight="1">
      <c r="A41" s="33" t="s">
        <v>40</v>
      </c>
      <c r="B41" s="34" t="s">
        <v>9</v>
      </c>
      <c r="C41" s="34" t="s">
        <v>11</v>
      </c>
      <c r="D41" s="34" t="s">
        <v>57</v>
      </c>
      <c r="E41" s="34" t="s">
        <v>84</v>
      </c>
      <c r="F41" s="34" t="s">
        <v>31</v>
      </c>
      <c r="G41" s="34" t="s">
        <v>32</v>
      </c>
      <c r="H41" s="34" t="s">
        <v>48</v>
      </c>
      <c r="I41" s="83" t="s">
        <v>66</v>
      </c>
      <c r="J41" s="35" t="s">
        <v>105</v>
      </c>
      <c r="K41" s="110"/>
      <c r="M41" s="5" t="s">
        <v>12</v>
      </c>
    </row>
    <row r="42" spans="1:13" s="3" customFormat="1" ht="19.5" customHeight="1">
      <c r="A42" s="36" t="s">
        <v>13</v>
      </c>
      <c r="B42" s="19" t="s">
        <v>24</v>
      </c>
      <c r="C42" s="19" t="s">
        <v>24</v>
      </c>
      <c r="D42" s="20" t="s">
        <v>24</v>
      </c>
      <c r="E42" s="21">
        <f>E43+E44+E45+E46+E47+E48+E49+E50+E51+E52+E53+E55+E56+E57+E58+E59+E60+E61+E63</f>
        <v>152947</v>
      </c>
      <c r="F42" s="21">
        <f>F43+F44+F45+F46+F47+F48+F49+F50+F51+F52+F53+F55+F56+F57+F58+F59+F60+F61+F63</f>
        <v>164757.6</v>
      </c>
      <c r="G42" s="22" t="s">
        <v>24</v>
      </c>
      <c r="H42" s="21">
        <f>B19</f>
        <v>3708.1</v>
      </c>
      <c r="I42" s="21">
        <f>I43+I44+I45+I46+I47+I48+I49+I50+I51+I52+I53+I55+I56+I57+I58+I59+I60+I61+I63</f>
        <v>27535.8</v>
      </c>
      <c r="J42" s="37">
        <f>J43+J44+J45+J46+J47+J48+J49+J50+J51+J52+J53+J55+J56+J57+J58+J59+J60+J61+J63</f>
        <v>137221.8</v>
      </c>
      <c r="K42" s="16" t="s">
        <v>12</v>
      </c>
      <c r="L42" s="3" t="s">
        <v>12</v>
      </c>
      <c r="M42" s="6" t="s">
        <v>12</v>
      </c>
    </row>
    <row r="43" spans="1:15" s="2" customFormat="1" ht="19.5" customHeight="1">
      <c r="A43" s="38" t="s">
        <v>2</v>
      </c>
      <c r="B43" s="23">
        <v>1440</v>
      </c>
      <c r="C43" s="24" t="s">
        <v>86</v>
      </c>
      <c r="D43" s="25" t="s">
        <v>58</v>
      </c>
      <c r="E43" s="25">
        <v>2550</v>
      </c>
      <c r="F43" s="25">
        <v>2773</v>
      </c>
      <c r="G43" s="26">
        <f>F43/E43</f>
        <v>1.0874509803921568</v>
      </c>
      <c r="H43" s="25">
        <f>$H$42*J43/$J$42</f>
        <v>74.93387566698586</v>
      </c>
      <c r="I43" s="20">
        <v>0</v>
      </c>
      <c r="J43" s="39">
        <f>F43-I43</f>
        <v>2773</v>
      </c>
      <c r="K43" s="116" t="s">
        <v>12</v>
      </c>
      <c r="L43" s="3" t="s">
        <v>12</v>
      </c>
      <c r="O43" s="2" t="s">
        <v>12</v>
      </c>
    </row>
    <row r="44" spans="1:13" s="2" customFormat="1" ht="19.5" customHeight="1">
      <c r="A44" s="40" t="s">
        <v>68</v>
      </c>
      <c r="B44" s="27" t="s">
        <v>35</v>
      </c>
      <c r="C44" s="28" t="s">
        <v>35</v>
      </c>
      <c r="D44" s="29" t="s">
        <v>24</v>
      </c>
      <c r="E44" s="29">
        <v>22460</v>
      </c>
      <c r="F44" s="29">
        <v>24273</v>
      </c>
      <c r="G44" s="26">
        <f aca="true" t="shared" si="9" ref="G44:G53">F44/E44</f>
        <v>1.0807212822796082</v>
      </c>
      <c r="H44" s="25">
        <f aca="true" t="shared" si="10" ref="H44:H63">$H$42*J44/$J$42</f>
        <v>62.15755528640496</v>
      </c>
      <c r="I44" s="20">
        <v>21972.8</v>
      </c>
      <c r="J44" s="39">
        <f>F44-I44</f>
        <v>2300.2000000000007</v>
      </c>
      <c r="K44" s="116" t="s">
        <v>12</v>
      </c>
      <c r="L44" s="84" t="s">
        <v>12</v>
      </c>
      <c r="M44" s="9" t="s">
        <v>12</v>
      </c>
    </row>
    <row r="45" spans="1:15" s="2" customFormat="1" ht="19.5" customHeight="1">
      <c r="A45" s="40" t="s">
        <v>0</v>
      </c>
      <c r="B45" s="27">
        <v>270</v>
      </c>
      <c r="C45" s="28" t="s">
        <v>87</v>
      </c>
      <c r="D45" s="25" t="s">
        <v>58</v>
      </c>
      <c r="E45" s="29">
        <v>8280</v>
      </c>
      <c r="F45" s="29">
        <v>8639</v>
      </c>
      <c r="G45" s="26">
        <f t="shared" si="9"/>
        <v>1.0433574879227052</v>
      </c>
      <c r="H45" s="25">
        <f t="shared" si="10"/>
        <v>233.44888275769594</v>
      </c>
      <c r="I45" s="20">
        <v>0</v>
      </c>
      <c r="J45" s="39">
        <f aca="true" t="shared" si="11" ref="J45:J63">F45-I45</f>
        <v>8639</v>
      </c>
      <c r="K45" s="116" t="s">
        <v>12</v>
      </c>
      <c r="L45" s="3" t="s">
        <v>12</v>
      </c>
      <c r="M45"/>
      <c r="O45" s="2" t="s">
        <v>12</v>
      </c>
    </row>
    <row r="46" spans="1:15" s="2" customFormat="1" ht="19.5" customHeight="1">
      <c r="A46" s="40" t="s">
        <v>61</v>
      </c>
      <c r="B46" s="27">
        <v>3670</v>
      </c>
      <c r="C46" s="28" t="s">
        <v>88</v>
      </c>
      <c r="D46" s="25" t="s">
        <v>58</v>
      </c>
      <c r="E46" s="29">
        <v>12600</v>
      </c>
      <c r="F46" s="29">
        <v>13542</v>
      </c>
      <c r="G46" s="26">
        <f t="shared" si="9"/>
        <v>1.0747619047619048</v>
      </c>
      <c r="H46" s="25">
        <f t="shared" si="10"/>
        <v>365.9410545554715</v>
      </c>
      <c r="I46" s="20">
        <v>0</v>
      </c>
      <c r="J46" s="39">
        <f t="shared" si="11"/>
        <v>13542</v>
      </c>
      <c r="K46" s="116" t="s">
        <v>12</v>
      </c>
      <c r="L46" s="3" t="s">
        <v>12</v>
      </c>
      <c r="M46"/>
      <c r="N46" s="2" t="s">
        <v>12</v>
      </c>
      <c r="O46" s="2" t="s">
        <v>12</v>
      </c>
    </row>
    <row r="47" spans="1:15" s="2" customFormat="1" ht="19.5" customHeight="1">
      <c r="A47" s="38" t="s">
        <v>3</v>
      </c>
      <c r="B47" s="23">
        <v>4190</v>
      </c>
      <c r="C47" s="28" t="s">
        <v>89</v>
      </c>
      <c r="D47" s="25" t="s">
        <v>58</v>
      </c>
      <c r="E47" s="25">
        <v>7080</v>
      </c>
      <c r="F47" s="25">
        <v>7405</v>
      </c>
      <c r="G47" s="26">
        <f t="shared" si="9"/>
        <v>1.04590395480226</v>
      </c>
      <c r="H47" s="25">
        <f t="shared" si="10"/>
        <v>200.10290274577366</v>
      </c>
      <c r="I47" s="20">
        <v>0</v>
      </c>
      <c r="J47" s="39">
        <f t="shared" si="11"/>
        <v>7405</v>
      </c>
      <c r="K47" s="116" t="s">
        <v>12</v>
      </c>
      <c r="L47" s="3" t="s">
        <v>12</v>
      </c>
      <c r="O47" s="2" t="s">
        <v>12</v>
      </c>
    </row>
    <row r="48" spans="1:15" s="2" customFormat="1" ht="19.5" customHeight="1">
      <c r="A48" s="38" t="s">
        <v>18</v>
      </c>
      <c r="B48" s="23">
        <v>1980</v>
      </c>
      <c r="C48" s="28" t="s">
        <v>90</v>
      </c>
      <c r="D48" s="25" t="s">
        <v>58</v>
      </c>
      <c r="E48" s="25">
        <v>21580</v>
      </c>
      <c r="F48" s="25">
        <v>23649</v>
      </c>
      <c r="G48" s="26">
        <f t="shared" si="9"/>
        <v>1.0958758109360518</v>
      </c>
      <c r="H48" s="25">
        <f t="shared" si="10"/>
        <v>639.0592230972046</v>
      </c>
      <c r="I48" s="20">
        <v>0</v>
      </c>
      <c r="J48" s="39">
        <f t="shared" si="11"/>
        <v>23649</v>
      </c>
      <c r="K48" s="116" t="s">
        <v>12</v>
      </c>
      <c r="L48" s="3" t="s">
        <v>12</v>
      </c>
      <c r="M48" s="6" t="s">
        <v>12</v>
      </c>
      <c r="O48" s="2" t="s">
        <v>12</v>
      </c>
    </row>
    <row r="49" spans="1:15" s="2" customFormat="1" ht="19.5" customHeight="1">
      <c r="A49" s="38" t="s">
        <v>19</v>
      </c>
      <c r="B49" s="23">
        <v>730</v>
      </c>
      <c r="C49" s="28" t="s">
        <v>91</v>
      </c>
      <c r="D49" s="25" t="s">
        <v>58</v>
      </c>
      <c r="E49" s="25">
        <v>3340</v>
      </c>
      <c r="F49" s="25">
        <v>3564</v>
      </c>
      <c r="G49" s="26">
        <f t="shared" si="9"/>
        <v>1.067065868263473</v>
      </c>
      <c r="H49" s="25">
        <f t="shared" si="10"/>
        <v>96.3088109906735</v>
      </c>
      <c r="I49" s="20">
        <v>0</v>
      </c>
      <c r="J49" s="39">
        <f t="shared" si="11"/>
        <v>3564</v>
      </c>
      <c r="K49" s="116" t="s">
        <v>12</v>
      </c>
      <c r="L49" s="3" t="s">
        <v>12</v>
      </c>
      <c r="M49" s="6" t="s">
        <v>12</v>
      </c>
      <c r="O49" s="2" t="s">
        <v>12</v>
      </c>
    </row>
    <row r="50" spans="1:13" s="2" customFormat="1" ht="19.5" customHeight="1">
      <c r="A50" s="38" t="s">
        <v>85</v>
      </c>
      <c r="B50" s="23">
        <v>2630</v>
      </c>
      <c r="C50" s="28" t="s">
        <v>92</v>
      </c>
      <c r="D50" s="25" t="s">
        <v>58</v>
      </c>
      <c r="E50" s="25">
        <f>5280-13</f>
        <v>5267</v>
      </c>
      <c r="F50" s="25">
        <f>5826-14.4</f>
        <v>5811.6</v>
      </c>
      <c r="G50" s="26">
        <f t="shared" si="9"/>
        <v>1.103398519081071</v>
      </c>
      <c r="H50" s="25">
        <f>$H$42*J50/$J$42</f>
        <v>6.717836816016124</v>
      </c>
      <c r="I50" s="20">
        <v>5563</v>
      </c>
      <c r="J50" s="39">
        <f t="shared" si="11"/>
        <v>248.60000000000036</v>
      </c>
      <c r="K50" s="116" t="s">
        <v>12</v>
      </c>
      <c r="L50" s="3"/>
      <c r="M50" s="6"/>
    </row>
    <row r="51" spans="1:15" s="2" customFormat="1" ht="19.5" customHeight="1">
      <c r="A51" s="38" t="s">
        <v>4</v>
      </c>
      <c r="B51" s="23">
        <v>1030</v>
      </c>
      <c r="C51" s="28" t="s">
        <v>93</v>
      </c>
      <c r="D51" s="25" t="s">
        <v>58</v>
      </c>
      <c r="E51" s="25">
        <v>2800</v>
      </c>
      <c r="F51" s="25">
        <v>2961</v>
      </c>
      <c r="G51" s="26">
        <f t="shared" si="9"/>
        <v>1.0575</v>
      </c>
      <c r="H51" s="25">
        <f t="shared" si="10"/>
        <v>80.01413842406964</v>
      </c>
      <c r="I51" s="20">
        <v>0</v>
      </c>
      <c r="J51" s="39">
        <f t="shared" si="11"/>
        <v>2961</v>
      </c>
      <c r="K51" s="116" t="s">
        <v>12</v>
      </c>
      <c r="L51" s="3" t="s">
        <v>12</v>
      </c>
      <c r="O51" s="2" t="s">
        <v>12</v>
      </c>
    </row>
    <row r="52" spans="1:15" s="2" customFormat="1" ht="19.5" customHeight="1">
      <c r="A52" s="38" t="s">
        <v>20</v>
      </c>
      <c r="B52" s="23">
        <v>690</v>
      </c>
      <c r="C52" s="28" t="s">
        <v>94</v>
      </c>
      <c r="D52" s="25" t="s">
        <v>58</v>
      </c>
      <c r="E52" s="25">
        <v>18960</v>
      </c>
      <c r="F52" s="25">
        <v>20618</v>
      </c>
      <c r="G52" s="26">
        <f t="shared" si="9"/>
        <v>1.0874472573839662</v>
      </c>
      <c r="H52" s="25">
        <f t="shared" si="10"/>
        <v>557.1534974763485</v>
      </c>
      <c r="I52" s="20">
        <v>0</v>
      </c>
      <c r="J52" s="39">
        <f t="shared" si="11"/>
        <v>20618</v>
      </c>
      <c r="K52" s="116" t="s">
        <v>12</v>
      </c>
      <c r="L52" s="3" t="s">
        <v>12</v>
      </c>
      <c r="M52" s="6" t="s">
        <v>12</v>
      </c>
      <c r="O52" s="2" t="s">
        <v>12</v>
      </c>
    </row>
    <row r="53" spans="1:15" s="2" customFormat="1" ht="19.5" customHeight="1">
      <c r="A53" s="38" t="s">
        <v>1</v>
      </c>
      <c r="B53" s="23">
        <v>1260</v>
      </c>
      <c r="C53" s="28" t="s">
        <v>95</v>
      </c>
      <c r="D53" s="25" t="s">
        <v>58</v>
      </c>
      <c r="E53" s="25">
        <v>3900</v>
      </c>
      <c r="F53" s="25">
        <v>4121</v>
      </c>
      <c r="G53" s="26">
        <f t="shared" si="9"/>
        <v>1.0566666666666666</v>
      </c>
      <c r="H53" s="25">
        <f t="shared" si="10"/>
        <v>111.36044054224621</v>
      </c>
      <c r="I53" s="20">
        <v>0</v>
      </c>
      <c r="J53" s="39">
        <f t="shared" si="11"/>
        <v>4121</v>
      </c>
      <c r="K53" s="116" t="s">
        <v>12</v>
      </c>
      <c r="L53" s="3" t="s">
        <v>12</v>
      </c>
      <c r="M53" s="2" t="s">
        <v>12</v>
      </c>
      <c r="O53" s="2" t="s">
        <v>43</v>
      </c>
    </row>
    <row r="54" spans="1:15" s="2" customFormat="1" ht="19.5" customHeight="1">
      <c r="A54" s="38" t="s">
        <v>50</v>
      </c>
      <c r="B54" s="23">
        <v>1410</v>
      </c>
      <c r="C54" s="117">
        <v>1925</v>
      </c>
      <c r="D54" s="30">
        <f>C54/B54</f>
        <v>1.3652482269503545</v>
      </c>
      <c r="E54" s="25" t="s">
        <v>24</v>
      </c>
      <c r="F54" s="25">
        <f>ROUND(F53*0.5749,1)</f>
        <v>2369.2</v>
      </c>
      <c r="G54" s="26" t="s">
        <v>24</v>
      </c>
      <c r="H54" s="25">
        <f t="shared" si="10"/>
        <v>64.02211980895164</v>
      </c>
      <c r="I54" s="20">
        <v>0</v>
      </c>
      <c r="J54" s="39">
        <f t="shared" si="11"/>
        <v>2369.2</v>
      </c>
      <c r="K54" s="116" t="s">
        <v>12</v>
      </c>
      <c r="L54" s="3" t="s">
        <v>12</v>
      </c>
      <c r="O54" s="2" t="s">
        <v>12</v>
      </c>
    </row>
    <row r="55" spans="1:15" s="2" customFormat="1" ht="19.5" customHeight="1">
      <c r="A55" s="38" t="s">
        <v>5</v>
      </c>
      <c r="B55" s="23">
        <v>3890</v>
      </c>
      <c r="C55" s="24" t="s">
        <v>96</v>
      </c>
      <c r="D55" s="25" t="s">
        <v>58</v>
      </c>
      <c r="E55" s="25">
        <v>6080</v>
      </c>
      <c r="F55" s="25">
        <v>6539</v>
      </c>
      <c r="G55" s="26">
        <f aca="true" t="shared" si="12" ref="G55:G61">F55/E55</f>
        <v>1.0754934210526317</v>
      </c>
      <c r="H55" s="25">
        <f t="shared" si="10"/>
        <v>176.70126685410045</v>
      </c>
      <c r="I55" s="20">
        <v>0</v>
      </c>
      <c r="J55" s="39">
        <f t="shared" si="11"/>
        <v>6539</v>
      </c>
      <c r="K55" s="116" t="s">
        <v>12</v>
      </c>
      <c r="L55" s="3" t="s">
        <v>12</v>
      </c>
      <c r="O55" s="2" t="s">
        <v>12</v>
      </c>
    </row>
    <row r="56" spans="1:15" s="2" customFormat="1" ht="19.5" customHeight="1">
      <c r="A56" s="38" t="s">
        <v>21</v>
      </c>
      <c r="B56" s="23">
        <v>510</v>
      </c>
      <c r="C56" s="28" t="s">
        <v>97</v>
      </c>
      <c r="D56" s="25" t="s">
        <v>58</v>
      </c>
      <c r="E56" s="25">
        <v>2720</v>
      </c>
      <c r="F56" s="25">
        <v>3051</v>
      </c>
      <c r="G56" s="26">
        <f t="shared" si="12"/>
        <v>1.1216911764705881</v>
      </c>
      <c r="H56" s="25">
        <f t="shared" si="10"/>
        <v>82.44617910565232</v>
      </c>
      <c r="I56" s="20">
        <v>0</v>
      </c>
      <c r="J56" s="39">
        <f t="shared" si="11"/>
        <v>3051</v>
      </c>
      <c r="K56" s="116" t="s">
        <v>12</v>
      </c>
      <c r="L56" s="3" t="s">
        <v>12</v>
      </c>
      <c r="O56" s="2" t="s">
        <v>12</v>
      </c>
    </row>
    <row r="57" spans="1:15" s="2" customFormat="1" ht="19.5" customHeight="1">
      <c r="A57" s="38" t="s">
        <v>6</v>
      </c>
      <c r="B57" s="23">
        <v>2680</v>
      </c>
      <c r="C57" s="28" t="s">
        <v>98</v>
      </c>
      <c r="D57" s="25" t="s">
        <v>58</v>
      </c>
      <c r="E57" s="25">
        <v>8270</v>
      </c>
      <c r="F57" s="25">
        <v>8911</v>
      </c>
      <c r="G57" s="26">
        <f t="shared" si="12"/>
        <v>1.0775090689238211</v>
      </c>
      <c r="H57" s="25">
        <f t="shared" si="10"/>
        <v>240.79905015092353</v>
      </c>
      <c r="I57" s="20">
        <v>0</v>
      </c>
      <c r="J57" s="39">
        <f t="shared" si="11"/>
        <v>8911</v>
      </c>
      <c r="K57" s="116" t="s">
        <v>12</v>
      </c>
      <c r="L57" s="3" t="s">
        <v>12</v>
      </c>
      <c r="O57" s="2" t="s">
        <v>12</v>
      </c>
    </row>
    <row r="58" spans="1:15" s="2" customFormat="1" ht="19.5" customHeight="1">
      <c r="A58" s="38" t="s">
        <v>22</v>
      </c>
      <c r="B58" s="23">
        <v>730</v>
      </c>
      <c r="C58" s="28" t="s">
        <v>91</v>
      </c>
      <c r="D58" s="25" t="s">
        <v>58</v>
      </c>
      <c r="E58" s="25">
        <v>2630</v>
      </c>
      <c r="F58" s="25">
        <v>2986</v>
      </c>
      <c r="G58" s="26">
        <f t="shared" si="12"/>
        <v>1.135361216730038</v>
      </c>
      <c r="H58" s="25">
        <f t="shared" si="10"/>
        <v>80.68970528006483</v>
      </c>
      <c r="I58" s="20">
        <v>0</v>
      </c>
      <c r="J58" s="39">
        <f t="shared" si="11"/>
        <v>2986</v>
      </c>
      <c r="K58" s="116" t="s">
        <v>12</v>
      </c>
      <c r="L58" s="3" t="s">
        <v>12</v>
      </c>
      <c r="M58" s="6" t="s">
        <v>12</v>
      </c>
      <c r="O58" s="2" t="s">
        <v>43</v>
      </c>
    </row>
    <row r="59" spans="1:15" s="2" customFormat="1" ht="19.5" customHeight="1">
      <c r="A59" s="38" t="s">
        <v>7</v>
      </c>
      <c r="B59" s="23">
        <v>3500</v>
      </c>
      <c r="C59" s="100">
        <v>5606.3</v>
      </c>
      <c r="D59" s="30">
        <f>C59/B59</f>
        <v>1.6018000000000001</v>
      </c>
      <c r="E59" s="25">
        <v>6730</v>
      </c>
      <c r="F59" s="25">
        <v>6996</v>
      </c>
      <c r="G59" s="26">
        <f t="shared" si="12"/>
        <v>1.0395245170876672</v>
      </c>
      <c r="H59" s="25">
        <f t="shared" si="10"/>
        <v>189.05062898169243</v>
      </c>
      <c r="I59" s="20">
        <v>0</v>
      </c>
      <c r="J59" s="39">
        <f t="shared" si="11"/>
        <v>6996</v>
      </c>
      <c r="K59" s="116" t="s">
        <v>12</v>
      </c>
      <c r="L59" s="3" t="s">
        <v>12</v>
      </c>
      <c r="O59" s="2" t="s">
        <v>12</v>
      </c>
    </row>
    <row r="60" spans="1:15" s="2" customFormat="1" ht="19.5" customHeight="1">
      <c r="A60" s="38" t="s">
        <v>33</v>
      </c>
      <c r="B60" s="23">
        <v>390</v>
      </c>
      <c r="C60" s="28" t="s">
        <v>99</v>
      </c>
      <c r="D60" s="25" t="s">
        <v>58</v>
      </c>
      <c r="E60" s="25">
        <f>6770+180</f>
        <v>6950</v>
      </c>
      <c r="F60" s="25">
        <f>7389+195</f>
        <v>7584</v>
      </c>
      <c r="G60" s="26">
        <f t="shared" si="12"/>
        <v>1.0912230215827339</v>
      </c>
      <c r="H60" s="25">
        <f t="shared" si="10"/>
        <v>204.93996143469917</v>
      </c>
      <c r="I60" s="20">
        <v>0</v>
      </c>
      <c r="J60" s="39">
        <f t="shared" si="11"/>
        <v>7584</v>
      </c>
      <c r="K60" s="116" t="s">
        <v>12</v>
      </c>
      <c r="L60" s="3" t="s">
        <v>12</v>
      </c>
      <c r="O60" s="2" t="s">
        <v>12</v>
      </c>
    </row>
    <row r="61" spans="1:15" s="2" customFormat="1" ht="19.5" customHeight="1">
      <c r="A61" s="38" t="s">
        <v>8</v>
      </c>
      <c r="B61" s="23">
        <v>4880</v>
      </c>
      <c r="C61" s="100">
        <v>5720.7</v>
      </c>
      <c r="D61" s="31">
        <f>C61/B61</f>
        <v>1.1722745901639344</v>
      </c>
      <c r="E61" s="25">
        <v>10340</v>
      </c>
      <c r="F61" s="25">
        <v>10901</v>
      </c>
      <c r="G61" s="26">
        <f t="shared" si="12"/>
        <v>1.054255319148936</v>
      </c>
      <c r="H61" s="25">
        <f t="shared" si="10"/>
        <v>294.57417188814026</v>
      </c>
      <c r="I61" s="20">
        <v>0</v>
      </c>
      <c r="J61" s="39">
        <f t="shared" si="11"/>
        <v>10901</v>
      </c>
      <c r="K61" s="116" t="s">
        <v>12</v>
      </c>
      <c r="L61" s="3" t="s">
        <v>12</v>
      </c>
      <c r="O61" s="2" t="s">
        <v>12</v>
      </c>
    </row>
    <row r="62" spans="1:15" s="2" customFormat="1" ht="19.5" customHeight="1">
      <c r="A62" s="38" t="s">
        <v>49</v>
      </c>
      <c r="B62" s="23">
        <v>2110</v>
      </c>
      <c r="C62" s="100">
        <v>2372</v>
      </c>
      <c r="D62" s="31">
        <f>C62/B62</f>
        <v>1.1241706161137441</v>
      </c>
      <c r="E62" s="25" t="s">
        <v>24</v>
      </c>
      <c r="F62" s="25">
        <f>ROUND(F61*0.455,1)</f>
        <v>4960</v>
      </c>
      <c r="G62" s="26" t="s">
        <v>24</v>
      </c>
      <c r="H62" s="25">
        <f t="shared" si="10"/>
        <v>134.0324642294446</v>
      </c>
      <c r="I62" s="20">
        <v>0</v>
      </c>
      <c r="J62" s="39">
        <f t="shared" si="11"/>
        <v>4960</v>
      </c>
      <c r="K62" s="116" t="s">
        <v>12</v>
      </c>
      <c r="L62" s="3" t="s">
        <v>12</v>
      </c>
      <c r="O62" s="2" t="s">
        <v>12</v>
      </c>
    </row>
    <row r="63" spans="1:15" s="2" customFormat="1" ht="19.5" customHeight="1" thickBot="1">
      <c r="A63" s="89" t="s">
        <v>41</v>
      </c>
      <c r="B63" s="90" t="s">
        <v>24</v>
      </c>
      <c r="C63" s="91" t="s">
        <v>24</v>
      </c>
      <c r="D63" s="92" t="s">
        <v>24</v>
      </c>
      <c r="E63" s="92">
        <v>410</v>
      </c>
      <c r="F63" s="92">
        <v>433</v>
      </c>
      <c r="G63" s="26">
        <f>F63/E63</f>
        <v>1.0560975609756098</v>
      </c>
      <c r="H63" s="92">
        <f t="shared" si="10"/>
        <v>11.700817945836596</v>
      </c>
      <c r="I63" s="93">
        <v>0</v>
      </c>
      <c r="J63" s="39">
        <f t="shared" si="11"/>
        <v>433</v>
      </c>
      <c r="K63" s="116" t="s">
        <v>12</v>
      </c>
      <c r="L63" s="3" t="s">
        <v>12</v>
      </c>
      <c r="O63" s="2" t="s">
        <v>12</v>
      </c>
    </row>
    <row r="64" spans="1:15" s="2" customFormat="1" ht="19.5" customHeight="1">
      <c r="A64" s="94" t="s">
        <v>16</v>
      </c>
      <c r="B64" s="95">
        <v>5790</v>
      </c>
      <c r="C64" s="101">
        <v>8189</v>
      </c>
      <c r="D64" s="102">
        <f>C64/B64</f>
        <v>1.41433506044905</v>
      </c>
      <c r="E64" s="96" t="s">
        <v>24</v>
      </c>
      <c r="F64" s="96">
        <f>F43+F53+F55+F57+F61+F63</f>
        <v>33678</v>
      </c>
      <c r="G64" s="97" t="s">
        <v>24</v>
      </c>
      <c r="H64" s="96">
        <f>H43+H53+H55+H57+H61+H63</f>
        <v>910.069623048233</v>
      </c>
      <c r="I64" s="96">
        <f>I43+I53+I55+I57+I61+I63</f>
        <v>0</v>
      </c>
      <c r="J64" s="279" t="s">
        <v>106</v>
      </c>
      <c r="K64" s="116" t="s">
        <v>12</v>
      </c>
      <c r="L64" s="3" t="s">
        <v>12</v>
      </c>
      <c r="O64" s="2" t="s">
        <v>12</v>
      </c>
    </row>
    <row r="65" spans="1:15" s="2" customFormat="1" ht="19.5" customHeight="1">
      <c r="A65" s="38" t="s">
        <v>14</v>
      </c>
      <c r="B65" s="23">
        <v>5420</v>
      </c>
      <c r="C65" s="100">
        <v>7718.5</v>
      </c>
      <c r="D65" s="31">
        <f>C65/B65</f>
        <v>1.4240774907749076</v>
      </c>
      <c r="E65" s="25" t="s">
        <v>24</v>
      </c>
      <c r="F65" s="25">
        <f>F47+F59</f>
        <v>14401</v>
      </c>
      <c r="G65" s="32" t="s">
        <v>24</v>
      </c>
      <c r="H65" s="25">
        <f>H47+H59</f>
        <v>389.1535317274661</v>
      </c>
      <c r="I65" s="25">
        <f>I47+I59</f>
        <v>0</v>
      </c>
      <c r="J65" s="280"/>
      <c r="K65" s="116" t="s">
        <v>12</v>
      </c>
      <c r="L65" s="3" t="s">
        <v>12</v>
      </c>
      <c r="N65" s="2" t="s">
        <v>12</v>
      </c>
      <c r="O65" s="2" t="s">
        <v>12</v>
      </c>
    </row>
    <row r="66" spans="1:15" s="2" customFormat="1" ht="19.5" customHeight="1">
      <c r="A66" s="40" t="s">
        <v>15</v>
      </c>
      <c r="B66" s="27" t="s">
        <v>35</v>
      </c>
      <c r="C66" s="28" t="s">
        <v>35</v>
      </c>
      <c r="D66" s="25" t="s">
        <v>24</v>
      </c>
      <c r="E66" s="25" t="s">
        <v>24</v>
      </c>
      <c r="F66" s="25">
        <f>F56+F58+F60</f>
        <v>13621</v>
      </c>
      <c r="G66" s="32" t="s">
        <v>24</v>
      </c>
      <c r="H66" s="25">
        <f>H56+H58+H60</f>
        <v>368.0758458204163</v>
      </c>
      <c r="I66" s="25">
        <f>I56+I58+I60</f>
        <v>0</v>
      </c>
      <c r="J66" s="280"/>
      <c r="K66" s="116" t="s">
        <v>12</v>
      </c>
      <c r="L66" s="3" t="s">
        <v>12</v>
      </c>
      <c r="O66" s="2" t="s">
        <v>12</v>
      </c>
    </row>
    <row r="67" spans="1:15" s="2" customFormat="1" ht="19.5" customHeight="1">
      <c r="A67" s="38" t="s">
        <v>17</v>
      </c>
      <c r="B67" s="23">
        <v>2020</v>
      </c>
      <c r="C67" s="100">
        <v>5694</v>
      </c>
      <c r="D67" s="31">
        <f>C67/B67</f>
        <v>2.8188118811881187</v>
      </c>
      <c r="E67" s="25" t="s">
        <v>24</v>
      </c>
      <c r="F67" s="25">
        <f>F64+F65+F66</f>
        <v>61700</v>
      </c>
      <c r="G67" s="32" t="s">
        <v>24</v>
      </c>
      <c r="H67" s="25">
        <f>H64+H65+H66</f>
        <v>1667.2990005961155</v>
      </c>
      <c r="I67" s="25">
        <f>I64+I65+I66</f>
        <v>0</v>
      </c>
      <c r="J67" s="280"/>
      <c r="K67" s="116" t="s">
        <v>12</v>
      </c>
      <c r="L67" s="3" t="s">
        <v>12</v>
      </c>
      <c r="O67" s="2" t="s">
        <v>12</v>
      </c>
    </row>
    <row r="68" spans="1:15" s="2" customFormat="1" ht="19.5" customHeight="1" thickBot="1">
      <c r="A68" s="41" t="s">
        <v>34</v>
      </c>
      <c r="B68" s="42" t="s">
        <v>35</v>
      </c>
      <c r="C68" s="43" t="s">
        <v>35</v>
      </c>
      <c r="D68" s="44" t="s">
        <v>24</v>
      </c>
      <c r="E68" s="44" t="s">
        <v>24</v>
      </c>
      <c r="F68" s="44">
        <f>F44+F45+F46+F48+F49+F50+F51</f>
        <v>82439.6</v>
      </c>
      <c r="G68" s="45" t="s">
        <v>24</v>
      </c>
      <c r="H68" s="44">
        <f>H44+H45+H46+H48+H49+H50+H51</f>
        <v>1483.6475019275363</v>
      </c>
      <c r="I68" s="44">
        <f>I44+I45+I46+I48+I49+I50+I51</f>
        <v>27535.8</v>
      </c>
      <c r="J68" s="281"/>
      <c r="K68" s="116" t="s">
        <v>12</v>
      </c>
      <c r="L68" s="3" t="s">
        <v>12</v>
      </c>
      <c r="O68" s="2" t="s">
        <v>12</v>
      </c>
    </row>
    <row r="69" spans="1:11" ht="15.75">
      <c r="A69" s="46" t="s">
        <v>65</v>
      </c>
      <c r="B69" s="47"/>
      <c r="C69" s="47"/>
      <c r="D69" s="47"/>
      <c r="E69" s="47"/>
      <c r="F69" s="47"/>
      <c r="G69" s="47"/>
      <c r="H69" s="48"/>
      <c r="I69" s="48"/>
      <c r="J69" s="49"/>
      <c r="K69" s="62"/>
    </row>
    <row r="70" spans="1:11" ht="15.75">
      <c r="A70" s="50" t="s">
        <v>46</v>
      </c>
      <c r="B70" s="319" t="s">
        <v>47</v>
      </c>
      <c r="C70" s="319"/>
      <c r="D70" s="319"/>
      <c r="E70" s="319"/>
      <c r="F70" s="319"/>
      <c r="G70" s="319"/>
      <c r="H70" s="286"/>
      <c r="I70" s="286"/>
      <c r="J70" s="287"/>
      <c r="K70" s="62"/>
    </row>
    <row r="71" spans="1:11" ht="15">
      <c r="A71" s="38" t="s">
        <v>17</v>
      </c>
      <c r="B71" s="285" t="s">
        <v>100</v>
      </c>
      <c r="C71" s="285"/>
      <c r="D71" s="285"/>
      <c r="E71" s="285"/>
      <c r="F71" s="285"/>
      <c r="G71" s="285"/>
      <c r="H71" s="285"/>
      <c r="I71" s="286"/>
      <c r="J71" s="287"/>
      <c r="K71" s="62" t="s">
        <v>12</v>
      </c>
    </row>
    <row r="72" spans="1:11" ht="15">
      <c r="A72" s="38" t="s">
        <v>16</v>
      </c>
      <c r="B72" s="285" t="s">
        <v>101</v>
      </c>
      <c r="C72" s="285"/>
      <c r="D72" s="285"/>
      <c r="E72" s="285"/>
      <c r="F72" s="285"/>
      <c r="G72" s="285"/>
      <c r="H72" s="285"/>
      <c r="I72" s="286"/>
      <c r="J72" s="287"/>
      <c r="K72" s="62"/>
    </row>
    <row r="73" spans="1:11" ht="15">
      <c r="A73" s="38" t="s">
        <v>14</v>
      </c>
      <c r="B73" s="285" t="s">
        <v>104</v>
      </c>
      <c r="C73" s="285"/>
      <c r="D73" s="285"/>
      <c r="E73" s="285"/>
      <c r="F73" s="285"/>
      <c r="G73" s="285"/>
      <c r="H73" s="285"/>
      <c r="I73" s="286"/>
      <c r="J73" s="287"/>
      <c r="K73" s="62"/>
    </row>
    <row r="74" spans="1:11" ht="15">
      <c r="A74" s="38" t="s">
        <v>63</v>
      </c>
      <c r="B74" s="285" t="s">
        <v>102</v>
      </c>
      <c r="C74" s="285"/>
      <c r="D74" s="285"/>
      <c r="E74" s="285"/>
      <c r="F74" s="285"/>
      <c r="G74" s="285"/>
      <c r="H74" s="285"/>
      <c r="I74" s="286"/>
      <c r="J74" s="287"/>
      <c r="K74" s="62"/>
    </row>
    <row r="75" spans="1:11" ht="15">
      <c r="A75" s="38" t="s">
        <v>23</v>
      </c>
      <c r="B75" s="285" t="s">
        <v>103</v>
      </c>
      <c r="C75" s="285"/>
      <c r="D75" s="285"/>
      <c r="E75" s="285"/>
      <c r="F75" s="285"/>
      <c r="G75" s="285"/>
      <c r="H75" s="285"/>
      <c r="I75" s="286"/>
      <c r="J75" s="287"/>
      <c r="K75" s="62"/>
    </row>
    <row r="76" spans="1:11" ht="15.75" thickBot="1">
      <c r="A76" s="41" t="s">
        <v>7</v>
      </c>
      <c r="B76" s="288" t="s">
        <v>104</v>
      </c>
      <c r="C76" s="288"/>
      <c r="D76" s="288"/>
      <c r="E76" s="288"/>
      <c r="F76" s="288"/>
      <c r="G76" s="288"/>
      <c r="H76" s="288"/>
      <c r="I76" s="289"/>
      <c r="J76" s="290"/>
      <c r="K76" s="62"/>
    </row>
    <row r="77" spans="1:10" ht="15.75" customHeight="1">
      <c r="A77" s="306" t="s">
        <v>119</v>
      </c>
      <c r="B77" s="306"/>
      <c r="C77" s="306"/>
      <c r="D77" s="306"/>
      <c r="E77" s="306"/>
      <c r="F77" s="306"/>
      <c r="G77" s="306"/>
      <c r="H77" s="306"/>
      <c r="I77" s="306"/>
      <c r="J77" s="306"/>
    </row>
    <row r="78" spans="1:10" ht="15" customHeight="1">
      <c r="A78" s="307"/>
      <c r="B78" s="307"/>
      <c r="C78" s="307"/>
      <c r="D78" s="307"/>
      <c r="E78" s="307"/>
      <c r="F78" s="307"/>
      <c r="G78" s="307"/>
      <c r="H78" s="307"/>
      <c r="I78" s="307"/>
      <c r="J78" s="307"/>
    </row>
    <row r="79" spans="1:10" ht="12.75">
      <c r="A79" s="307"/>
      <c r="B79" s="307"/>
      <c r="C79" s="307"/>
      <c r="D79" s="307"/>
      <c r="E79" s="307"/>
      <c r="F79" s="307"/>
      <c r="G79" s="307"/>
      <c r="H79" s="307"/>
      <c r="I79" s="307"/>
      <c r="J79" s="307"/>
    </row>
    <row r="80" spans="1:10" ht="12.75">
      <c r="A80" s="307"/>
      <c r="B80" s="307"/>
      <c r="C80" s="307"/>
      <c r="D80" s="307"/>
      <c r="E80" s="307"/>
      <c r="F80" s="307"/>
      <c r="G80" s="307"/>
      <c r="H80" s="307"/>
      <c r="I80" s="307"/>
      <c r="J80" s="307"/>
    </row>
    <row r="81" spans="1:10" ht="12.75">
      <c r="A81" s="307"/>
      <c r="B81" s="307"/>
      <c r="C81" s="307"/>
      <c r="D81" s="307"/>
      <c r="E81" s="307"/>
      <c r="F81" s="307"/>
      <c r="G81" s="307"/>
      <c r="H81" s="307"/>
      <c r="I81" s="307"/>
      <c r="J81" s="307"/>
    </row>
    <row r="82" spans="1:10" ht="12.75">
      <c r="A82" s="307"/>
      <c r="B82" s="307"/>
      <c r="C82" s="307"/>
      <c r="D82" s="307"/>
      <c r="E82" s="307"/>
      <c r="F82" s="307"/>
      <c r="G82" s="307"/>
      <c r="H82" s="307"/>
      <c r="I82" s="307"/>
      <c r="J82" s="307"/>
    </row>
  </sheetData>
  <sheetProtection/>
  <mergeCells count="20">
    <mergeCell ref="A77:J82"/>
    <mergeCell ref="B71:J71"/>
    <mergeCell ref="B72:J72"/>
    <mergeCell ref="B73:J73"/>
    <mergeCell ref="B74:J74"/>
    <mergeCell ref="C9:I9"/>
    <mergeCell ref="A38:J38"/>
    <mergeCell ref="A39:J39"/>
    <mergeCell ref="A40:J40"/>
    <mergeCell ref="B70:J70"/>
    <mergeCell ref="J64:J68"/>
    <mergeCell ref="C11:I11"/>
    <mergeCell ref="B75:J75"/>
    <mergeCell ref="B76:J76"/>
    <mergeCell ref="C3:I3"/>
    <mergeCell ref="C4:I4"/>
    <mergeCell ref="C5:I5"/>
    <mergeCell ref="C6:I6"/>
    <mergeCell ref="C8:I8"/>
    <mergeCell ref="C10:I10"/>
  </mergeCells>
  <printOptions gridLines="1" horizontalCentered="1" verticalCentered="1"/>
  <pageMargins left="0.25" right="0.25" top="0.25" bottom="0.25" header="0.3" footer="0.3"/>
  <pageSetup fitToHeight="1" fitToWidth="1" horizontalDpi="600" verticalDpi="600" orientation="portrait" scale="49" r:id="rId1"/>
  <rowBreaks count="1" manualBreakCount="1">
    <brk id="39" max="255" man="1"/>
  </rowBreaks>
  <colBreaks count="1" manualBreakCount="1">
    <brk id="7" max="82" man="1"/>
  </colBreaks>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A1" sqref="A1:B1"/>
    </sheetView>
  </sheetViews>
  <sheetFormatPr defaultColWidth="9.140625" defaultRowHeight="12.75"/>
  <cols>
    <col min="1" max="1" width="53.421875" style="0" customWidth="1"/>
    <col min="2" max="9" width="12.7109375" style="0" customWidth="1"/>
  </cols>
  <sheetData>
    <row r="1" spans="1:4" ht="15.75">
      <c r="A1" s="319" t="s">
        <v>122</v>
      </c>
      <c r="B1" s="319"/>
      <c r="C1" s="9"/>
      <c r="D1" s="223" t="s">
        <v>12</v>
      </c>
    </row>
    <row r="2" spans="1:5" ht="12.75">
      <c r="A2" s="200" t="s">
        <v>74</v>
      </c>
      <c r="B2" s="220">
        <f>'2nd IA Parameters'!B6</f>
        <v>1.0889</v>
      </c>
      <c r="C2" s="111" t="s">
        <v>12</v>
      </c>
      <c r="D2" s="112"/>
      <c r="E2" s="112" t="s">
        <v>12</v>
      </c>
    </row>
    <row r="3" spans="1:5" ht="12.75">
      <c r="A3" s="200" t="s">
        <v>75</v>
      </c>
      <c r="B3" s="221">
        <f>'2nd IA Parameters'!B7</f>
        <v>0.956</v>
      </c>
      <c r="C3" s="111"/>
      <c r="D3" s="112"/>
      <c r="E3" s="112"/>
    </row>
    <row r="4" spans="1:9" ht="12.75">
      <c r="A4" s="217" t="s">
        <v>76</v>
      </c>
      <c r="B4" s="217" t="s">
        <v>77</v>
      </c>
      <c r="C4" s="217" t="s">
        <v>17</v>
      </c>
      <c r="D4" s="217" t="s">
        <v>16</v>
      </c>
      <c r="E4" s="217" t="s">
        <v>14</v>
      </c>
      <c r="F4" s="217" t="s">
        <v>8</v>
      </c>
      <c r="G4" s="217" t="s">
        <v>49</v>
      </c>
      <c r="H4" s="217" t="s">
        <v>50</v>
      </c>
      <c r="I4" s="217" t="s">
        <v>7</v>
      </c>
    </row>
    <row r="5" spans="1:9" ht="12.75">
      <c r="A5" s="218" t="s">
        <v>53</v>
      </c>
      <c r="B5" s="114">
        <f>'2nd IA Parameters'!B18</f>
        <v>142333.1</v>
      </c>
      <c r="C5" s="114">
        <f>'2nd IA Parameters'!C18</f>
        <v>69007.2</v>
      </c>
      <c r="D5" s="114">
        <f>'2nd IA Parameters'!D18</f>
        <v>38042.8</v>
      </c>
      <c r="E5" s="114">
        <f>'2nd IA Parameters'!E18</f>
        <v>16650.4</v>
      </c>
      <c r="F5" s="114">
        <f>'2nd IA Parameters'!F18</f>
        <v>12437.5</v>
      </c>
      <c r="G5" s="114">
        <f>'2nd IA Parameters'!G18</f>
        <v>6324.4</v>
      </c>
      <c r="H5" s="114">
        <f>'2nd IA Parameters'!H18</f>
        <v>3060.8</v>
      </c>
      <c r="I5" s="114">
        <f>'2nd IA Parameters'!I18</f>
        <v>8803.7</v>
      </c>
    </row>
    <row r="6" spans="1:9" ht="12.75">
      <c r="A6" s="218" t="s">
        <v>11</v>
      </c>
      <c r="B6" s="114" t="s">
        <v>24</v>
      </c>
      <c r="C6" s="114">
        <f>'2nd IA Parameters'!C14</f>
        <v>5467</v>
      </c>
      <c r="D6" s="114">
        <f>'2nd IA Parameters'!D14</f>
        <v>7871</v>
      </c>
      <c r="E6" s="114">
        <f>'2nd IA Parameters'!E14</f>
        <v>7686</v>
      </c>
      <c r="F6" s="114">
        <f>'2nd IA Parameters'!F14</f>
        <v>5720.7</v>
      </c>
      <c r="G6" s="114">
        <f>'2nd IA Parameters'!G14</f>
        <v>2372</v>
      </c>
      <c r="H6" s="114">
        <f>'2nd IA Parameters'!H14</f>
        <v>1925</v>
      </c>
      <c r="I6" s="114">
        <f>'2nd IA Parameters'!I14</f>
        <v>5576</v>
      </c>
    </row>
    <row r="7" spans="1:9" ht="12.75">
      <c r="A7" s="218" t="s">
        <v>173</v>
      </c>
      <c r="B7" s="213">
        <f>'2nd IA Parameters'!B8</f>
        <v>156863</v>
      </c>
      <c r="C7" s="213">
        <v>58914</v>
      </c>
      <c r="D7" s="213">
        <v>32128</v>
      </c>
      <c r="E7" s="213">
        <v>13704</v>
      </c>
      <c r="F7" s="213">
        <v>10304</v>
      </c>
      <c r="G7" s="213">
        <v>4997.44</v>
      </c>
      <c r="H7" s="213">
        <v>2349.582</v>
      </c>
      <c r="I7" s="213">
        <v>6654</v>
      </c>
    </row>
    <row r="8" spans="1:9" ht="12.75">
      <c r="A8" s="218" t="s">
        <v>78</v>
      </c>
      <c r="B8" s="213">
        <f>'2nd IA Parameters'!B16</f>
        <v>26150.2</v>
      </c>
      <c r="C8" s="114">
        <v>0</v>
      </c>
      <c r="D8" s="114">
        <v>0</v>
      </c>
      <c r="E8" s="114">
        <v>0</v>
      </c>
      <c r="F8" s="114">
        <v>0</v>
      </c>
      <c r="G8" s="114">
        <v>0</v>
      </c>
      <c r="H8" s="114">
        <v>0</v>
      </c>
      <c r="I8" s="114">
        <v>0</v>
      </c>
    </row>
    <row r="9" spans="1:9" ht="12.75">
      <c r="A9" s="218" t="s">
        <v>79</v>
      </c>
      <c r="B9" s="213">
        <f>B7-B8</f>
        <v>130712.8</v>
      </c>
      <c r="C9" s="213">
        <f>C7-C8</f>
        <v>58914</v>
      </c>
      <c r="D9" s="213">
        <f aca="true" t="shared" si="0" ref="D9:I9">D7-D8</f>
        <v>32128</v>
      </c>
      <c r="E9" s="213">
        <f t="shared" si="0"/>
        <v>13704</v>
      </c>
      <c r="F9" s="213">
        <f t="shared" si="0"/>
        <v>10304</v>
      </c>
      <c r="G9" s="213">
        <f t="shared" si="0"/>
        <v>4997.44</v>
      </c>
      <c r="H9" s="213">
        <f t="shared" si="0"/>
        <v>2349.582</v>
      </c>
      <c r="I9" s="213">
        <f t="shared" si="0"/>
        <v>6654</v>
      </c>
    </row>
    <row r="10" spans="1:9" ht="12.75">
      <c r="A10" s="219" t="s">
        <v>81</v>
      </c>
      <c r="B10" s="214"/>
      <c r="C10" s="214"/>
      <c r="D10" s="214"/>
      <c r="E10" s="214"/>
      <c r="F10" s="214"/>
      <c r="G10" s="214"/>
      <c r="H10" s="214"/>
      <c r="I10" s="214"/>
    </row>
    <row r="11" spans="1:10" ht="12.75">
      <c r="A11" s="218" t="s">
        <v>147</v>
      </c>
      <c r="B11" s="113">
        <v>0.05</v>
      </c>
      <c r="C11" s="113">
        <v>0.062</v>
      </c>
      <c r="D11" s="113">
        <v>0.064</v>
      </c>
      <c r="E11" s="113">
        <v>0.07</v>
      </c>
      <c r="F11" s="113">
        <v>0.073</v>
      </c>
      <c r="G11" s="113">
        <v>0.073</v>
      </c>
      <c r="H11" s="113">
        <v>0.057</v>
      </c>
      <c r="I11" s="113">
        <v>0.064</v>
      </c>
      <c r="J11" s="199" t="s">
        <v>12</v>
      </c>
    </row>
    <row r="12" spans="1:9" ht="12.75">
      <c r="A12" s="218" t="s">
        <v>80</v>
      </c>
      <c r="B12" s="133">
        <f>B9*B11*$B$2*$B$3</f>
        <v>6803.5254265759995</v>
      </c>
      <c r="C12" s="133">
        <f>C9*C11*$B$2*$B$3</f>
        <v>3802.3850170511996</v>
      </c>
      <c r="D12" s="133">
        <f aca="true" t="shared" si="1" ref="D12:I12">D9*D11*$B$2*$B$3</f>
        <v>2140.4720201728</v>
      </c>
      <c r="E12" s="133">
        <f t="shared" si="1"/>
        <v>998.599352352</v>
      </c>
      <c r="F12" s="133">
        <f t="shared" si="1"/>
        <v>783.0231465727999</v>
      </c>
      <c r="G12" s="133">
        <f t="shared" si="1"/>
        <v>379.7662260878079</v>
      </c>
      <c r="H12" s="133">
        <f t="shared" si="1"/>
        <v>139.41559359038158</v>
      </c>
      <c r="I12" s="133">
        <f t="shared" si="1"/>
        <v>443.3111560704</v>
      </c>
    </row>
    <row r="13" spans="1:9" ht="12.75">
      <c r="A13" s="219" t="s">
        <v>82</v>
      </c>
      <c r="B13" s="134"/>
      <c r="C13" s="134"/>
      <c r="D13" s="134"/>
      <c r="E13" s="134"/>
      <c r="F13" s="134"/>
      <c r="G13" s="134"/>
      <c r="H13" s="134"/>
      <c r="I13" s="134"/>
    </row>
    <row r="14" spans="1:9" ht="12.75">
      <c r="A14" s="218" t="s">
        <v>147</v>
      </c>
      <c r="B14" s="113">
        <v>0.086</v>
      </c>
      <c r="C14" s="113">
        <v>0.131</v>
      </c>
      <c r="D14" s="113">
        <v>0.181</v>
      </c>
      <c r="E14" s="113">
        <v>0.144</v>
      </c>
      <c r="F14" s="113">
        <v>0.188</v>
      </c>
      <c r="G14" s="113">
        <v>0.162</v>
      </c>
      <c r="H14" s="113">
        <v>0.143</v>
      </c>
      <c r="I14" s="113">
        <v>0.154</v>
      </c>
    </row>
    <row r="15" spans="1:9" ht="12.75">
      <c r="A15" s="218" t="s">
        <v>80</v>
      </c>
      <c r="B15" s="215">
        <f>B9*B14*$B$2*$B$3</f>
        <v>11702.063733710718</v>
      </c>
      <c r="C15" s="215">
        <f>C9*C14*$B$2*$B$3</f>
        <v>8034.0715682856</v>
      </c>
      <c r="D15" s="215">
        <f aca="true" t="shared" si="2" ref="D15:I15">D9*D14*$B$2*$B$3</f>
        <v>6053.522432051199</v>
      </c>
      <c r="E15" s="215">
        <f t="shared" si="2"/>
        <v>2054.2615248383995</v>
      </c>
      <c r="F15" s="215">
        <f t="shared" si="2"/>
        <v>2016.5527610368</v>
      </c>
      <c r="G15" s="215">
        <f t="shared" si="2"/>
        <v>842.7688852907519</v>
      </c>
      <c r="H15" s="215">
        <f t="shared" si="2"/>
        <v>349.76192777937837</v>
      </c>
      <c r="I15" s="215">
        <f t="shared" si="2"/>
        <v>1066.7174692943997</v>
      </c>
    </row>
    <row r="16" spans="1:9" ht="12.75">
      <c r="A16" s="219" t="s">
        <v>110</v>
      </c>
      <c r="B16" s="134"/>
      <c r="C16" s="134"/>
      <c r="D16" s="134"/>
      <c r="E16" s="134"/>
      <c r="F16" s="134"/>
      <c r="G16" s="134"/>
      <c r="H16" s="134"/>
      <c r="I16" s="134"/>
    </row>
    <row r="17" spans="1:9" ht="12.75">
      <c r="A17" s="218" t="s">
        <v>71</v>
      </c>
      <c r="B17" s="115">
        <f>ROUND(B5-B12,1)</f>
        <v>135529.6</v>
      </c>
      <c r="C17" s="115">
        <f>ROUND(C5-C6-C12,1)</f>
        <v>59737.8</v>
      </c>
      <c r="D17" s="115">
        <f aca="true" t="shared" si="3" ref="D17:I17">ROUND(D5-D6-D12,1)</f>
        <v>28031.3</v>
      </c>
      <c r="E17" s="115">
        <f t="shared" si="3"/>
        <v>7965.8</v>
      </c>
      <c r="F17" s="115">
        <f t="shared" si="3"/>
        <v>5933.8</v>
      </c>
      <c r="G17" s="115">
        <f t="shared" si="3"/>
        <v>3572.6</v>
      </c>
      <c r="H17" s="115">
        <f t="shared" si="3"/>
        <v>996.4</v>
      </c>
      <c r="I17" s="115">
        <f t="shared" si="3"/>
        <v>2784.4</v>
      </c>
    </row>
    <row r="18" spans="1:9" ht="12.75">
      <c r="A18" s="218" t="s">
        <v>83</v>
      </c>
      <c r="B18" s="115">
        <f>ROUND(B5-B15,1)</f>
        <v>130631</v>
      </c>
      <c r="C18" s="115">
        <f>ROUND(C5-C6-C15,1)</f>
        <v>55506.1</v>
      </c>
      <c r="D18" s="115">
        <f aca="true" t="shared" si="4" ref="D18:I18">ROUND(D5-D6-D15,1)</f>
        <v>24118.3</v>
      </c>
      <c r="E18" s="115">
        <f t="shared" si="4"/>
        <v>6910.1</v>
      </c>
      <c r="F18" s="115">
        <f t="shared" si="4"/>
        <v>4700.2</v>
      </c>
      <c r="G18" s="115">
        <f t="shared" si="4"/>
        <v>3109.6</v>
      </c>
      <c r="H18" s="115">
        <f t="shared" si="4"/>
        <v>786</v>
      </c>
      <c r="I18" s="115">
        <f t="shared" si="4"/>
        <v>2161</v>
      </c>
    </row>
    <row r="19" spans="1:9" ht="12.75">
      <c r="A19" s="219" t="s">
        <v>109</v>
      </c>
      <c r="B19" s="134"/>
      <c r="C19" s="134"/>
      <c r="D19" s="134"/>
      <c r="E19" s="134"/>
      <c r="F19" s="134"/>
      <c r="G19" s="134"/>
      <c r="H19" s="134"/>
      <c r="I19" s="134"/>
    </row>
    <row r="20" spans="1:9" ht="12.75">
      <c r="A20" s="218" t="s">
        <v>71</v>
      </c>
      <c r="B20" s="216">
        <f>(B8*$B$2-B8*B11*$B$2*$B$3)/(B8*$B$2)</f>
        <v>0.9522</v>
      </c>
      <c r="C20" s="222" t="s">
        <v>24</v>
      </c>
      <c r="D20" s="222" t="s">
        <v>24</v>
      </c>
      <c r="E20" s="222" t="s">
        <v>24</v>
      </c>
      <c r="F20" s="222" t="s">
        <v>24</v>
      </c>
      <c r="G20" s="222" t="s">
        <v>24</v>
      </c>
      <c r="H20" s="222" t="s">
        <v>24</v>
      </c>
      <c r="I20" s="222" t="s">
        <v>24</v>
      </c>
    </row>
    <row r="21" spans="1:9" ht="12.75">
      <c r="A21" s="218" t="s">
        <v>83</v>
      </c>
      <c r="B21" s="216">
        <f>(B8*$B$2-B8*B14*$B$2*$B$3)/(B8*$B$2)</f>
        <v>0.917784</v>
      </c>
      <c r="C21" s="222" t="s">
        <v>24</v>
      </c>
      <c r="D21" s="222" t="s">
        <v>24</v>
      </c>
      <c r="E21" s="222" t="s">
        <v>24</v>
      </c>
      <c r="F21" s="222" t="s">
        <v>24</v>
      </c>
      <c r="G21" s="222" t="s">
        <v>24</v>
      </c>
      <c r="H21" s="222" t="s">
        <v>24</v>
      </c>
      <c r="I21" s="222" t="s">
        <v>24</v>
      </c>
    </row>
    <row r="22" spans="1:9" ht="12.75">
      <c r="A22" s="250"/>
      <c r="B22" s="138"/>
      <c r="C22" s="138"/>
      <c r="D22" s="138"/>
      <c r="E22" s="138"/>
      <c r="F22" s="138"/>
      <c r="G22" s="138"/>
      <c r="H22" s="138"/>
      <c r="I22" s="138"/>
    </row>
    <row r="23" spans="1:9" ht="12.75">
      <c r="A23" s="219" t="s">
        <v>172</v>
      </c>
      <c r="B23" s="217" t="s">
        <v>77</v>
      </c>
      <c r="C23" s="217" t="s">
        <v>17</v>
      </c>
      <c r="D23" s="217" t="s">
        <v>16</v>
      </c>
      <c r="E23" s="217" t="s">
        <v>14</v>
      </c>
      <c r="F23" s="217" t="s">
        <v>8</v>
      </c>
      <c r="G23" s="217" t="s">
        <v>49</v>
      </c>
      <c r="H23" s="217" t="s">
        <v>50</v>
      </c>
      <c r="I23" s="217" t="s">
        <v>7</v>
      </c>
    </row>
    <row r="24" spans="1:9" ht="12.75">
      <c r="A24" s="228" t="s">
        <v>152</v>
      </c>
      <c r="B24" s="163">
        <f>12165.9-2702.4</f>
        <v>9463.5</v>
      </c>
      <c r="C24" s="163">
        <f>5920.7-1246.7</f>
        <v>4674</v>
      </c>
      <c r="D24" s="163">
        <f>2322.2-541.5</f>
        <v>1780.6999999999998</v>
      </c>
      <c r="E24" s="163">
        <f>1852.2-364.9</f>
        <v>1487.3000000000002</v>
      </c>
      <c r="F24" s="163">
        <f>775.7-176.5</f>
        <v>599.2</v>
      </c>
      <c r="G24" s="163">
        <f>340.7-29.3</f>
        <v>311.4</v>
      </c>
      <c r="H24" s="163">
        <f>140.7-48.4</f>
        <v>92.29999999999998</v>
      </c>
      <c r="I24" s="163">
        <f>708.8-151.8</f>
        <v>557</v>
      </c>
    </row>
    <row r="25" spans="1:9" ht="12.75">
      <c r="A25" s="227" t="s">
        <v>151</v>
      </c>
      <c r="B25" s="225">
        <f>1441-87.6</f>
        <v>1353.4</v>
      </c>
      <c r="C25" s="225">
        <f>1076.8-74.3</f>
        <v>1002.5</v>
      </c>
      <c r="D25" s="225">
        <f>442.8-28.2</f>
        <v>414.6</v>
      </c>
      <c r="E25" s="225">
        <f>375.9+6.8</f>
        <v>382.7</v>
      </c>
      <c r="F25" s="225">
        <f>142.6+0.4</f>
        <v>143</v>
      </c>
      <c r="G25" s="225">
        <f>97.1+3.1</f>
        <v>100.19999999999999</v>
      </c>
      <c r="H25" s="225">
        <f>78.9-29.9</f>
        <v>49.00000000000001</v>
      </c>
      <c r="I25" s="225">
        <f>182.3+9.3</f>
        <v>191.60000000000002</v>
      </c>
    </row>
    <row r="26" spans="1:9" ht="12.75">
      <c r="A26" s="161" t="s">
        <v>149</v>
      </c>
      <c r="B26" s="225">
        <f>136367.8+180</f>
        <v>136547.8</v>
      </c>
      <c r="C26" s="225">
        <f>60178.5+166.7</f>
        <v>60345.2</v>
      </c>
      <c r="D26" s="225">
        <f>29789-238.2</f>
        <v>29550.8</v>
      </c>
      <c r="E26" s="225">
        <f>8896+716.8</f>
        <v>9612.8</v>
      </c>
      <c r="F26" s="225">
        <f>6664.7+108.3</f>
        <v>6773</v>
      </c>
      <c r="G26" s="225">
        <f>3379.7+118.6</f>
        <v>3498.2999999999997</v>
      </c>
      <c r="H26" s="225">
        <f>1219.6+9</f>
        <v>1228.6</v>
      </c>
      <c r="I26" s="225">
        <f>4723.5+7.1</f>
        <v>4730.6</v>
      </c>
    </row>
    <row r="27" spans="1:9" ht="12.75">
      <c r="A27" s="161" t="s">
        <v>153</v>
      </c>
      <c r="B27" s="225">
        <f>SUM(B25:B26)</f>
        <v>137901.19999999998</v>
      </c>
      <c r="C27" s="225">
        <f aca="true" t="shared" si="5" ref="C27:I27">SUM(C25:C26)</f>
        <v>61347.7</v>
      </c>
      <c r="D27" s="225">
        <f t="shared" si="5"/>
        <v>29965.399999999998</v>
      </c>
      <c r="E27" s="225">
        <f t="shared" si="5"/>
        <v>9995.5</v>
      </c>
      <c r="F27" s="225">
        <f t="shared" si="5"/>
        <v>6916</v>
      </c>
      <c r="G27" s="225">
        <f t="shared" si="5"/>
        <v>3598.4999999999995</v>
      </c>
      <c r="H27" s="225">
        <f t="shared" si="5"/>
        <v>1277.6</v>
      </c>
      <c r="I27" s="225">
        <f t="shared" si="5"/>
        <v>4922.200000000001</v>
      </c>
    </row>
    <row r="28" spans="1:9" ht="12.75">
      <c r="A28" s="161" t="s">
        <v>150</v>
      </c>
      <c r="B28" s="225">
        <f>B24+B27</f>
        <v>147364.69999999998</v>
      </c>
      <c r="C28" s="225">
        <f aca="true" t="shared" si="6" ref="C28:I28">C24+C27</f>
        <v>66021.7</v>
      </c>
      <c r="D28" s="225">
        <f t="shared" si="6"/>
        <v>31746.1</v>
      </c>
      <c r="E28" s="225">
        <f t="shared" si="6"/>
        <v>11482.8</v>
      </c>
      <c r="F28" s="225">
        <f t="shared" si="6"/>
        <v>7515.2</v>
      </c>
      <c r="G28" s="225">
        <f t="shared" si="6"/>
        <v>3909.8999999999996</v>
      </c>
      <c r="H28" s="225">
        <f t="shared" si="6"/>
        <v>1369.8999999999999</v>
      </c>
      <c r="I28" s="225">
        <f t="shared" si="6"/>
        <v>5479.200000000001</v>
      </c>
    </row>
  </sheetData>
  <sheetProtection/>
  <mergeCells count="1">
    <mergeCell ref="A1:B1"/>
  </mergeCells>
  <printOptions horizontalCentered="1" verticalCentered="1"/>
  <pageMargins left="0.25" right="0.25" top="0.25" bottom="0.25" header="0.3" footer="0.3"/>
  <pageSetup fitToHeight="1" fitToWidth="1" horizontalDpi="600" verticalDpi="6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 sqref="A1:I1"/>
    </sheetView>
  </sheetViews>
  <sheetFormatPr defaultColWidth="9.140625" defaultRowHeight="12.75"/>
  <cols>
    <col min="1" max="1" width="57.00390625" style="0" customWidth="1"/>
    <col min="2" max="9" width="16.7109375" style="0" customWidth="1"/>
  </cols>
  <sheetData>
    <row r="1" spans="1:9" ht="19.5" customHeight="1">
      <c r="A1" s="266" t="s">
        <v>171</v>
      </c>
      <c r="B1" s="267"/>
      <c r="C1" s="267"/>
      <c r="D1" s="267"/>
      <c r="E1" s="267"/>
      <c r="F1" s="267"/>
      <c r="G1" s="267"/>
      <c r="H1" s="267"/>
      <c r="I1" s="268"/>
    </row>
    <row r="2" spans="1:9" ht="15" customHeight="1">
      <c r="A2" s="203"/>
      <c r="B2" s="209" t="s">
        <v>12</v>
      </c>
      <c r="C2" s="265" t="s">
        <v>62</v>
      </c>
      <c r="D2" s="265"/>
      <c r="E2" s="265"/>
      <c r="F2" s="265"/>
      <c r="G2" s="265"/>
      <c r="H2" s="265"/>
      <c r="I2" s="265"/>
    </row>
    <row r="3" spans="1:9" ht="15" customHeight="1">
      <c r="A3" s="162" t="s">
        <v>12</v>
      </c>
      <c r="B3" s="192" t="s">
        <v>13</v>
      </c>
      <c r="C3" s="192" t="s">
        <v>17</v>
      </c>
      <c r="D3" s="192" t="s">
        <v>16</v>
      </c>
      <c r="E3" s="192" t="s">
        <v>14</v>
      </c>
      <c r="F3" s="192" t="s">
        <v>8</v>
      </c>
      <c r="G3" s="192" t="s">
        <v>49</v>
      </c>
      <c r="H3" s="192" t="s">
        <v>50</v>
      </c>
      <c r="I3" s="192" t="s">
        <v>7</v>
      </c>
    </row>
    <row r="4" spans="1:9" ht="15" customHeight="1">
      <c r="A4" s="198" t="s">
        <v>54</v>
      </c>
      <c r="B4" s="15">
        <f>'2nd IA Parameters'!B20</f>
        <v>341.5014635444386</v>
      </c>
      <c r="C4" s="14" t="s">
        <v>12</v>
      </c>
      <c r="D4" s="14" t="s">
        <v>12</v>
      </c>
      <c r="E4" s="14" t="s">
        <v>12</v>
      </c>
      <c r="F4" s="14" t="s">
        <v>12</v>
      </c>
      <c r="G4" s="14" t="s">
        <v>12</v>
      </c>
      <c r="H4" s="14" t="s">
        <v>12</v>
      </c>
      <c r="I4" s="14" t="s">
        <v>12</v>
      </c>
    </row>
    <row r="5" spans="1:9" ht="15" customHeight="1">
      <c r="A5" s="194" t="s">
        <v>152</v>
      </c>
      <c r="B5" s="15"/>
      <c r="C5" s="15"/>
      <c r="D5" s="15"/>
      <c r="E5" s="15"/>
      <c r="F5" s="15"/>
      <c r="G5" s="15"/>
      <c r="H5" s="15"/>
      <c r="I5" s="15"/>
    </row>
    <row r="6" spans="1:9" ht="15" customHeight="1">
      <c r="A6" s="198" t="s">
        <v>154</v>
      </c>
      <c r="B6" s="14">
        <v>125.47</v>
      </c>
      <c r="C6" s="14">
        <v>125.47</v>
      </c>
      <c r="D6" s="14">
        <v>125.47</v>
      </c>
      <c r="E6" s="14">
        <v>125.47</v>
      </c>
      <c r="F6" s="14">
        <v>125.47</v>
      </c>
      <c r="G6" s="14">
        <v>213.97</v>
      </c>
      <c r="H6" s="14">
        <v>125.47</v>
      </c>
      <c r="I6" s="14">
        <v>125.47</v>
      </c>
    </row>
    <row r="7" spans="1:9" ht="15" customHeight="1">
      <c r="A7" s="198" t="s">
        <v>174</v>
      </c>
      <c r="B7" s="229">
        <f>MAX(0.3*$B$4,0.24*B6,20)*365</f>
        <v>37394.410258116026</v>
      </c>
      <c r="C7" s="229">
        <f>MAX(0.3*$B$4,0.24*C6,20)*365</f>
        <v>37394.410258116026</v>
      </c>
      <c r="D7" s="229">
        <f aca="true" t="shared" si="0" ref="D7:I7">MAX(0.3*$B$4,0.24*D6,20)*365</f>
        <v>37394.410258116026</v>
      </c>
      <c r="E7" s="229">
        <f t="shared" si="0"/>
        <v>37394.410258116026</v>
      </c>
      <c r="F7" s="229">
        <f t="shared" si="0"/>
        <v>37394.410258116026</v>
      </c>
      <c r="G7" s="229">
        <f t="shared" si="0"/>
        <v>37394.410258116026</v>
      </c>
      <c r="H7" s="229">
        <f t="shared" si="0"/>
        <v>37394.410258116026</v>
      </c>
      <c r="I7" s="229">
        <f t="shared" si="0"/>
        <v>37394.410258116026</v>
      </c>
    </row>
    <row r="8" spans="1:9" ht="15" customHeight="1">
      <c r="A8" s="194" t="s">
        <v>151</v>
      </c>
      <c r="B8" s="211"/>
      <c r="C8" s="211"/>
      <c r="D8" s="211"/>
      <c r="E8" s="211"/>
      <c r="F8" s="211"/>
      <c r="G8" s="211"/>
      <c r="H8" s="211"/>
      <c r="I8" s="211"/>
    </row>
    <row r="9" spans="1:9" ht="15" customHeight="1">
      <c r="A9" s="198" t="s">
        <v>155</v>
      </c>
      <c r="B9" s="229">
        <v>125.99</v>
      </c>
      <c r="C9" s="229">
        <v>136.5</v>
      </c>
      <c r="D9" s="229">
        <v>136.5</v>
      </c>
      <c r="E9" s="229">
        <v>136.5</v>
      </c>
      <c r="F9" s="229">
        <v>136.5</v>
      </c>
      <c r="G9" s="229">
        <v>225</v>
      </c>
      <c r="H9" s="229">
        <v>136.5</v>
      </c>
      <c r="I9" s="229">
        <v>136.5</v>
      </c>
    </row>
    <row r="10" spans="1:9" ht="15" customHeight="1">
      <c r="A10" s="198" t="s">
        <v>175</v>
      </c>
      <c r="B10" s="229">
        <f>MAX(0.3*$B$4,0.24*B9,20)*365</f>
        <v>37394.410258116026</v>
      </c>
      <c r="C10" s="229">
        <f>MAX(0.3*$B$4,0.24*C9,20)*365</f>
        <v>37394.410258116026</v>
      </c>
      <c r="D10" s="229">
        <f aca="true" t="shared" si="1" ref="D10:I10">MAX(0.3*$B$4,0.24*D9,20)*365</f>
        <v>37394.410258116026</v>
      </c>
      <c r="E10" s="229">
        <f t="shared" si="1"/>
        <v>37394.410258116026</v>
      </c>
      <c r="F10" s="229">
        <f t="shared" si="1"/>
        <v>37394.410258116026</v>
      </c>
      <c r="G10" s="229">
        <f t="shared" si="1"/>
        <v>37394.410258116026</v>
      </c>
      <c r="H10" s="229">
        <f t="shared" si="1"/>
        <v>37394.410258116026</v>
      </c>
      <c r="I10" s="229">
        <f t="shared" si="1"/>
        <v>37394.410258116026</v>
      </c>
    </row>
    <row r="11" spans="1:9" ht="15" customHeight="1">
      <c r="A11" s="194" t="s">
        <v>149</v>
      </c>
      <c r="B11" s="211"/>
      <c r="C11" s="211"/>
      <c r="D11" s="211"/>
      <c r="E11" s="211"/>
      <c r="F11" s="211"/>
      <c r="G11" s="211"/>
      <c r="H11" s="211"/>
      <c r="I11" s="211"/>
    </row>
    <row r="12" spans="1:9" ht="15" customHeight="1">
      <c r="A12" s="198" t="s">
        <v>156</v>
      </c>
      <c r="B12" s="229">
        <v>125.99</v>
      </c>
      <c r="C12" s="229">
        <v>136.5</v>
      </c>
      <c r="D12" s="229">
        <v>136.5</v>
      </c>
      <c r="E12" s="229">
        <v>136.5</v>
      </c>
      <c r="F12" s="229">
        <v>136.5</v>
      </c>
      <c r="G12" s="229">
        <v>225</v>
      </c>
      <c r="H12" s="229">
        <v>136.5</v>
      </c>
      <c r="I12" s="229">
        <v>136.5</v>
      </c>
    </row>
    <row r="13" spans="1:9" ht="15" customHeight="1">
      <c r="A13" s="198" t="s">
        <v>176</v>
      </c>
      <c r="B13" s="229">
        <f>MAX(0.3*$B$4,0.24*B12,20)*365</f>
        <v>37394.410258116026</v>
      </c>
      <c r="C13" s="229">
        <f aca="true" t="shared" si="2" ref="C13:I13">MAX(0.3*$B$4,0.24*C12,20)*365</f>
        <v>37394.410258116026</v>
      </c>
      <c r="D13" s="229">
        <f>MAX(0.3*$B$4,0.24*D12,20)*365</f>
        <v>37394.410258116026</v>
      </c>
      <c r="E13" s="229">
        <f t="shared" si="2"/>
        <v>37394.410258116026</v>
      </c>
      <c r="F13" s="229">
        <f>MAX(0.3*$B$4,0.24*F12,20)*365</f>
        <v>37394.410258116026</v>
      </c>
      <c r="G13" s="229">
        <f t="shared" si="2"/>
        <v>37394.410258116026</v>
      </c>
      <c r="H13" s="229">
        <f t="shared" si="2"/>
        <v>37394.410258116026</v>
      </c>
      <c r="I13" s="229">
        <f t="shared" si="2"/>
        <v>37394.410258116026</v>
      </c>
    </row>
    <row r="14" ht="15" customHeight="1"/>
    <row r="15" spans="1:9" ht="15" customHeight="1">
      <c r="A15" s="266" t="s">
        <v>186</v>
      </c>
      <c r="B15" s="267"/>
      <c r="C15" s="267"/>
      <c r="D15" s="267"/>
      <c r="E15" s="267"/>
      <c r="F15" s="267"/>
      <c r="G15" s="267"/>
      <c r="H15" s="267"/>
      <c r="I15" s="268"/>
    </row>
    <row r="16" spans="1:9" ht="15" customHeight="1">
      <c r="A16" s="203"/>
      <c r="B16" s="209" t="s">
        <v>12</v>
      </c>
      <c r="C16" s="265" t="s">
        <v>62</v>
      </c>
      <c r="D16" s="265"/>
      <c r="E16" s="265"/>
      <c r="F16" s="265"/>
      <c r="G16" s="265"/>
      <c r="H16" s="265"/>
      <c r="I16" s="265"/>
    </row>
    <row r="17" spans="1:9" ht="15" customHeight="1">
      <c r="A17" s="162" t="s">
        <v>12</v>
      </c>
      <c r="B17" s="192" t="s">
        <v>13</v>
      </c>
      <c r="C17" s="192" t="s">
        <v>17</v>
      </c>
      <c r="D17" s="192" t="s">
        <v>16</v>
      </c>
      <c r="E17" s="192" t="s">
        <v>14</v>
      </c>
      <c r="F17" s="192" t="s">
        <v>8</v>
      </c>
      <c r="G17" s="192" t="s">
        <v>49</v>
      </c>
      <c r="H17" s="192" t="s">
        <v>50</v>
      </c>
      <c r="I17" s="192" t="s">
        <v>7</v>
      </c>
    </row>
    <row r="18" spans="1:9" ht="15" customHeight="1">
      <c r="A18" s="198" t="s">
        <v>54</v>
      </c>
      <c r="B18" s="15">
        <f>'2nd IA Parameters'!B20</f>
        <v>341.5014635444386</v>
      </c>
      <c r="C18" s="14" t="s">
        <v>12</v>
      </c>
      <c r="D18" s="14" t="s">
        <v>12</v>
      </c>
      <c r="E18" s="14" t="s">
        <v>12</v>
      </c>
      <c r="F18" s="14" t="s">
        <v>12</v>
      </c>
      <c r="G18" s="14" t="s">
        <v>12</v>
      </c>
      <c r="H18" s="14" t="s">
        <v>12</v>
      </c>
      <c r="I18" s="14" t="s">
        <v>12</v>
      </c>
    </row>
    <row r="19" spans="1:9" ht="15" customHeight="1">
      <c r="A19" s="194" t="s">
        <v>152</v>
      </c>
      <c r="B19" s="15"/>
      <c r="C19" s="15"/>
      <c r="D19" s="15"/>
      <c r="E19" s="15"/>
      <c r="F19" s="15"/>
      <c r="G19" s="15"/>
      <c r="H19" s="15"/>
      <c r="I19" s="15"/>
    </row>
    <row r="20" spans="1:9" ht="15" customHeight="1">
      <c r="A20" s="198" t="s">
        <v>154</v>
      </c>
      <c r="B20" s="14">
        <v>25</v>
      </c>
      <c r="C20" s="14">
        <v>56.94</v>
      </c>
      <c r="D20" s="14">
        <v>56.94</v>
      </c>
      <c r="E20" s="14">
        <v>56.94</v>
      </c>
      <c r="F20" s="14">
        <v>56.94</v>
      </c>
      <c r="G20" s="14">
        <v>310</v>
      </c>
      <c r="H20" s="14">
        <v>56.94</v>
      </c>
      <c r="I20" s="14">
        <v>56.94</v>
      </c>
    </row>
    <row r="21" spans="1:9" ht="15" customHeight="1">
      <c r="A21" s="198" t="s">
        <v>187</v>
      </c>
      <c r="B21" s="320">
        <f>ROUND(MAX(B20*0.2,20)*365,2)</f>
        <v>7300</v>
      </c>
      <c r="C21" s="320">
        <f aca="true" t="shared" si="3" ref="C21:I21">ROUND(MAX(C20*0.2,20)*365,2)</f>
        <v>7300</v>
      </c>
      <c r="D21" s="320">
        <f t="shared" si="3"/>
        <v>7300</v>
      </c>
      <c r="E21" s="320">
        <f t="shared" si="3"/>
        <v>7300</v>
      </c>
      <c r="F21" s="320">
        <f t="shared" si="3"/>
        <v>7300</v>
      </c>
      <c r="G21" s="320">
        <f t="shared" si="3"/>
        <v>22630</v>
      </c>
      <c r="H21" s="320">
        <f t="shared" si="3"/>
        <v>7300</v>
      </c>
      <c r="I21" s="320">
        <f t="shared" si="3"/>
        <v>7300</v>
      </c>
    </row>
    <row r="22" spans="1:9" ht="15" customHeight="1">
      <c r="A22" s="194" t="s">
        <v>151</v>
      </c>
      <c r="B22" s="211"/>
      <c r="C22" s="211"/>
      <c r="D22" s="211"/>
      <c r="E22" s="211"/>
      <c r="F22" s="211"/>
      <c r="G22" s="211"/>
      <c r="H22" s="211"/>
      <c r="I22" s="211"/>
    </row>
    <row r="23" spans="1:9" ht="15" customHeight="1">
      <c r="A23" s="198" t="s">
        <v>155</v>
      </c>
      <c r="B23" s="229">
        <v>25</v>
      </c>
      <c r="C23" s="229">
        <v>56.94</v>
      </c>
      <c r="D23" s="229">
        <v>56.94</v>
      </c>
      <c r="E23" s="14">
        <v>56.94</v>
      </c>
      <c r="F23" s="14">
        <v>56.94</v>
      </c>
      <c r="G23" s="229">
        <v>310</v>
      </c>
      <c r="H23" s="14">
        <v>56.94</v>
      </c>
      <c r="I23" s="14">
        <v>56.94</v>
      </c>
    </row>
    <row r="24" spans="1:9" ht="15" customHeight="1">
      <c r="A24" s="198" t="s">
        <v>188</v>
      </c>
      <c r="B24" s="320">
        <f aca="true" t="shared" si="4" ref="B24:I24">ROUND(MAX(B23*0.2,20)*365,2)</f>
        <v>7300</v>
      </c>
      <c r="C24" s="320">
        <f t="shared" si="4"/>
        <v>7300</v>
      </c>
      <c r="D24" s="320">
        <f t="shared" si="4"/>
        <v>7300</v>
      </c>
      <c r="E24" s="320">
        <f t="shared" si="4"/>
        <v>7300</v>
      </c>
      <c r="F24" s="320">
        <f t="shared" si="4"/>
        <v>7300</v>
      </c>
      <c r="G24" s="320">
        <f t="shared" si="4"/>
        <v>22630</v>
      </c>
      <c r="H24" s="320">
        <f t="shared" si="4"/>
        <v>7300</v>
      </c>
      <c r="I24" s="320">
        <f t="shared" si="4"/>
        <v>7300</v>
      </c>
    </row>
    <row r="25" spans="1:9" ht="15" customHeight="1">
      <c r="A25" s="194" t="s">
        <v>149</v>
      </c>
      <c r="B25" s="211"/>
      <c r="C25" s="211"/>
      <c r="D25" s="211"/>
      <c r="E25" s="211"/>
      <c r="F25" s="211"/>
      <c r="G25" s="211"/>
      <c r="H25" s="211"/>
      <c r="I25" s="211"/>
    </row>
    <row r="26" spans="1:9" ht="15" customHeight="1">
      <c r="A26" s="198" t="s">
        <v>156</v>
      </c>
      <c r="B26" s="229">
        <v>25</v>
      </c>
      <c r="C26" s="229">
        <v>56.94</v>
      </c>
      <c r="D26" s="229">
        <v>56.94</v>
      </c>
      <c r="E26" s="14">
        <v>56.94</v>
      </c>
      <c r="F26" s="14">
        <v>56.94</v>
      </c>
      <c r="G26" s="229">
        <v>310</v>
      </c>
      <c r="H26" s="14">
        <v>56.94</v>
      </c>
      <c r="I26" s="14">
        <v>56.94</v>
      </c>
    </row>
    <row r="27" spans="1:9" ht="15" customHeight="1">
      <c r="A27" s="198" t="s">
        <v>189</v>
      </c>
      <c r="B27" s="320">
        <f aca="true" t="shared" si="5" ref="B27:I27">ROUND(MAX(B26*0.2,20)*365,2)</f>
        <v>7300</v>
      </c>
      <c r="C27" s="320">
        <f t="shared" si="5"/>
        <v>7300</v>
      </c>
      <c r="D27" s="320">
        <f t="shared" si="5"/>
        <v>7300</v>
      </c>
      <c r="E27" s="320">
        <f t="shared" si="5"/>
        <v>7300</v>
      </c>
      <c r="F27" s="320">
        <f t="shared" si="5"/>
        <v>7300</v>
      </c>
      <c r="G27" s="320">
        <f t="shared" si="5"/>
        <v>22630</v>
      </c>
      <c r="H27" s="320">
        <f t="shared" si="5"/>
        <v>7300</v>
      </c>
      <c r="I27" s="320">
        <f t="shared" si="5"/>
        <v>7300</v>
      </c>
    </row>
    <row r="28" ht="15" customHeight="1"/>
    <row r="29" ht="15" customHeight="1"/>
    <row r="30" ht="15" customHeight="1"/>
    <row r="31" ht="15" customHeight="1"/>
    <row r="32" ht="15" customHeight="1"/>
    <row r="33" ht="15" customHeight="1"/>
    <row r="34" ht="15" customHeight="1"/>
    <row r="35" ht="15" customHeight="1"/>
    <row r="36" ht="15" customHeight="1"/>
    <row r="37" ht="15" customHeight="1"/>
  </sheetData>
  <sheetProtection/>
  <mergeCells count="4">
    <mergeCell ref="C2:I2"/>
    <mergeCell ref="A1:I1"/>
    <mergeCell ref="A15:I15"/>
    <mergeCell ref="C16:I16"/>
  </mergeCells>
  <printOptions horizontalCentered="1" verticalCentered="1"/>
  <pageMargins left="0.45" right="0.45" top="0.5" bottom="0.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Murty Bhavaraju</cp:lastModifiedBy>
  <cp:lastPrinted>2013-06-12T20:12:38Z</cp:lastPrinted>
  <dcterms:created xsi:type="dcterms:W3CDTF">2007-01-26T13:56:48Z</dcterms:created>
  <dcterms:modified xsi:type="dcterms:W3CDTF">2013-07-29T18:29:09Z</dcterms:modified>
  <cp:category/>
  <cp:version/>
  <cp:contentType/>
  <cp:contentStatus/>
</cp:coreProperties>
</file>